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 activeTab="1"/>
  </bookViews>
  <sheets>
    <sheet name="Portada" sheetId="2" r:id="rId1"/>
    <sheet name="Presupuesto vs Real (Informe1)" sheetId="3" r:id="rId2"/>
    <sheet name="1. Administracion (Informe 2)" sheetId="13" r:id="rId3"/>
    <sheet name="Forecast (Informe 3)" sheetId="22" r:id="rId4"/>
    <sheet name="15. Maiz Local" sheetId="10" r:id="rId5"/>
    <sheet name="13. Maiz de Exportación" sheetId="7" r:id="rId6"/>
    <sheet name="16. Soya de Exportación" sheetId="8" r:id="rId7"/>
    <sheet name="18. Canola y Girasol" sheetId="9" r:id="rId8"/>
    <sheet name="11. Ventas Mer. Local" sheetId="11" r:id="rId9"/>
    <sheet name="17. Alfalfa" sheetId="12" r:id="rId10"/>
    <sheet name="10. Remolacha" sheetId="6" r:id="rId11"/>
    <sheet name="12. Planta" sheetId="15" r:id="rId12"/>
    <sheet name="20. Campos Propios" sheetId="16" r:id="rId13"/>
    <sheet name="21.Procesos " sheetId="17" r:id="rId14"/>
    <sheet name="Base de Datos" sheetId="4" r:id="rId15"/>
    <sheet name="octubre" sheetId="19" r:id="rId16"/>
  </sheets>
  <externalReferences>
    <externalReference r:id="rId17"/>
  </externalReferences>
  <definedNames>
    <definedName name="_xlnm._FilterDatabase" localSheetId="15" hidden="1">octubre!$A$1:$A$287</definedName>
    <definedName name="_xlnm.Print_Area" localSheetId="2">'1. Administracion (Informe 2)'!$A$3:$L$64</definedName>
    <definedName name="_xlnm.Print_Area" localSheetId="10">'10. Remolacha'!$A$1:$I$57</definedName>
    <definedName name="_xlnm.Print_Area" localSheetId="8">'11. Ventas Mer. Local'!$A$1:$I$57</definedName>
    <definedName name="_xlnm.Print_Area" localSheetId="11">'12. Planta'!$A$1:$I$57</definedName>
    <definedName name="_xlnm.Print_Area" localSheetId="5">'13. Maiz de Exportación'!$A$1:$I$57</definedName>
    <definedName name="_xlnm.Print_Area" localSheetId="4">'15. Maiz Local'!$A$1:$I$57</definedName>
    <definedName name="_xlnm.Print_Area" localSheetId="6">'16. Soya de Exportación'!$A$1:$I$57</definedName>
    <definedName name="_xlnm.Print_Area" localSheetId="9">'17. Alfalfa'!$A$1:$I$57</definedName>
    <definedName name="_xlnm.Print_Area" localSheetId="7">'18. Canola y Girasol'!$A$1:$I$57</definedName>
    <definedName name="_xlnm.Print_Area" localSheetId="12">'20. Campos Propios'!$A$1:$I$57</definedName>
    <definedName name="_xlnm.Print_Area" localSheetId="13">'21.Procesos '!$A$1:$I$57</definedName>
    <definedName name="_xlnm.Print_Area" localSheetId="14">'Base de Datos'!$B$2:$G$484</definedName>
    <definedName name="_xlnm.Print_Area" localSheetId="3">'Forecast (Informe 3)'!$B$2:$AE$62</definedName>
    <definedName name="_xlnm.Print_Area" localSheetId="0">Portada!$B$3:$N$31</definedName>
    <definedName name="_xlnm.Print_Area" localSheetId="1">'Presupuesto vs Real (Informe1)'!$B$2:$AE$122</definedName>
  </definedNames>
  <calcPr calcId="145621"/>
</workbook>
</file>

<file path=xl/calcChain.xml><?xml version="1.0" encoding="utf-8"?>
<calcChain xmlns="http://schemas.openxmlformats.org/spreadsheetml/2006/main">
  <c r="Z9" i="3" l="1"/>
  <c r="AA9" i="3" s="1"/>
  <c r="Y9" i="3"/>
  <c r="W9" i="3"/>
  <c r="V9" i="3"/>
  <c r="T9" i="3"/>
  <c r="U9" i="3" s="1"/>
  <c r="S9" i="3"/>
  <c r="Q9" i="3"/>
  <c r="P9" i="3"/>
  <c r="O9" i="3"/>
  <c r="N9" i="3"/>
  <c r="M9" i="3"/>
  <c r="K9" i="3"/>
  <c r="J9" i="3"/>
  <c r="H9" i="3"/>
  <c r="G9" i="3"/>
  <c r="E9" i="3"/>
  <c r="D9" i="3"/>
  <c r="J8" i="3"/>
  <c r="K8" i="3"/>
  <c r="M8" i="3"/>
  <c r="N8" i="3"/>
  <c r="N10" i="3" s="1"/>
  <c r="P8" i="3"/>
  <c r="Q8" i="3"/>
  <c r="S8" i="3"/>
  <c r="T8" i="3"/>
  <c r="T10" i="3" s="1"/>
  <c r="V8" i="3"/>
  <c r="W8" i="3"/>
  <c r="Y8" i="3"/>
  <c r="Z8" i="3"/>
  <c r="Z10" i="3" s="1"/>
  <c r="J13" i="3"/>
  <c r="K13" i="3"/>
  <c r="M13" i="3"/>
  <c r="N13" i="3"/>
  <c r="R13" i="3"/>
  <c r="S13" i="3"/>
  <c r="T13" i="3"/>
  <c r="V13" i="3"/>
  <c r="X13" i="3" s="1"/>
  <c r="W13" i="3"/>
  <c r="AA13" i="3"/>
  <c r="I14" i="3"/>
  <c r="J14" i="3"/>
  <c r="K14" i="3"/>
  <c r="O14" i="3"/>
  <c r="P14" i="3"/>
  <c r="Q14" i="3"/>
  <c r="S14" i="3"/>
  <c r="T14" i="3"/>
  <c r="X14" i="3"/>
  <c r="AA14" i="3"/>
  <c r="I15" i="3"/>
  <c r="K15" i="3"/>
  <c r="L15" i="3" s="1"/>
  <c r="O15" i="3"/>
  <c r="Q15" i="3"/>
  <c r="R15" i="3" s="1"/>
  <c r="T15" i="3"/>
  <c r="U15" i="3" s="1"/>
  <c r="X15" i="3"/>
  <c r="AA15" i="3"/>
  <c r="J16" i="3"/>
  <c r="M16" i="3"/>
  <c r="P16" i="3"/>
  <c r="S16" i="3"/>
  <c r="X16" i="3"/>
  <c r="Y16" i="3"/>
  <c r="Z16" i="3"/>
  <c r="J17" i="3"/>
  <c r="M17" i="3"/>
  <c r="R17" i="3"/>
  <c r="S17" i="3"/>
  <c r="X17" i="3"/>
  <c r="Y17" i="3"/>
  <c r="Y22" i="3" s="1"/>
  <c r="Z17" i="3"/>
  <c r="J18" i="3"/>
  <c r="K18" i="3"/>
  <c r="M18" i="3"/>
  <c r="N18" i="3"/>
  <c r="R18" i="3"/>
  <c r="S18" i="3"/>
  <c r="T18" i="3"/>
  <c r="V18" i="3"/>
  <c r="W18" i="3"/>
  <c r="Y18" i="3"/>
  <c r="AA18" i="3" s="1"/>
  <c r="J19" i="3"/>
  <c r="K19" i="3"/>
  <c r="M19" i="3"/>
  <c r="N19" i="3"/>
  <c r="P19" i="3"/>
  <c r="Q19" i="3"/>
  <c r="S19" i="3"/>
  <c r="T19" i="3"/>
  <c r="V19" i="3"/>
  <c r="W19" i="3"/>
  <c r="Y19" i="3"/>
  <c r="AA19" i="3" s="1"/>
  <c r="I20" i="3"/>
  <c r="K20" i="3"/>
  <c r="L20" i="3" s="1"/>
  <c r="O20" i="3"/>
  <c r="Q20" i="3"/>
  <c r="R20" i="3" s="1"/>
  <c r="S20" i="3"/>
  <c r="T20" i="3"/>
  <c r="X20" i="3"/>
  <c r="AA20" i="3"/>
  <c r="I21" i="3"/>
  <c r="J21" i="3"/>
  <c r="K21" i="3"/>
  <c r="O21" i="3"/>
  <c r="R21" i="3"/>
  <c r="S21" i="3"/>
  <c r="T21" i="3"/>
  <c r="X21" i="3"/>
  <c r="AA21" i="3"/>
  <c r="V22" i="3"/>
  <c r="I27" i="3"/>
  <c r="J27" i="3"/>
  <c r="O27" i="3"/>
  <c r="P27" i="3"/>
  <c r="S27" i="3"/>
  <c r="X27" i="3"/>
  <c r="AA27" i="3"/>
  <c r="I28" i="3"/>
  <c r="J28" i="3"/>
  <c r="O28" i="3"/>
  <c r="P28" i="3"/>
  <c r="S28" i="3"/>
  <c r="X28" i="3"/>
  <c r="AA28" i="3"/>
  <c r="J29" i="3"/>
  <c r="K29" i="3"/>
  <c r="M29" i="3"/>
  <c r="N29" i="3"/>
  <c r="P29" i="3"/>
  <c r="Q29" i="3"/>
  <c r="S29" i="3"/>
  <c r="T29" i="3"/>
  <c r="X29" i="3"/>
  <c r="AA29" i="3"/>
  <c r="I30" i="3"/>
  <c r="J30" i="3"/>
  <c r="K30" i="3"/>
  <c r="O30" i="3"/>
  <c r="R30" i="3"/>
  <c r="S30" i="3"/>
  <c r="X30" i="3"/>
  <c r="AA30" i="3"/>
  <c r="I31" i="3"/>
  <c r="J31" i="3"/>
  <c r="O31" i="3"/>
  <c r="P31" i="3"/>
  <c r="S31" i="3"/>
  <c r="X31" i="3"/>
  <c r="AA31" i="3"/>
  <c r="I32" i="3"/>
  <c r="J32" i="3"/>
  <c r="K32" i="3"/>
  <c r="O32" i="3"/>
  <c r="R32" i="3"/>
  <c r="S32" i="3"/>
  <c r="T32" i="3"/>
  <c r="X32" i="3"/>
  <c r="AA32" i="3"/>
  <c r="I33" i="3"/>
  <c r="L33" i="3"/>
  <c r="O33" i="3"/>
  <c r="R33" i="3"/>
  <c r="U33" i="3"/>
  <c r="X33" i="3"/>
  <c r="AA33" i="3"/>
  <c r="O34" i="3"/>
  <c r="V34" i="3"/>
  <c r="W34" i="3"/>
  <c r="X34" i="3"/>
  <c r="Y34" i="3"/>
  <c r="Z34" i="3"/>
  <c r="AA34" i="3" s="1"/>
  <c r="J37" i="3"/>
  <c r="M37" i="3"/>
  <c r="P37" i="3"/>
  <c r="S37" i="3"/>
  <c r="V37" i="3"/>
  <c r="AA37" i="3"/>
  <c r="J38" i="3"/>
  <c r="M38" i="3"/>
  <c r="P38" i="3"/>
  <c r="S38" i="3"/>
  <c r="V38" i="3"/>
  <c r="AA38" i="3"/>
  <c r="I39" i="3"/>
  <c r="L39" i="3"/>
  <c r="O39" i="3"/>
  <c r="R39" i="3"/>
  <c r="U39" i="3"/>
  <c r="X39" i="3"/>
  <c r="AA39" i="3"/>
  <c r="I40" i="3"/>
  <c r="L40" i="3"/>
  <c r="O40" i="3"/>
  <c r="R40" i="3"/>
  <c r="U40" i="3"/>
  <c r="X40" i="3"/>
  <c r="AA40" i="3"/>
  <c r="V41" i="3"/>
  <c r="Y41" i="3"/>
  <c r="Z41" i="3"/>
  <c r="AA41" i="3" s="1"/>
  <c r="I46" i="3"/>
  <c r="L46" i="3"/>
  <c r="O46" i="3"/>
  <c r="R46" i="3"/>
  <c r="U46" i="3"/>
  <c r="X46" i="3"/>
  <c r="AA46" i="3"/>
  <c r="I52" i="3"/>
  <c r="L52" i="3"/>
  <c r="O52" i="3"/>
  <c r="R52" i="3"/>
  <c r="U52" i="3"/>
  <c r="X52" i="3"/>
  <c r="AA52" i="3"/>
  <c r="I53" i="3"/>
  <c r="L53" i="3"/>
  <c r="O53" i="3"/>
  <c r="R53" i="3"/>
  <c r="U53" i="3"/>
  <c r="X53" i="3"/>
  <c r="AA53" i="3"/>
  <c r="I54" i="3"/>
  <c r="L54" i="3"/>
  <c r="O54" i="3"/>
  <c r="R54" i="3"/>
  <c r="U54" i="3"/>
  <c r="X54" i="3"/>
  <c r="AA54" i="3"/>
  <c r="I55" i="3"/>
  <c r="L55" i="3"/>
  <c r="O55" i="3"/>
  <c r="R55" i="3"/>
  <c r="U55" i="3"/>
  <c r="X55" i="3"/>
  <c r="AA55" i="3"/>
  <c r="I56" i="3"/>
  <c r="L56" i="3"/>
  <c r="O56" i="3"/>
  <c r="R56" i="3"/>
  <c r="U56" i="3"/>
  <c r="X56" i="3"/>
  <c r="AA56" i="3"/>
  <c r="I57" i="3"/>
  <c r="K57" i="3"/>
  <c r="L57" i="3" s="1"/>
  <c r="O57" i="3"/>
  <c r="R57" i="3"/>
  <c r="U57" i="3"/>
  <c r="X57" i="3"/>
  <c r="AA57" i="3"/>
  <c r="J58" i="3"/>
  <c r="M58" i="3"/>
  <c r="N58" i="3"/>
  <c r="O58" i="3" s="1"/>
  <c r="P58" i="3"/>
  <c r="Q58" i="3"/>
  <c r="R58" i="3"/>
  <c r="S58" i="3"/>
  <c r="T58" i="3"/>
  <c r="U58" i="3" s="1"/>
  <c r="V58" i="3"/>
  <c r="W58" i="3"/>
  <c r="X58" i="3" s="1"/>
  <c r="Y58" i="3"/>
  <c r="Z58" i="3"/>
  <c r="AA58" i="3" s="1"/>
  <c r="J74" i="3"/>
  <c r="K74" i="3"/>
  <c r="M74" i="3"/>
  <c r="N74" i="3"/>
  <c r="P74" i="3"/>
  <c r="Q74" i="3"/>
  <c r="S74" i="3"/>
  <c r="T74" i="3"/>
  <c r="V74" i="3"/>
  <c r="W74" i="3"/>
  <c r="Y74" i="3"/>
  <c r="Z74" i="3"/>
  <c r="J76" i="3"/>
  <c r="K76" i="3"/>
  <c r="M76" i="3"/>
  <c r="N76" i="3"/>
  <c r="R76" i="3"/>
  <c r="S76" i="3"/>
  <c r="T76" i="3"/>
  <c r="V76" i="3"/>
  <c r="W76" i="3"/>
  <c r="AA76" i="3"/>
  <c r="I77" i="3"/>
  <c r="J77" i="3"/>
  <c r="K77" i="3"/>
  <c r="O77" i="3"/>
  <c r="P77" i="3"/>
  <c r="Q77" i="3"/>
  <c r="R77" i="3" s="1"/>
  <c r="S77" i="3"/>
  <c r="T77" i="3"/>
  <c r="X77" i="3"/>
  <c r="AA77" i="3"/>
  <c r="I78" i="3"/>
  <c r="J78" i="3"/>
  <c r="K78" i="3"/>
  <c r="O78" i="3"/>
  <c r="Q78" i="3"/>
  <c r="R78" i="3" s="1"/>
  <c r="S78" i="3"/>
  <c r="T78" i="3"/>
  <c r="X78" i="3"/>
  <c r="AA78" i="3"/>
  <c r="J79" i="3"/>
  <c r="M79" i="3"/>
  <c r="R79" i="3"/>
  <c r="S79" i="3"/>
  <c r="X79" i="3"/>
  <c r="Z79" i="3"/>
  <c r="AA79" i="3" s="1"/>
  <c r="J80" i="3"/>
  <c r="M80" i="3"/>
  <c r="R80" i="3"/>
  <c r="S80" i="3"/>
  <c r="X80" i="3"/>
  <c r="Z80" i="3"/>
  <c r="AA80" i="3" s="1"/>
  <c r="J81" i="3"/>
  <c r="K81" i="3"/>
  <c r="M81" i="3"/>
  <c r="N81" i="3"/>
  <c r="R81" i="3"/>
  <c r="S81" i="3"/>
  <c r="T81" i="3"/>
  <c r="V81" i="3"/>
  <c r="X81" i="3" s="1"/>
  <c r="W81" i="3"/>
  <c r="AA81" i="3"/>
  <c r="J82" i="3"/>
  <c r="K82" i="3"/>
  <c r="M82" i="3"/>
  <c r="N82" i="3"/>
  <c r="Q82" i="3"/>
  <c r="S82" i="3"/>
  <c r="T82" i="3"/>
  <c r="V82" i="3"/>
  <c r="W82" i="3"/>
  <c r="AA82" i="3"/>
  <c r="I83" i="3"/>
  <c r="K83" i="3"/>
  <c r="L83" i="3" s="1"/>
  <c r="O83" i="3"/>
  <c r="R83" i="3"/>
  <c r="S83" i="3"/>
  <c r="T83" i="3"/>
  <c r="X83" i="3"/>
  <c r="AA83" i="3"/>
  <c r="I84" i="3"/>
  <c r="J84" i="3"/>
  <c r="K84" i="3"/>
  <c r="O84" i="3"/>
  <c r="R84" i="3"/>
  <c r="S84" i="3"/>
  <c r="T84" i="3"/>
  <c r="X84" i="3"/>
  <c r="AA84" i="3"/>
  <c r="Y85" i="3"/>
  <c r="Y87" i="3" s="1"/>
  <c r="I89" i="3"/>
  <c r="J89" i="3"/>
  <c r="O89" i="3"/>
  <c r="P89" i="3"/>
  <c r="S89" i="3"/>
  <c r="X89" i="3"/>
  <c r="AA89" i="3"/>
  <c r="I90" i="3"/>
  <c r="J90" i="3"/>
  <c r="O90" i="3"/>
  <c r="P90" i="3"/>
  <c r="S90" i="3"/>
  <c r="X90" i="3"/>
  <c r="AA90" i="3"/>
  <c r="J91" i="3"/>
  <c r="K91" i="3"/>
  <c r="M91" i="3"/>
  <c r="N91" i="3"/>
  <c r="P91" i="3"/>
  <c r="P82" i="3" s="1"/>
  <c r="P85" i="3" s="1"/>
  <c r="Q91" i="3"/>
  <c r="S91" i="3"/>
  <c r="T91" i="3"/>
  <c r="X91" i="3"/>
  <c r="AA91" i="3"/>
  <c r="I92" i="3"/>
  <c r="J92" i="3"/>
  <c r="K92" i="3"/>
  <c r="O92" i="3"/>
  <c r="R92" i="3"/>
  <c r="U92" i="3"/>
  <c r="X92" i="3"/>
  <c r="AA92" i="3"/>
  <c r="I93" i="3"/>
  <c r="J93" i="3"/>
  <c r="O93" i="3"/>
  <c r="P93" i="3"/>
  <c r="S93" i="3"/>
  <c r="X93" i="3"/>
  <c r="AA93" i="3"/>
  <c r="I94" i="3"/>
  <c r="J94" i="3"/>
  <c r="K94" i="3"/>
  <c r="O94" i="3"/>
  <c r="Q94" i="3"/>
  <c r="R94" i="3" s="1"/>
  <c r="S94" i="3"/>
  <c r="T94" i="3"/>
  <c r="X94" i="3"/>
  <c r="AA94" i="3"/>
  <c r="I95" i="3"/>
  <c r="L95" i="3"/>
  <c r="O95" i="3"/>
  <c r="R95" i="3"/>
  <c r="U95" i="3"/>
  <c r="X95" i="3"/>
  <c r="AA95" i="3"/>
  <c r="N96" i="3"/>
  <c r="V96" i="3"/>
  <c r="W96" i="3"/>
  <c r="X96" i="3" s="1"/>
  <c r="Y96" i="3"/>
  <c r="Z96" i="3"/>
  <c r="AA96" i="3"/>
  <c r="J98" i="3"/>
  <c r="M98" i="3"/>
  <c r="P98" i="3"/>
  <c r="S98" i="3"/>
  <c r="V98" i="3"/>
  <c r="AA98" i="3"/>
  <c r="J99" i="3"/>
  <c r="M99" i="3"/>
  <c r="P99" i="3"/>
  <c r="S99" i="3"/>
  <c r="V99" i="3"/>
  <c r="AA99" i="3"/>
  <c r="I100" i="3"/>
  <c r="L100" i="3"/>
  <c r="O100" i="3"/>
  <c r="R100" i="3"/>
  <c r="U100" i="3"/>
  <c r="X100" i="3"/>
  <c r="AA100" i="3"/>
  <c r="I101" i="3"/>
  <c r="L101" i="3"/>
  <c r="O101" i="3"/>
  <c r="R101" i="3"/>
  <c r="U101" i="3"/>
  <c r="X101" i="3"/>
  <c r="AA101" i="3"/>
  <c r="V102" i="3"/>
  <c r="Y102" i="3"/>
  <c r="Z102" i="3"/>
  <c r="AA102" i="3" s="1"/>
  <c r="Y104" i="3"/>
  <c r="J106" i="3"/>
  <c r="M106" i="3"/>
  <c r="N106" i="3"/>
  <c r="P106" i="3"/>
  <c r="S106" i="3"/>
  <c r="T106" i="3"/>
  <c r="V106" i="3"/>
  <c r="Y106" i="3"/>
  <c r="Z106" i="3"/>
  <c r="AA106" i="3" s="1"/>
  <c r="J110" i="3"/>
  <c r="M110" i="3"/>
  <c r="N110" i="3"/>
  <c r="P110" i="3"/>
  <c r="S110" i="3"/>
  <c r="T110" i="3"/>
  <c r="V110" i="3"/>
  <c r="Y110" i="3"/>
  <c r="Z110" i="3"/>
  <c r="J111" i="3"/>
  <c r="M111" i="3"/>
  <c r="P111" i="3"/>
  <c r="S111" i="3"/>
  <c r="V111" i="3"/>
  <c r="Y111" i="3"/>
  <c r="J112" i="3"/>
  <c r="M112" i="3"/>
  <c r="N112" i="3"/>
  <c r="P112" i="3"/>
  <c r="S112" i="3"/>
  <c r="T112" i="3"/>
  <c r="V112" i="3"/>
  <c r="Y112" i="3"/>
  <c r="Z112" i="3"/>
  <c r="J113" i="3"/>
  <c r="M113" i="3"/>
  <c r="P113" i="3"/>
  <c r="S113" i="3"/>
  <c r="V113" i="3"/>
  <c r="Y113" i="3"/>
  <c r="J114" i="3"/>
  <c r="M114" i="3"/>
  <c r="N114" i="3"/>
  <c r="P114" i="3"/>
  <c r="S114" i="3"/>
  <c r="T114" i="3"/>
  <c r="U114" i="3" s="1"/>
  <c r="V114" i="3"/>
  <c r="Y114" i="3"/>
  <c r="Z114" i="3"/>
  <c r="J115" i="3"/>
  <c r="M115" i="3"/>
  <c r="P115" i="3"/>
  <c r="S115" i="3"/>
  <c r="V115" i="3"/>
  <c r="Y115" i="3"/>
  <c r="K127" i="3"/>
  <c r="N127" i="3"/>
  <c r="Q127" i="3"/>
  <c r="T127" i="3"/>
  <c r="T98" i="3" s="1"/>
  <c r="W127" i="3"/>
  <c r="Z127" i="3"/>
  <c r="Z113" i="3" s="1"/>
  <c r="AA113" i="3" s="1"/>
  <c r="K128" i="3"/>
  <c r="N128" i="3"/>
  <c r="Q128" i="3"/>
  <c r="T128" i="3"/>
  <c r="W128" i="3"/>
  <c r="Z128" i="3"/>
  <c r="K129" i="3"/>
  <c r="N129" i="3"/>
  <c r="Q129" i="3"/>
  <c r="Q16" i="3" s="1"/>
  <c r="T129" i="3"/>
  <c r="W129" i="3"/>
  <c r="Z129" i="3"/>
  <c r="K131" i="3"/>
  <c r="K106" i="3" s="1"/>
  <c r="L106" i="3" s="1"/>
  <c r="N131" i="3"/>
  <c r="Q131" i="3"/>
  <c r="Q106" i="3" s="1"/>
  <c r="R106" i="3" s="1"/>
  <c r="T131" i="3"/>
  <c r="W131" i="3"/>
  <c r="W106" i="3" s="1"/>
  <c r="X106" i="3" s="1"/>
  <c r="Z131" i="3"/>
  <c r="I133" i="3"/>
  <c r="O91" i="3" l="1"/>
  <c r="U13" i="3"/>
  <c r="L92" i="3"/>
  <c r="I9" i="3"/>
  <c r="P34" i="3"/>
  <c r="S22" i="3"/>
  <c r="S24" i="3" s="1"/>
  <c r="P22" i="3"/>
  <c r="P24" i="3" s="1"/>
  <c r="M22" i="3"/>
  <c r="M24" i="3" s="1"/>
  <c r="AA8" i="3"/>
  <c r="AA10" i="3" s="1"/>
  <c r="U8" i="3"/>
  <c r="U10" i="3" s="1"/>
  <c r="O8" i="3"/>
  <c r="O10" i="3" s="1"/>
  <c r="L9" i="3"/>
  <c r="R9" i="3"/>
  <c r="U74" i="3"/>
  <c r="J41" i="3"/>
  <c r="O81" i="3"/>
  <c r="M85" i="3"/>
  <c r="M87" i="3" s="1"/>
  <c r="V116" i="3"/>
  <c r="L84" i="3"/>
  <c r="W85" i="3"/>
  <c r="J34" i="3"/>
  <c r="X18" i="3"/>
  <c r="J22" i="3"/>
  <c r="J24" i="3" s="1"/>
  <c r="AA16" i="3"/>
  <c r="P87" i="3"/>
  <c r="Q85" i="3"/>
  <c r="O82" i="3"/>
  <c r="L81" i="3"/>
  <c r="U78" i="3"/>
  <c r="L78" i="3"/>
  <c r="S41" i="3"/>
  <c r="M41" i="3"/>
  <c r="M43" i="3" s="1"/>
  <c r="M49" i="3" s="1"/>
  <c r="M60" i="3" s="1"/>
  <c r="M62" i="3" s="1"/>
  <c r="U21" i="3"/>
  <c r="R19" i="3"/>
  <c r="V10" i="3"/>
  <c r="P10" i="3"/>
  <c r="J10" i="3"/>
  <c r="O112" i="3"/>
  <c r="U110" i="3"/>
  <c r="O106" i="3"/>
  <c r="U82" i="3"/>
  <c r="U77" i="3"/>
  <c r="R74" i="3"/>
  <c r="L74" i="3"/>
  <c r="L30" i="3"/>
  <c r="AB9" i="3"/>
  <c r="AA114" i="3"/>
  <c r="J116" i="3"/>
  <c r="O110" i="3"/>
  <c r="M96" i="3"/>
  <c r="O96" i="3" s="1"/>
  <c r="S96" i="3"/>
  <c r="U83" i="3"/>
  <c r="U81" i="3"/>
  <c r="X76" i="3"/>
  <c r="R29" i="3"/>
  <c r="Y24" i="3"/>
  <c r="Z22" i="3"/>
  <c r="Z24" i="3" s="1"/>
  <c r="U19" i="3"/>
  <c r="L13" i="3"/>
  <c r="X8" i="3"/>
  <c r="R8" i="3"/>
  <c r="L8" i="3"/>
  <c r="L10" i="3" s="1"/>
  <c r="AC9" i="3"/>
  <c r="W10" i="3"/>
  <c r="S10" i="3"/>
  <c r="K10" i="3"/>
  <c r="P102" i="3"/>
  <c r="J102" i="3"/>
  <c r="Z85" i="3"/>
  <c r="Z87" i="3" s="1"/>
  <c r="AA87" i="3" s="1"/>
  <c r="O76" i="3"/>
  <c r="AA74" i="3"/>
  <c r="L21" i="3"/>
  <c r="U18" i="3"/>
  <c r="AA17" i="3"/>
  <c r="L14" i="3"/>
  <c r="M102" i="3"/>
  <c r="U94" i="3"/>
  <c r="L32" i="3"/>
  <c r="O29" i="3"/>
  <c r="W22" i="3"/>
  <c r="W24" i="3" s="1"/>
  <c r="R14" i="3"/>
  <c r="O13" i="3"/>
  <c r="F9" i="3"/>
  <c r="Y10" i="3"/>
  <c r="Q10" i="3"/>
  <c r="M10" i="3"/>
  <c r="X9" i="3"/>
  <c r="M116" i="3"/>
  <c r="Y108" i="3"/>
  <c r="L94" i="3"/>
  <c r="P96" i="3"/>
  <c r="P104" i="3" s="1"/>
  <c r="P108" i="3" s="1"/>
  <c r="V85" i="3"/>
  <c r="V87" i="3" s="1"/>
  <c r="V104" i="3" s="1"/>
  <c r="V108" i="3" s="1"/>
  <c r="V118" i="3" s="1"/>
  <c r="V120" i="3" s="1"/>
  <c r="S34" i="3"/>
  <c r="U29" i="3"/>
  <c r="L29" i="3"/>
  <c r="U20" i="3"/>
  <c r="O19" i="3"/>
  <c r="O18" i="3"/>
  <c r="P116" i="3"/>
  <c r="U91" i="3"/>
  <c r="U84" i="3"/>
  <c r="S85" i="3"/>
  <c r="S87" i="3" s="1"/>
  <c r="U76" i="3"/>
  <c r="O74" i="3"/>
  <c r="P41" i="3"/>
  <c r="P43" i="3" s="1"/>
  <c r="P49" i="3" s="1"/>
  <c r="P60" i="3" s="1"/>
  <c r="P62" i="3" s="1"/>
  <c r="O114" i="3"/>
  <c r="U112" i="3"/>
  <c r="S116" i="3"/>
  <c r="AA110" i="3"/>
  <c r="U106" i="3"/>
  <c r="S102" i="3"/>
  <c r="R91" i="3"/>
  <c r="J96" i="3"/>
  <c r="L82" i="3"/>
  <c r="J85" i="3"/>
  <c r="J87" i="3" s="1"/>
  <c r="L77" i="3"/>
  <c r="L76" i="3"/>
  <c r="X74" i="3"/>
  <c r="X19" i="3"/>
  <c r="AA112" i="3"/>
  <c r="U32" i="3"/>
  <c r="L19" i="3"/>
  <c r="L18" i="3"/>
  <c r="U14" i="3"/>
  <c r="Q22" i="3"/>
  <c r="R16" i="3"/>
  <c r="Q37" i="3"/>
  <c r="Q38" i="3"/>
  <c r="R38" i="3" s="1"/>
  <c r="Q99" i="3"/>
  <c r="R99" i="3" s="1"/>
  <c r="Q113" i="3"/>
  <c r="R113" i="3" s="1"/>
  <c r="Q112" i="3"/>
  <c r="R112" i="3" s="1"/>
  <c r="Q111" i="3"/>
  <c r="R111" i="3" s="1"/>
  <c r="Q115" i="3"/>
  <c r="R115" i="3" s="1"/>
  <c r="Q98" i="3"/>
  <c r="Q110" i="3"/>
  <c r="Q114" i="3"/>
  <c r="R114" i="3" s="1"/>
  <c r="Y116" i="3"/>
  <c r="Y118" i="3" s="1"/>
  <c r="Y120" i="3" s="1"/>
  <c r="K17" i="3"/>
  <c r="L17" i="3" s="1"/>
  <c r="K80" i="3"/>
  <c r="L80" i="3" s="1"/>
  <c r="K16" i="3"/>
  <c r="K79" i="3"/>
  <c r="Q31" i="3"/>
  <c r="R31" i="3" s="1"/>
  <c r="Q27" i="3"/>
  <c r="Q28" i="3"/>
  <c r="R28" i="3" s="1"/>
  <c r="Q89" i="3"/>
  <c r="Q93" i="3"/>
  <c r="R93" i="3" s="1"/>
  <c r="Q90" i="3"/>
  <c r="R90" i="3" s="1"/>
  <c r="W37" i="3"/>
  <c r="W38" i="3"/>
  <c r="X38" i="3" s="1"/>
  <c r="W98" i="3"/>
  <c r="W110" i="3"/>
  <c r="W114" i="3"/>
  <c r="X114" i="3" s="1"/>
  <c r="W113" i="3"/>
  <c r="X113" i="3" s="1"/>
  <c r="W99" i="3"/>
  <c r="X99" i="3" s="1"/>
  <c r="W112" i="3"/>
  <c r="X112" i="3" s="1"/>
  <c r="W111" i="3"/>
  <c r="X111" i="3" s="1"/>
  <c r="W115" i="3"/>
  <c r="X115" i="3" s="1"/>
  <c r="K37" i="3"/>
  <c r="K38" i="3"/>
  <c r="L38" i="3" s="1"/>
  <c r="K115" i="3"/>
  <c r="L115" i="3" s="1"/>
  <c r="K98" i="3"/>
  <c r="K110" i="3"/>
  <c r="K114" i="3"/>
  <c r="L114" i="3" s="1"/>
  <c r="K99" i="3"/>
  <c r="L99" i="3" s="1"/>
  <c r="K113" i="3"/>
  <c r="L113" i="3" s="1"/>
  <c r="K112" i="3"/>
  <c r="L112" i="3" s="1"/>
  <c r="K111" i="3"/>
  <c r="L111" i="3" s="1"/>
  <c r="U98" i="3"/>
  <c r="K31" i="3"/>
  <c r="L31" i="3" s="1"/>
  <c r="K27" i="3"/>
  <c r="K28" i="3"/>
  <c r="L28" i="3" s="1"/>
  <c r="K90" i="3"/>
  <c r="L90" i="3" s="1"/>
  <c r="K93" i="3"/>
  <c r="L93" i="3" s="1"/>
  <c r="K89" i="3"/>
  <c r="N80" i="3"/>
  <c r="O80" i="3" s="1"/>
  <c r="N16" i="3"/>
  <c r="N79" i="3"/>
  <c r="N17" i="3"/>
  <c r="O17" i="3" s="1"/>
  <c r="T27" i="3"/>
  <c r="T28" i="3"/>
  <c r="U28" i="3" s="1"/>
  <c r="T89" i="3"/>
  <c r="T31" i="3"/>
  <c r="U31" i="3" s="1"/>
  <c r="N38" i="3"/>
  <c r="O38" i="3" s="1"/>
  <c r="N37" i="3"/>
  <c r="Z115" i="3"/>
  <c r="AA115" i="3" s="1"/>
  <c r="N115" i="3"/>
  <c r="O115" i="3" s="1"/>
  <c r="T113" i="3"/>
  <c r="U113" i="3" s="1"/>
  <c r="Z111" i="3"/>
  <c r="N111" i="3"/>
  <c r="Z104" i="3"/>
  <c r="T99" i="3"/>
  <c r="U99" i="3" s="1"/>
  <c r="L91" i="3"/>
  <c r="AA85" i="3"/>
  <c r="Q87" i="3"/>
  <c r="R85" i="3"/>
  <c r="Z43" i="3"/>
  <c r="T16" i="3"/>
  <c r="T80" i="3"/>
  <c r="U80" i="3" s="1"/>
  <c r="T79" i="3"/>
  <c r="T17" i="3"/>
  <c r="U17" i="3" s="1"/>
  <c r="T37" i="3"/>
  <c r="T38" i="3"/>
  <c r="U38" i="3" s="1"/>
  <c r="T115" i="3"/>
  <c r="U115" i="3" s="1"/>
  <c r="N113" i="3"/>
  <c r="O113" i="3" s="1"/>
  <c r="T111" i="3"/>
  <c r="N99" i="3"/>
  <c r="O99" i="3" s="1"/>
  <c r="T93" i="3"/>
  <c r="U93" i="3" s="1"/>
  <c r="T90" i="3"/>
  <c r="U90" i="3" s="1"/>
  <c r="R82" i="3"/>
  <c r="N98" i="3"/>
  <c r="X82" i="3"/>
  <c r="K58" i="3"/>
  <c r="L58" i="3" s="1"/>
  <c r="U30" i="3"/>
  <c r="AA22" i="3"/>
  <c r="V24" i="3"/>
  <c r="V43" i="3" s="1"/>
  <c r="V49" i="3" s="1"/>
  <c r="V60" i="3" s="1"/>
  <c r="V62" i="3" s="1"/>
  <c r="I73" i="22"/>
  <c r="Z71" i="22"/>
  <c r="W71" i="22"/>
  <c r="T71" i="22"/>
  <c r="T46" i="22" s="1"/>
  <c r="Q71" i="22"/>
  <c r="N71" i="22"/>
  <c r="K71" i="22"/>
  <c r="H71" i="22"/>
  <c r="H46" i="22" s="1"/>
  <c r="E71" i="22"/>
  <c r="Z69" i="22"/>
  <c r="W69" i="22"/>
  <c r="T69" i="22"/>
  <c r="Q69" i="22"/>
  <c r="N69" i="22"/>
  <c r="K69" i="22"/>
  <c r="H69" i="22"/>
  <c r="E69" i="22"/>
  <c r="Z68" i="22"/>
  <c r="W68" i="22"/>
  <c r="T68" i="22"/>
  <c r="Q68" i="22"/>
  <c r="N68" i="22"/>
  <c r="K68" i="22"/>
  <c r="H68" i="22"/>
  <c r="E68" i="22"/>
  <c r="Z67" i="22"/>
  <c r="W67" i="22"/>
  <c r="T67" i="22"/>
  <c r="Q67" i="22"/>
  <c r="N67" i="22"/>
  <c r="K67" i="22"/>
  <c r="H67" i="22"/>
  <c r="Y55" i="22"/>
  <c r="V55" i="22"/>
  <c r="S55" i="22"/>
  <c r="P55" i="22"/>
  <c r="M55" i="22"/>
  <c r="J55" i="22"/>
  <c r="G55" i="22"/>
  <c r="D55" i="22"/>
  <c r="Z54" i="22"/>
  <c r="Y54" i="22"/>
  <c r="W54" i="22"/>
  <c r="V54" i="22"/>
  <c r="S54" i="22"/>
  <c r="Q54" i="22"/>
  <c r="P54" i="22"/>
  <c r="N54" i="22"/>
  <c r="M54" i="22"/>
  <c r="K54" i="22"/>
  <c r="J54" i="22"/>
  <c r="G54" i="22"/>
  <c r="E54" i="22"/>
  <c r="D54" i="22"/>
  <c r="Z53" i="22"/>
  <c r="Y53" i="22"/>
  <c r="W53" i="22"/>
  <c r="V53" i="22"/>
  <c r="S53" i="22"/>
  <c r="Q53" i="22"/>
  <c r="P53" i="22"/>
  <c r="N53" i="22"/>
  <c r="M53" i="22"/>
  <c r="K53" i="22"/>
  <c r="J53" i="22"/>
  <c r="G53" i="22"/>
  <c r="E53" i="22"/>
  <c r="D53" i="22"/>
  <c r="AF52" i="22"/>
  <c r="Z52" i="22"/>
  <c r="Y52" i="22"/>
  <c r="W52" i="22"/>
  <c r="V52" i="22"/>
  <c r="S52" i="22"/>
  <c r="Q52" i="22"/>
  <c r="P52" i="22"/>
  <c r="N52" i="22"/>
  <c r="M52" i="22"/>
  <c r="K52" i="22"/>
  <c r="J52" i="22"/>
  <c r="G52" i="22"/>
  <c r="E52" i="22"/>
  <c r="D52" i="22"/>
  <c r="Z51" i="22"/>
  <c r="Y51" i="22"/>
  <c r="W51" i="22"/>
  <c r="V51" i="22"/>
  <c r="S51" i="22"/>
  <c r="Q51" i="22"/>
  <c r="P51" i="22"/>
  <c r="N51" i="22"/>
  <c r="M51" i="22"/>
  <c r="K51" i="22"/>
  <c r="J51" i="22"/>
  <c r="L51" i="22" s="1"/>
  <c r="G51" i="22"/>
  <c r="E51" i="22"/>
  <c r="D51" i="22"/>
  <c r="Z50" i="22"/>
  <c r="Y50" i="22"/>
  <c r="W50" i="22"/>
  <c r="V50" i="22"/>
  <c r="S50" i="22"/>
  <c r="Q50" i="22"/>
  <c r="P50" i="22"/>
  <c r="N50" i="22"/>
  <c r="M50" i="22"/>
  <c r="K50" i="22"/>
  <c r="J50" i="22"/>
  <c r="G50" i="22"/>
  <c r="E50" i="22"/>
  <c r="D50" i="22"/>
  <c r="Z46" i="22"/>
  <c r="Y46" i="22"/>
  <c r="W46" i="22"/>
  <c r="V46" i="22"/>
  <c r="S46" i="22"/>
  <c r="Q46" i="22"/>
  <c r="P46" i="22"/>
  <c r="N46" i="22"/>
  <c r="M46" i="22"/>
  <c r="K46" i="22"/>
  <c r="J46" i="22"/>
  <c r="G46" i="22"/>
  <c r="E46" i="22"/>
  <c r="F46" i="22" s="1"/>
  <c r="D46" i="22"/>
  <c r="AF44" i="22"/>
  <c r="Z42" i="22"/>
  <c r="Y42" i="22"/>
  <c r="AC41" i="22"/>
  <c r="AB41" i="22"/>
  <c r="AA41" i="22"/>
  <c r="X41" i="22"/>
  <c r="U41" i="22"/>
  <c r="R41" i="22"/>
  <c r="O41" i="22"/>
  <c r="L41" i="22"/>
  <c r="I41" i="22"/>
  <c r="F41" i="22"/>
  <c r="AC40" i="22"/>
  <c r="AB40" i="22"/>
  <c r="AA40" i="22"/>
  <c r="X40" i="22"/>
  <c r="U40" i="22"/>
  <c r="R40" i="22"/>
  <c r="O40" i="22"/>
  <c r="L40" i="22"/>
  <c r="I40" i="22"/>
  <c r="F40" i="22"/>
  <c r="AA39" i="22"/>
  <c r="AA38" i="22"/>
  <c r="Z36" i="22"/>
  <c r="Y36" i="22"/>
  <c r="W36" i="22"/>
  <c r="V36" i="22"/>
  <c r="AC35" i="22"/>
  <c r="AB35" i="22"/>
  <c r="AA35" i="22"/>
  <c r="X35" i="22"/>
  <c r="U35" i="22"/>
  <c r="R35" i="22"/>
  <c r="O35" i="22"/>
  <c r="L35" i="22"/>
  <c r="I35" i="22"/>
  <c r="F35" i="22"/>
  <c r="AA34" i="22"/>
  <c r="X34" i="22"/>
  <c r="T34" i="22"/>
  <c r="S34" i="22"/>
  <c r="Q34" i="22"/>
  <c r="R34" i="22" s="1"/>
  <c r="O34" i="22"/>
  <c r="K34" i="22"/>
  <c r="J34" i="22"/>
  <c r="I34" i="22"/>
  <c r="F34" i="22"/>
  <c r="AA33" i="22"/>
  <c r="X33" i="22"/>
  <c r="S33" i="22"/>
  <c r="Q33" i="22"/>
  <c r="P33" i="22"/>
  <c r="O33" i="22"/>
  <c r="K33" i="22"/>
  <c r="J33" i="22"/>
  <c r="I33" i="22"/>
  <c r="F33" i="22"/>
  <c r="AA32" i="22"/>
  <c r="X32" i="22"/>
  <c r="U32" i="22"/>
  <c r="R32" i="22"/>
  <c r="O32" i="22"/>
  <c r="K32" i="22"/>
  <c r="AC32" i="22" s="1"/>
  <c r="J32" i="22"/>
  <c r="AB32" i="22" s="1"/>
  <c r="I32" i="22"/>
  <c r="F32" i="22"/>
  <c r="AA31" i="22"/>
  <c r="X31" i="22"/>
  <c r="T31" i="22"/>
  <c r="S31" i="22"/>
  <c r="Q31" i="22"/>
  <c r="P31" i="22"/>
  <c r="P22" i="22" s="1"/>
  <c r="N31" i="22"/>
  <c r="M31" i="22"/>
  <c r="M36" i="22" s="1"/>
  <c r="K31" i="22"/>
  <c r="J31" i="22"/>
  <c r="H31" i="22"/>
  <c r="H36" i="22" s="1"/>
  <c r="G31" i="22"/>
  <c r="G36" i="22" s="1"/>
  <c r="E31" i="22"/>
  <c r="E36" i="22" s="1"/>
  <c r="D31" i="22"/>
  <c r="D36" i="22" s="1"/>
  <c r="AA30" i="22"/>
  <c r="X30" i="22"/>
  <c r="S30" i="22"/>
  <c r="Q30" i="22"/>
  <c r="P30" i="22"/>
  <c r="O30" i="22"/>
  <c r="K30" i="22"/>
  <c r="J30" i="22"/>
  <c r="I30" i="22"/>
  <c r="F30" i="22"/>
  <c r="AA29" i="22"/>
  <c r="X29" i="22"/>
  <c r="S29" i="22"/>
  <c r="Q29" i="22"/>
  <c r="P29" i="22"/>
  <c r="O29" i="22"/>
  <c r="K29" i="22"/>
  <c r="J29" i="22"/>
  <c r="I29" i="22"/>
  <c r="F29" i="22"/>
  <c r="Y25" i="22"/>
  <c r="AA24" i="22"/>
  <c r="X24" i="22"/>
  <c r="T24" i="22"/>
  <c r="S24" i="22"/>
  <c r="R24" i="22"/>
  <c r="O24" i="22"/>
  <c r="K24" i="22"/>
  <c r="J24" i="22"/>
  <c r="I24" i="22"/>
  <c r="F24" i="22"/>
  <c r="AA23" i="22"/>
  <c r="X23" i="22"/>
  <c r="T23" i="22"/>
  <c r="S23" i="22"/>
  <c r="AB23" i="22" s="1"/>
  <c r="R23" i="22"/>
  <c r="O23" i="22"/>
  <c r="K23" i="22"/>
  <c r="L23" i="22" s="1"/>
  <c r="I23" i="22"/>
  <c r="F23" i="22"/>
  <c r="AA22" i="22"/>
  <c r="W22" i="22"/>
  <c r="V22" i="22"/>
  <c r="T22" i="22"/>
  <c r="S22" i="22"/>
  <c r="Q22" i="22"/>
  <c r="N22" i="22"/>
  <c r="M22" i="22"/>
  <c r="K22" i="22"/>
  <c r="J22" i="22"/>
  <c r="H22" i="22"/>
  <c r="G22" i="22"/>
  <c r="E22" i="22"/>
  <c r="E25" i="22" s="1"/>
  <c r="D22" i="22"/>
  <c r="AA21" i="22"/>
  <c r="W21" i="22"/>
  <c r="V21" i="22"/>
  <c r="T21" i="22"/>
  <c r="S21" i="22"/>
  <c r="R21" i="22"/>
  <c r="N21" i="22"/>
  <c r="M21" i="22"/>
  <c r="K21" i="22"/>
  <c r="J21" i="22"/>
  <c r="H21" i="22"/>
  <c r="G21" i="22"/>
  <c r="F21" i="22"/>
  <c r="Z20" i="22"/>
  <c r="AA20" i="22" s="1"/>
  <c r="X20" i="22"/>
  <c r="S20" i="22"/>
  <c r="R20" i="22"/>
  <c r="N20" i="22"/>
  <c r="M20" i="22"/>
  <c r="K20" i="22"/>
  <c r="J20" i="22"/>
  <c r="G20" i="22"/>
  <c r="F20" i="22"/>
  <c r="Z19" i="22"/>
  <c r="AA19" i="22" s="1"/>
  <c r="X19" i="22"/>
  <c r="S19" i="22"/>
  <c r="R19" i="22"/>
  <c r="N19" i="22"/>
  <c r="M19" i="22"/>
  <c r="K19" i="22"/>
  <c r="J19" i="22"/>
  <c r="G19" i="22"/>
  <c r="F19" i="22"/>
  <c r="AA18" i="22"/>
  <c r="X18" i="22"/>
  <c r="T18" i="22"/>
  <c r="S18" i="22"/>
  <c r="Q18" i="22"/>
  <c r="R18" i="22" s="1"/>
  <c r="O18" i="22"/>
  <c r="K18" i="22"/>
  <c r="J18" i="22"/>
  <c r="I18" i="22"/>
  <c r="F18" i="22"/>
  <c r="AA17" i="22"/>
  <c r="X17" i="22"/>
  <c r="T17" i="22"/>
  <c r="S17" i="22"/>
  <c r="Q17" i="22"/>
  <c r="P17" i="22"/>
  <c r="O17" i="22"/>
  <c r="K17" i="22"/>
  <c r="J17" i="22"/>
  <c r="I17" i="22"/>
  <c r="D17" i="22"/>
  <c r="F17" i="22" s="1"/>
  <c r="AA16" i="22"/>
  <c r="W16" i="22"/>
  <c r="V16" i="22"/>
  <c r="T16" i="22"/>
  <c r="S16" i="22"/>
  <c r="R16" i="22"/>
  <c r="N16" i="22"/>
  <c r="M16" i="22"/>
  <c r="K16" i="22"/>
  <c r="J16" i="22"/>
  <c r="H16" i="22"/>
  <c r="G16" i="22"/>
  <c r="F16" i="22"/>
  <c r="Y14" i="22"/>
  <c r="V14" i="22"/>
  <c r="Q14" i="22"/>
  <c r="P14" i="22"/>
  <c r="J14" i="22"/>
  <c r="G14" i="22"/>
  <c r="E14" i="22"/>
  <c r="D14" i="22"/>
  <c r="D9" i="22"/>
  <c r="S104" i="3" l="1"/>
  <c r="S108" i="3" s="1"/>
  <c r="S118" i="3" s="1"/>
  <c r="S120" i="3" s="1"/>
  <c r="AD9" i="3"/>
  <c r="S43" i="3"/>
  <c r="S49" i="3" s="1"/>
  <c r="S60" i="3" s="1"/>
  <c r="S62" i="3" s="1"/>
  <c r="R10" i="3"/>
  <c r="J43" i="3"/>
  <c r="J49" i="3" s="1"/>
  <c r="J60" i="3" s="1"/>
  <c r="J62" i="3" s="1"/>
  <c r="P118" i="3"/>
  <c r="P120" i="3" s="1"/>
  <c r="X85" i="3"/>
  <c r="W87" i="3"/>
  <c r="X24" i="3"/>
  <c r="M104" i="3"/>
  <c r="M108" i="3" s="1"/>
  <c r="M118" i="3" s="1"/>
  <c r="M120" i="3" s="1"/>
  <c r="X10" i="3"/>
  <c r="AA24" i="3"/>
  <c r="J104" i="3"/>
  <c r="J108" i="3" s="1"/>
  <c r="J118" i="3" s="1"/>
  <c r="J120" i="3" s="1"/>
  <c r="Y43" i="3"/>
  <c r="Y49" i="3" s="1"/>
  <c r="Y60" i="3" s="1"/>
  <c r="Y62" i="3" s="1"/>
  <c r="X22" i="3"/>
  <c r="U111" i="3"/>
  <c r="T116" i="3"/>
  <c r="U116" i="3" s="1"/>
  <c r="T41" i="3"/>
  <c r="U41" i="3" s="1"/>
  <c r="U37" i="3"/>
  <c r="T22" i="3"/>
  <c r="U16" i="3"/>
  <c r="U27" i="3"/>
  <c r="T34" i="3"/>
  <c r="U34" i="3" s="1"/>
  <c r="T102" i="3"/>
  <c r="U102" i="3" s="1"/>
  <c r="W41" i="3"/>
  <c r="X37" i="3"/>
  <c r="L16" i="3"/>
  <c r="K22" i="3"/>
  <c r="N102" i="3"/>
  <c r="O102" i="3" s="1"/>
  <c r="O98" i="3"/>
  <c r="Z49" i="3"/>
  <c r="AA43" i="3"/>
  <c r="R87" i="3"/>
  <c r="AA104" i="3"/>
  <c r="Z108" i="3"/>
  <c r="L89" i="3"/>
  <c r="K96" i="3"/>
  <c r="L96" i="3" s="1"/>
  <c r="L27" i="3"/>
  <c r="K34" i="3"/>
  <c r="L34" i="3" s="1"/>
  <c r="X110" i="3"/>
  <c r="W116" i="3"/>
  <c r="X116" i="3" s="1"/>
  <c r="R27" i="3"/>
  <c r="Q34" i="3"/>
  <c r="R34" i="3" s="1"/>
  <c r="Q116" i="3"/>
  <c r="R116" i="3" s="1"/>
  <c r="R110" i="3"/>
  <c r="Q41" i="3"/>
  <c r="R41" i="3" s="1"/>
  <c r="R37" i="3"/>
  <c r="T85" i="3"/>
  <c r="U79" i="3"/>
  <c r="O111" i="3"/>
  <c r="N116" i="3"/>
  <c r="O116" i="3" s="1"/>
  <c r="U89" i="3"/>
  <c r="T96" i="3"/>
  <c r="U96" i="3" s="1"/>
  <c r="O79" i="3"/>
  <c r="N85" i="3"/>
  <c r="L110" i="3"/>
  <c r="K116" i="3"/>
  <c r="L116" i="3" s="1"/>
  <c r="K41" i="3"/>
  <c r="L41" i="3" s="1"/>
  <c r="L37" i="3"/>
  <c r="W102" i="3"/>
  <c r="X102" i="3" s="1"/>
  <c r="X98" i="3"/>
  <c r="R98" i="3"/>
  <c r="Q102" i="3"/>
  <c r="R102" i="3" s="1"/>
  <c r="X87" i="3"/>
  <c r="AA111" i="3"/>
  <c r="Z116" i="3"/>
  <c r="AA116" i="3" s="1"/>
  <c r="O37" i="3"/>
  <c r="N41" i="3"/>
  <c r="O41" i="3" s="1"/>
  <c r="N22" i="3"/>
  <c r="O16" i="3"/>
  <c r="K102" i="3"/>
  <c r="L102" i="3" s="1"/>
  <c r="L98" i="3"/>
  <c r="R89" i="3"/>
  <c r="Q96" i="3"/>
  <c r="R96" i="3" s="1"/>
  <c r="L79" i="3"/>
  <c r="K85" i="3"/>
  <c r="Q24" i="3"/>
  <c r="R22" i="3"/>
  <c r="F52" i="22"/>
  <c r="O53" i="22"/>
  <c r="L54" i="22"/>
  <c r="F51" i="22"/>
  <c r="R53" i="22"/>
  <c r="O54" i="22"/>
  <c r="AD41" i="22"/>
  <c r="AD35" i="22"/>
  <c r="AA36" i="22"/>
  <c r="AD40" i="22"/>
  <c r="L29" i="22"/>
  <c r="L30" i="22"/>
  <c r="O20" i="22"/>
  <c r="U22" i="22"/>
  <c r="U24" i="22"/>
  <c r="L20" i="22"/>
  <c r="X36" i="22"/>
  <c r="AA42" i="22"/>
  <c r="L21" i="22"/>
  <c r="I22" i="22"/>
  <c r="O22" i="22"/>
  <c r="R46" i="22"/>
  <c r="L16" i="22"/>
  <c r="AB20" i="22"/>
  <c r="U21" i="22"/>
  <c r="L33" i="22"/>
  <c r="G25" i="22"/>
  <c r="G27" i="22" s="1"/>
  <c r="U16" i="22"/>
  <c r="O21" i="22"/>
  <c r="AB21" i="22"/>
  <c r="L22" i="22"/>
  <c r="R29" i="22"/>
  <c r="G56" i="22"/>
  <c r="X50" i="22"/>
  <c r="R51" i="22"/>
  <c r="AA54" i="22"/>
  <c r="N25" i="22"/>
  <c r="AB18" i="22"/>
  <c r="R22" i="22"/>
  <c r="X51" i="22"/>
  <c r="J25" i="22"/>
  <c r="X16" i="22"/>
  <c r="F31" i="22"/>
  <c r="R33" i="22"/>
  <c r="L34" i="22"/>
  <c r="O46" i="22"/>
  <c r="AA46" i="22"/>
  <c r="R52" i="22"/>
  <c r="F53" i="22"/>
  <c r="AA53" i="22"/>
  <c r="W25" i="22"/>
  <c r="Q25" i="22"/>
  <c r="R31" i="22"/>
  <c r="L17" i="22"/>
  <c r="X22" i="22"/>
  <c r="L24" i="22"/>
  <c r="AC24" i="22"/>
  <c r="S56" i="22"/>
  <c r="O51" i="22"/>
  <c r="AA51" i="22"/>
  <c r="L53" i="22"/>
  <c r="AD32" i="22"/>
  <c r="J27" i="22"/>
  <c r="O16" i="22"/>
  <c r="R17" i="22"/>
  <c r="L18" i="22"/>
  <c r="L19" i="22"/>
  <c r="I21" i="22"/>
  <c r="X21" i="22"/>
  <c r="AB24" i="22"/>
  <c r="J36" i="22"/>
  <c r="P36" i="22"/>
  <c r="R30" i="22"/>
  <c r="I36" i="22"/>
  <c r="AB34" i="22"/>
  <c r="L46" i="22"/>
  <c r="O50" i="22"/>
  <c r="F54" i="22"/>
  <c r="R54" i="22"/>
  <c r="K25" i="22"/>
  <c r="O19" i="22"/>
  <c r="AB30" i="22"/>
  <c r="F36" i="22"/>
  <c r="L31" i="22"/>
  <c r="L50" i="22"/>
  <c r="AA50" i="22"/>
  <c r="O52" i="22"/>
  <c r="AA52" i="22"/>
  <c r="I46" i="22"/>
  <c r="S25" i="22"/>
  <c r="AC17" i="22"/>
  <c r="F22" i="22"/>
  <c r="L32" i="22"/>
  <c r="L52" i="22"/>
  <c r="AB54" i="22"/>
  <c r="H51" i="22"/>
  <c r="I51" i="22" s="1"/>
  <c r="H53" i="22"/>
  <c r="I53" i="22" s="1"/>
  <c r="H52" i="22"/>
  <c r="I52" i="22" s="1"/>
  <c r="H54" i="22"/>
  <c r="I54" i="22" s="1"/>
  <c r="H50" i="22"/>
  <c r="T51" i="22"/>
  <c r="T53" i="22"/>
  <c r="T52" i="22"/>
  <c r="T54" i="22"/>
  <c r="U54" i="22" s="1"/>
  <c r="T50" i="22"/>
  <c r="T30" i="22"/>
  <c r="T33" i="22"/>
  <c r="T29" i="22"/>
  <c r="H19" i="22"/>
  <c r="I19" i="22" s="1"/>
  <c r="H20" i="22"/>
  <c r="I20" i="22" s="1"/>
  <c r="T20" i="22"/>
  <c r="T19" i="22"/>
  <c r="AC46" i="22"/>
  <c r="U46" i="22"/>
  <c r="N36" i="22"/>
  <c r="O36" i="22" s="1"/>
  <c r="O31" i="22"/>
  <c r="Y27" i="22"/>
  <c r="Y44" i="22" s="1"/>
  <c r="Y48" i="22" s="1"/>
  <c r="AB22" i="22"/>
  <c r="AC23" i="22"/>
  <c r="AD23" i="22" s="1"/>
  <c r="U23" i="22"/>
  <c r="V25" i="22"/>
  <c r="AB31" i="22"/>
  <c r="AC31" i="22"/>
  <c r="AB53" i="22"/>
  <c r="X53" i="22"/>
  <c r="E27" i="22"/>
  <c r="F14" i="22"/>
  <c r="H25" i="22"/>
  <c r="I16" i="22"/>
  <c r="M25" i="22"/>
  <c r="AB16" i="22"/>
  <c r="P25" i="22"/>
  <c r="AC18" i="22"/>
  <c r="AC22" i="22"/>
  <c r="AD22" i="22" s="1"/>
  <c r="AB33" i="22"/>
  <c r="V56" i="22"/>
  <c r="Q27" i="22"/>
  <c r="R14" i="22"/>
  <c r="D25" i="22"/>
  <c r="F25" i="22" s="1"/>
  <c r="AB19" i="22"/>
  <c r="Z25" i="22"/>
  <c r="AA25" i="22" s="1"/>
  <c r="P56" i="22"/>
  <c r="R50" i="22"/>
  <c r="AB50" i="22"/>
  <c r="AC16" i="22"/>
  <c r="S36" i="22"/>
  <c r="X54" i="22"/>
  <c r="Y56" i="22"/>
  <c r="AB17" i="22"/>
  <c r="AD17" i="22" s="1"/>
  <c r="AC21" i="22"/>
  <c r="AD21" i="22" s="1"/>
  <c r="AB29" i="22"/>
  <c r="D56" i="22"/>
  <c r="F50" i="22"/>
  <c r="J56" i="22"/>
  <c r="AB51" i="22"/>
  <c r="AB52" i="22"/>
  <c r="X52" i="22"/>
  <c r="M56" i="22"/>
  <c r="U17" i="22"/>
  <c r="U18" i="22"/>
  <c r="K36" i="22"/>
  <c r="Q36" i="22"/>
  <c r="R36" i="22" s="1"/>
  <c r="I31" i="22"/>
  <c r="U31" i="22"/>
  <c r="AC34" i="22"/>
  <c r="U34" i="22"/>
  <c r="AB46" i="22"/>
  <c r="X46" i="22"/>
  <c r="AB55" i="22"/>
  <c r="G379" i="4"/>
  <c r="G18" i="9" s="1"/>
  <c r="F379" i="4"/>
  <c r="F18" i="9" s="1"/>
  <c r="E379" i="4"/>
  <c r="E18" i="9" s="1"/>
  <c r="D379" i="4"/>
  <c r="D18" i="9" s="1"/>
  <c r="E18" i="10"/>
  <c r="F224" i="4"/>
  <c r="F30" i="10" s="1"/>
  <c r="D224" i="4"/>
  <c r="D30" i="10" s="1"/>
  <c r="G224" i="4"/>
  <c r="G18" i="10" s="1"/>
  <c r="E224" i="4"/>
  <c r="W104" i="3" l="1"/>
  <c r="X104" i="3" s="1"/>
  <c r="O85" i="3"/>
  <c r="N87" i="3"/>
  <c r="R24" i="3"/>
  <c r="Q43" i="3"/>
  <c r="N24" i="3"/>
  <c r="O22" i="3"/>
  <c r="AA49" i="3"/>
  <c r="Z60" i="3"/>
  <c r="L85" i="3"/>
  <c r="K87" i="3"/>
  <c r="Q104" i="3"/>
  <c r="T87" i="3"/>
  <c r="U85" i="3"/>
  <c r="X41" i="3"/>
  <c r="W43" i="3"/>
  <c r="Z118" i="3"/>
  <c r="AA108" i="3"/>
  <c r="L22" i="3"/>
  <c r="K24" i="3"/>
  <c r="U22" i="3"/>
  <c r="T24" i="3"/>
  <c r="AD18" i="22"/>
  <c r="L25" i="22"/>
  <c r="R25" i="22"/>
  <c r="T25" i="22"/>
  <c r="U25" i="22" s="1"/>
  <c r="AC50" i="22"/>
  <c r="AD50" i="22" s="1"/>
  <c r="O25" i="22"/>
  <c r="I25" i="22"/>
  <c r="AD31" i="22"/>
  <c r="AD34" i="22"/>
  <c r="L36" i="22"/>
  <c r="AD24" i="22"/>
  <c r="D27" i="22"/>
  <c r="AD16" i="22"/>
  <c r="AB25" i="22"/>
  <c r="P27" i="22"/>
  <c r="AC54" i="22"/>
  <c r="AD54" i="22" s="1"/>
  <c r="R27" i="22"/>
  <c r="Y58" i="22"/>
  <c r="Y60" i="22" s="1"/>
  <c r="AC19" i="22"/>
  <c r="U19" i="22"/>
  <c r="T36" i="22"/>
  <c r="U36" i="22" s="1"/>
  <c r="AC29" i="22"/>
  <c r="U29" i="22"/>
  <c r="U51" i="22"/>
  <c r="AC51" i="22"/>
  <c r="AD51" i="22" s="1"/>
  <c r="X25" i="22"/>
  <c r="U20" i="22"/>
  <c r="AC20" i="22"/>
  <c r="AD20" i="22" s="1"/>
  <c r="AC33" i="22"/>
  <c r="AD33" i="22" s="1"/>
  <c r="U33" i="22"/>
  <c r="U50" i="22"/>
  <c r="AC52" i="22"/>
  <c r="AD52" i="22" s="1"/>
  <c r="U52" i="22"/>
  <c r="AB56" i="22"/>
  <c r="AB36" i="22"/>
  <c r="V27" i="22"/>
  <c r="AC25" i="22"/>
  <c r="AD25" i="22" s="1"/>
  <c r="AD46" i="22"/>
  <c r="AC30" i="22"/>
  <c r="U30" i="22"/>
  <c r="AC53" i="22"/>
  <c r="AD53" i="22" s="1"/>
  <c r="U53" i="22"/>
  <c r="I50" i="22"/>
  <c r="D70" i="13"/>
  <c r="AF59" i="3"/>
  <c r="G292" i="19"/>
  <c r="AF104" i="3"/>
  <c r="I54" i="13"/>
  <c r="I56" i="13"/>
  <c r="I53" i="13"/>
  <c r="D53" i="13"/>
  <c r="I48" i="13"/>
  <c r="E204" i="4"/>
  <c r="F204" i="4"/>
  <c r="G204" i="4"/>
  <c r="D204" i="4"/>
  <c r="G128" i="19"/>
  <c r="E40" i="19"/>
  <c r="E376" i="4"/>
  <c r="F376" i="4"/>
  <c r="G376" i="4"/>
  <c r="D376" i="4"/>
  <c r="D375" i="4"/>
  <c r="F404" i="4"/>
  <c r="G404" i="4"/>
  <c r="D404" i="4"/>
  <c r="E209" i="19"/>
  <c r="F209" i="19"/>
  <c r="G209" i="19"/>
  <c r="G296" i="4"/>
  <c r="E296" i="4"/>
  <c r="F296" i="4"/>
  <c r="D296" i="4"/>
  <c r="E261" i="4"/>
  <c r="F261" i="4"/>
  <c r="G261" i="4"/>
  <c r="D261" i="4"/>
  <c r="E294" i="4"/>
  <c r="F294" i="4"/>
  <c r="G294" i="4"/>
  <c r="E295" i="4"/>
  <c r="F295" i="4"/>
  <c r="G295" i="4"/>
  <c r="D295" i="4"/>
  <c r="D294" i="4"/>
  <c r="D293" i="4"/>
  <c r="E250" i="4"/>
  <c r="E50" i="10" s="1"/>
  <c r="F250" i="4"/>
  <c r="G250" i="4"/>
  <c r="D250" i="4"/>
  <c r="G146" i="4"/>
  <c r="G147" i="4"/>
  <c r="F146" i="4"/>
  <c r="F147" i="4"/>
  <c r="E146" i="4"/>
  <c r="E147" i="4"/>
  <c r="D146" i="4"/>
  <c r="D147" i="4"/>
  <c r="G151" i="4"/>
  <c r="G152" i="4"/>
  <c r="G153" i="4"/>
  <c r="G154" i="4"/>
  <c r="G155" i="4"/>
  <c r="G156" i="4"/>
  <c r="G157" i="4"/>
  <c r="G158" i="4"/>
  <c r="F151" i="4"/>
  <c r="F152" i="4"/>
  <c r="F153" i="4"/>
  <c r="F154" i="4"/>
  <c r="F155" i="4"/>
  <c r="F156" i="4"/>
  <c r="F157" i="4"/>
  <c r="F158" i="4"/>
  <c r="E151" i="4"/>
  <c r="E152" i="4"/>
  <c r="E153" i="4"/>
  <c r="E154" i="4"/>
  <c r="E155" i="4"/>
  <c r="E156" i="4"/>
  <c r="E157" i="4"/>
  <c r="E158" i="4"/>
  <c r="D151" i="4"/>
  <c r="D152" i="4"/>
  <c r="D153" i="4"/>
  <c r="D154" i="4"/>
  <c r="D155" i="4"/>
  <c r="D156" i="4"/>
  <c r="D157" i="4"/>
  <c r="D158" i="4"/>
  <c r="E140" i="4"/>
  <c r="E141" i="4"/>
  <c r="E142" i="4"/>
  <c r="E143" i="4"/>
  <c r="E144" i="4"/>
  <c r="E145" i="4"/>
  <c r="E148" i="4"/>
  <c r="E149" i="4"/>
  <c r="E150" i="4"/>
  <c r="E15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8" i="4"/>
  <c r="G148" i="4"/>
  <c r="F149" i="4"/>
  <c r="G149" i="4"/>
  <c r="F150" i="4"/>
  <c r="G150" i="4"/>
  <c r="F159" i="4"/>
  <c r="G159" i="4"/>
  <c r="D143" i="4"/>
  <c r="G111" i="4"/>
  <c r="G112" i="4"/>
  <c r="G113" i="4"/>
  <c r="G114" i="4"/>
  <c r="G115" i="4"/>
  <c r="G116" i="4"/>
  <c r="G117" i="4"/>
  <c r="G104" i="4"/>
  <c r="G105" i="4"/>
  <c r="G106" i="4"/>
  <c r="G107" i="4"/>
  <c r="G108" i="4"/>
  <c r="G109" i="4"/>
  <c r="G110" i="4"/>
  <c r="G103" i="4"/>
  <c r="G102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F76" i="4"/>
  <c r="G43" i="4"/>
  <c r="F43" i="4"/>
  <c r="E43" i="4"/>
  <c r="D57" i="13" s="1"/>
  <c r="D43" i="4"/>
  <c r="E239" i="19"/>
  <c r="E404" i="4" s="1"/>
  <c r="E133" i="19"/>
  <c r="F133" i="19"/>
  <c r="G133" i="19"/>
  <c r="E55" i="19"/>
  <c r="F55" i="19"/>
  <c r="G55" i="19"/>
  <c r="D55" i="19"/>
  <c r="W108" i="3" l="1"/>
  <c r="X108" i="3" s="1"/>
  <c r="L24" i="3"/>
  <c r="K43" i="3"/>
  <c r="X43" i="3"/>
  <c r="W49" i="3"/>
  <c r="Q108" i="3"/>
  <c r="R104" i="3"/>
  <c r="O24" i="3"/>
  <c r="N43" i="3"/>
  <c r="W118" i="3"/>
  <c r="Z62" i="3"/>
  <c r="AA62" i="3" s="1"/>
  <c r="AA60" i="3"/>
  <c r="R43" i="3"/>
  <c r="Q49" i="3"/>
  <c r="U24" i="3"/>
  <c r="T43" i="3"/>
  <c r="Z120" i="3"/>
  <c r="AA120" i="3" s="1"/>
  <c r="AA118" i="3"/>
  <c r="U87" i="3"/>
  <c r="T104" i="3"/>
  <c r="L87" i="3"/>
  <c r="K104" i="3"/>
  <c r="O87" i="3"/>
  <c r="N104" i="3"/>
  <c r="F27" i="22"/>
  <c r="AF20" i="22"/>
  <c r="AD19" i="22"/>
  <c r="AG31" i="22"/>
  <c r="AD30" i="22"/>
  <c r="AC36" i="22"/>
  <c r="AD36" i="22" s="1"/>
  <c r="AD29" i="22"/>
  <c r="AF112" i="3"/>
  <c r="Q118" i="3" l="1"/>
  <c r="R108" i="3"/>
  <c r="O104" i="3"/>
  <c r="N108" i="3"/>
  <c r="U104" i="3"/>
  <c r="T108" i="3"/>
  <c r="U43" i="3"/>
  <c r="T49" i="3"/>
  <c r="N49" i="3"/>
  <c r="O43" i="3"/>
  <c r="X49" i="3"/>
  <c r="W60" i="3"/>
  <c r="L104" i="3"/>
  <c r="K108" i="3"/>
  <c r="R49" i="3"/>
  <c r="Q60" i="3"/>
  <c r="W120" i="3"/>
  <c r="X120" i="3" s="1"/>
  <c r="X118" i="3"/>
  <c r="L43" i="3"/>
  <c r="K49" i="3"/>
  <c r="G50" i="9"/>
  <c r="G359" i="4"/>
  <c r="G50" i="12" s="1"/>
  <c r="G50" i="8"/>
  <c r="G50" i="10"/>
  <c r="G50" i="7"/>
  <c r="G77" i="4"/>
  <c r="G50" i="6" s="1"/>
  <c r="G41" i="19"/>
  <c r="I57" i="13"/>
  <c r="O49" i="3" l="1"/>
  <c r="N60" i="3"/>
  <c r="R118" i="3"/>
  <c r="Q120" i="3"/>
  <c r="R120" i="3" s="1"/>
  <c r="L49" i="3"/>
  <c r="K60" i="3"/>
  <c r="R60" i="3"/>
  <c r="Q62" i="3"/>
  <c r="R62" i="3" s="1"/>
  <c r="W62" i="3"/>
  <c r="X62" i="3" s="1"/>
  <c r="X60" i="3"/>
  <c r="U49" i="3"/>
  <c r="T60" i="3"/>
  <c r="N118" i="3"/>
  <c r="O108" i="3"/>
  <c r="L108" i="3"/>
  <c r="K118" i="3"/>
  <c r="T118" i="3"/>
  <c r="U108" i="3"/>
  <c r="Z55" i="22"/>
  <c r="E55" i="22"/>
  <c r="Q55" i="22"/>
  <c r="K55" i="22"/>
  <c r="W55" i="22"/>
  <c r="N55" i="22"/>
  <c r="H55" i="22"/>
  <c r="T55" i="22"/>
  <c r="E115" i="3"/>
  <c r="E354" i="4"/>
  <c r="F354" i="4"/>
  <c r="G354" i="4"/>
  <c r="D354" i="4"/>
  <c r="F292" i="4"/>
  <c r="F293" i="4"/>
  <c r="E292" i="4"/>
  <c r="E293" i="4"/>
  <c r="E107" i="4"/>
  <c r="F107" i="4"/>
  <c r="F111" i="4"/>
  <c r="E111" i="4"/>
  <c r="D145" i="4"/>
  <c r="D148" i="4"/>
  <c r="D149" i="4"/>
  <c r="D150" i="4"/>
  <c r="D159" i="4"/>
  <c r="D144" i="4"/>
  <c r="E222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D473" i="4"/>
  <c r="D474" i="4"/>
  <c r="D475" i="4"/>
  <c r="D476" i="4"/>
  <c r="D477" i="4"/>
  <c r="D478" i="4"/>
  <c r="D479" i="4"/>
  <c r="D480" i="4"/>
  <c r="D481" i="4"/>
  <c r="D482" i="4"/>
  <c r="D483" i="4"/>
  <c r="D472" i="4"/>
  <c r="D471" i="4"/>
  <c r="U118" i="3" l="1"/>
  <c r="T120" i="3"/>
  <c r="U120" i="3" s="1"/>
  <c r="N120" i="3"/>
  <c r="O120" i="3" s="1"/>
  <c r="O118" i="3"/>
  <c r="K120" i="3"/>
  <c r="L120" i="3" s="1"/>
  <c r="L118" i="3"/>
  <c r="U60" i="3"/>
  <c r="T62" i="3"/>
  <c r="U62" i="3" s="1"/>
  <c r="K62" i="3"/>
  <c r="L62" i="3" s="1"/>
  <c r="L60" i="3"/>
  <c r="N62" i="3"/>
  <c r="O62" i="3" s="1"/>
  <c r="O60" i="3"/>
  <c r="L55" i="22"/>
  <c r="K56" i="22"/>
  <c r="L56" i="22" s="1"/>
  <c r="I55" i="22"/>
  <c r="H56" i="22"/>
  <c r="I56" i="22" s="1"/>
  <c r="Q56" i="22"/>
  <c r="R56" i="22" s="1"/>
  <c r="R55" i="22"/>
  <c r="O55" i="22"/>
  <c r="N56" i="22"/>
  <c r="O56" i="22" s="1"/>
  <c r="F55" i="22"/>
  <c r="E56" i="22"/>
  <c r="F56" i="22" s="1"/>
  <c r="U55" i="22"/>
  <c r="T56" i="22"/>
  <c r="U56" i="22" s="1"/>
  <c r="X55" i="22"/>
  <c r="W56" i="22"/>
  <c r="AC55" i="22"/>
  <c r="AD55" i="22" s="1"/>
  <c r="Z56" i="22"/>
  <c r="AA55" i="22"/>
  <c r="D209" i="19"/>
  <c r="X56" i="22" l="1"/>
  <c r="AC56" i="22"/>
  <c r="AD56" i="22" s="1"/>
  <c r="AA56" i="22"/>
  <c r="E377" i="4" l="1"/>
  <c r="F377" i="4"/>
  <c r="G377" i="4"/>
  <c r="D377" i="4"/>
  <c r="AI17" i="3" l="1"/>
  <c r="AK17" i="3"/>
  <c r="E282" i="19"/>
  <c r="F282" i="19"/>
  <c r="G282" i="19"/>
  <c r="D282" i="19"/>
  <c r="E249" i="4"/>
  <c r="D249" i="4"/>
  <c r="D133" i="19"/>
  <c r="G33" i="4" l="1"/>
  <c r="G34" i="4"/>
  <c r="G35" i="4"/>
  <c r="G36" i="4"/>
  <c r="G37" i="4"/>
  <c r="G38" i="4"/>
  <c r="G39" i="4"/>
  <c r="G40" i="4"/>
  <c r="G41" i="4"/>
  <c r="G42" i="4"/>
  <c r="E42" i="4"/>
  <c r="E33" i="4"/>
  <c r="E34" i="4"/>
  <c r="E35" i="4"/>
  <c r="E36" i="4"/>
  <c r="E37" i="4"/>
  <c r="E38" i="4"/>
  <c r="E39" i="4"/>
  <c r="E40" i="4"/>
  <c r="E41" i="4"/>
  <c r="D4" i="17" l="1"/>
  <c r="D4" i="16"/>
  <c r="D4" i="15"/>
  <c r="D4" i="6"/>
  <c r="D4" i="12"/>
  <c r="D4" i="11"/>
  <c r="D4" i="9"/>
  <c r="D4" i="8"/>
  <c r="D4" i="7"/>
  <c r="D4" i="10"/>
  <c r="C11" i="13"/>
  <c r="G13" i="9" l="1"/>
  <c r="E13" i="9"/>
  <c r="G101" i="4"/>
  <c r="E199" i="19" l="1"/>
  <c r="F199" i="19"/>
  <c r="E60" i="4" l="1"/>
  <c r="F60" i="4"/>
  <c r="G60" i="4"/>
  <c r="D60" i="4"/>
  <c r="G398" i="4"/>
  <c r="G29" i="9" s="1"/>
  <c r="G384" i="4"/>
  <c r="G115" i="3" l="1"/>
  <c r="G114" i="3"/>
  <c r="G113" i="3"/>
  <c r="G112" i="3"/>
  <c r="G111" i="3"/>
  <c r="G110" i="3"/>
  <c r="G106" i="3"/>
  <c r="D115" i="3"/>
  <c r="E114" i="3"/>
  <c r="D114" i="3"/>
  <c r="E113" i="3"/>
  <c r="D113" i="3"/>
  <c r="E112" i="3"/>
  <c r="D112" i="3"/>
  <c r="E111" i="3"/>
  <c r="D111" i="3"/>
  <c r="E110" i="3"/>
  <c r="D110" i="3"/>
  <c r="H131" i="3"/>
  <c r="H106" i="3" s="1"/>
  <c r="I106" i="3" s="1"/>
  <c r="E131" i="3"/>
  <c r="G199" i="19" l="1"/>
  <c r="G314" i="4" l="1"/>
  <c r="G13" i="12" s="1"/>
  <c r="E314" i="4"/>
  <c r="E13" i="12" s="1"/>
  <c r="E13" i="10" l="1"/>
  <c r="G222" i="4"/>
  <c r="G13" i="10" l="1"/>
  <c r="F290" i="4"/>
  <c r="G290" i="4"/>
  <c r="F291" i="4"/>
  <c r="G291" i="4"/>
  <c r="G292" i="4"/>
  <c r="E290" i="4"/>
  <c r="E291" i="4"/>
  <c r="D291" i="4"/>
  <c r="D223" i="4"/>
  <c r="D19" i="10" s="1"/>
  <c r="E223" i="4"/>
  <c r="E19" i="10" s="1"/>
  <c r="G220" i="4"/>
  <c r="G221" i="4"/>
  <c r="F220" i="4"/>
  <c r="F221" i="4"/>
  <c r="E220" i="4"/>
  <c r="E221" i="4"/>
  <c r="D220" i="4"/>
  <c r="D221" i="4"/>
  <c r="D222" i="4"/>
  <c r="C453" i="4"/>
  <c r="C409" i="4"/>
  <c r="C364" i="4"/>
  <c r="C301" i="4"/>
  <c r="C256" i="4"/>
  <c r="C209" i="4"/>
  <c r="C164" i="4"/>
  <c r="C122" i="4"/>
  <c r="C82" i="4"/>
  <c r="G53" i="4"/>
  <c r="F53" i="4"/>
  <c r="E53" i="4"/>
  <c r="D53" i="4"/>
  <c r="C48" i="4"/>
  <c r="C5" i="4"/>
  <c r="E12" i="10" l="1"/>
  <c r="G12" i="10"/>
  <c r="D12" i="10"/>
  <c r="F12" i="10"/>
  <c r="G14" i="17"/>
  <c r="F14" i="17"/>
  <c r="D14" i="17"/>
  <c r="F458" i="4"/>
  <c r="D458" i="4"/>
  <c r="G414" i="4"/>
  <c r="F414" i="4"/>
  <c r="E414" i="4"/>
  <c r="D414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4" i="4"/>
  <c r="G433" i="4"/>
  <c r="G432" i="4"/>
  <c r="G431" i="4"/>
  <c r="G430" i="4"/>
  <c r="G429" i="4"/>
  <c r="G428" i="4"/>
  <c r="G427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4" i="4"/>
  <c r="E433" i="4"/>
  <c r="E432" i="4"/>
  <c r="E431" i="4"/>
  <c r="E430" i="4"/>
  <c r="E429" i="4"/>
  <c r="E428" i="4"/>
  <c r="E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27" i="4"/>
  <c r="G419" i="4"/>
  <c r="F419" i="4"/>
  <c r="E419" i="4"/>
  <c r="D419" i="4"/>
  <c r="G392" i="4"/>
  <c r="G393" i="4"/>
  <c r="G394" i="4"/>
  <c r="G395" i="4"/>
  <c r="G396" i="4"/>
  <c r="G397" i="4"/>
  <c r="G399" i="4"/>
  <c r="G400" i="4"/>
  <c r="G401" i="4"/>
  <c r="G402" i="4"/>
  <c r="G403" i="4"/>
  <c r="F392" i="4"/>
  <c r="F393" i="4"/>
  <c r="F394" i="4"/>
  <c r="F395" i="4"/>
  <c r="F396" i="4"/>
  <c r="F397" i="4"/>
  <c r="F398" i="4"/>
  <c r="F29" i="9" s="1"/>
  <c r="F399" i="4"/>
  <c r="F400" i="4"/>
  <c r="F401" i="4"/>
  <c r="F402" i="4"/>
  <c r="F403" i="4"/>
  <c r="E392" i="4"/>
  <c r="E393" i="4"/>
  <c r="E394" i="4"/>
  <c r="E395" i="4"/>
  <c r="E396" i="4"/>
  <c r="E397" i="4"/>
  <c r="E398" i="4"/>
  <c r="E29" i="9" s="1"/>
  <c r="E399" i="4"/>
  <c r="E400" i="4"/>
  <c r="E401" i="4"/>
  <c r="E402" i="4"/>
  <c r="E403" i="4"/>
  <c r="D392" i="4"/>
  <c r="D393" i="4"/>
  <c r="D394" i="4"/>
  <c r="D395" i="4"/>
  <c r="D396" i="4"/>
  <c r="D397" i="4"/>
  <c r="D398" i="4"/>
  <c r="D29" i="9" s="1"/>
  <c r="D399" i="4"/>
  <c r="D400" i="4"/>
  <c r="D401" i="4"/>
  <c r="D402" i="4"/>
  <c r="D403" i="4"/>
  <c r="G12" i="9"/>
  <c r="F12" i="9"/>
  <c r="G391" i="4"/>
  <c r="G390" i="4"/>
  <c r="G389" i="4"/>
  <c r="G388" i="4"/>
  <c r="G387" i="4"/>
  <c r="G386" i="4"/>
  <c r="G385" i="4"/>
  <c r="G383" i="4"/>
  <c r="G382" i="4"/>
  <c r="F391" i="4"/>
  <c r="F390" i="4"/>
  <c r="F389" i="4"/>
  <c r="F388" i="4"/>
  <c r="F387" i="4"/>
  <c r="F386" i="4"/>
  <c r="F385" i="4"/>
  <c r="F384" i="4"/>
  <c r="F383" i="4"/>
  <c r="F382" i="4"/>
  <c r="E391" i="4"/>
  <c r="E390" i="4"/>
  <c r="E389" i="4"/>
  <c r="E388" i="4"/>
  <c r="E387" i="4"/>
  <c r="E386" i="4"/>
  <c r="E385" i="4"/>
  <c r="E384" i="4"/>
  <c r="E383" i="4"/>
  <c r="E382" i="4"/>
  <c r="D383" i="4"/>
  <c r="D384" i="4"/>
  <c r="D26" i="9" s="1"/>
  <c r="D385" i="4"/>
  <c r="D386" i="4"/>
  <c r="D387" i="4"/>
  <c r="D388" i="4"/>
  <c r="D389" i="4"/>
  <c r="D390" i="4"/>
  <c r="D391" i="4"/>
  <c r="D382" i="4"/>
  <c r="G378" i="4"/>
  <c r="G19" i="9" s="1"/>
  <c r="G374" i="4"/>
  <c r="F378" i="4"/>
  <c r="F19" i="9" s="1"/>
  <c r="F374" i="4"/>
  <c r="E378" i="4"/>
  <c r="E19" i="9" s="1"/>
  <c r="E12" i="9"/>
  <c r="E375" i="4"/>
  <c r="E374" i="4"/>
  <c r="D378" i="4"/>
  <c r="D19" i="9" s="1"/>
  <c r="D12" i="9"/>
  <c r="D374" i="4"/>
  <c r="G369" i="4"/>
  <c r="F369" i="4"/>
  <c r="E369" i="4"/>
  <c r="D369" i="4"/>
  <c r="F313" i="4"/>
  <c r="G313" i="4"/>
  <c r="E313" i="4"/>
  <c r="D313" i="4"/>
  <c r="G336" i="4"/>
  <c r="F336" i="4"/>
  <c r="E336" i="4"/>
  <c r="D336" i="4"/>
  <c r="G344" i="4"/>
  <c r="G29" i="12" s="1"/>
  <c r="F344" i="4"/>
  <c r="F29" i="12" s="1"/>
  <c r="E344" i="4"/>
  <c r="E29" i="12" s="1"/>
  <c r="D344" i="4"/>
  <c r="D29" i="12" s="1"/>
  <c r="G306" i="4"/>
  <c r="F306" i="4"/>
  <c r="E306" i="4"/>
  <c r="G327" i="4"/>
  <c r="G322" i="4"/>
  <c r="F327" i="4"/>
  <c r="F322" i="4"/>
  <c r="F26" i="12" s="1"/>
  <c r="E327" i="4"/>
  <c r="E322" i="4"/>
  <c r="E26" i="12" s="1"/>
  <c r="D306" i="4"/>
  <c r="D327" i="4"/>
  <c r="D322" i="4"/>
  <c r="D26" i="12" s="1"/>
  <c r="D381" i="4" l="1"/>
  <c r="F381" i="4"/>
  <c r="E381" i="4"/>
  <c r="G381" i="4"/>
  <c r="G28" i="12"/>
  <c r="G26" i="12"/>
  <c r="G318" i="4"/>
  <c r="F28" i="12"/>
  <c r="G17" i="9"/>
  <c r="D17" i="9"/>
  <c r="F17" i="9"/>
  <c r="E17" i="9"/>
  <c r="D9" i="17"/>
  <c r="D15" i="17"/>
  <c r="E15" i="17"/>
  <c r="F15" i="17"/>
  <c r="E14" i="17"/>
  <c r="E470" i="4"/>
  <c r="E28" i="12"/>
  <c r="D28" i="12"/>
  <c r="G15" i="17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D290" i="4"/>
  <c r="D292" i="4"/>
  <c r="G274" i="4"/>
  <c r="F274" i="4"/>
  <c r="E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74" i="4"/>
  <c r="G266" i="4"/>
  <c r="F266" i="4"/>
  <c r="F11" i="8" s="1"/>
  <c r="E266" i="4"/>
  <c r="D266" i="4"/>
  <c r="G214" i="4"/>
  <c r="F214" i="4"/>
  <c r="E214" i="4"/>
  <c r="D214" i="4"/>
  <c r="G219" i="4"/>
  <c r="F219" i="4"/>
  <c r="G223" i="4"/>
  <c r="G19" i="10" s="1"/>
  <c r="F223" i="4"/>
  <c r="F19" i="10" s="1"/>
  <c r="E219" i="4"/>
  <c r="D219" i="4"/>
  <c r="G249" i="4"/>
  <c r="G248" i="4"/>
  <c r="G247" i="4"/>
  <c r="G246" i="4"/>
  <c r="G245" i="4"/>
  <c r="G244" i="4"/>
  <c r="G243" i="4"/>
  <c r="G29" i="10" s="1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6" i="10" s="1"/>
  <c r="G228" i="4"/>
  <c r="G227" i="4"/>
  <c r="F249" i="4"/>
  <c r="F248" i="4"/>
  <c r="F247" i="4"/>
  <c r="F246" i="4"/>
  <c r="F245" i="4"/>
  <c r="F244" i="4"/>
  <c r="F243" i="4"/>
  <c r="F29" i="10" s="1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6" i="10" s="1"/>
  <c r="F228" i="4"/>
  <c r="F227" i="4"/>
  <c r="E248" i="4"/>
  <c r="E247" i="4"/>
  <c r="E246" i="4"/>
  <c r="E245" i="4"/>
  <c r="E244" i="4"/>
  <c r="E243" i="4"/>
  <c r="E29" i="10" s="1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6" i="10" s="1"/>
  <c r="E228" i="4"/>
  <c r="E227" i="4"/>
  <c r="D227" i="4"/>
  <c r="D228" i="4"/>
  <c r="D229" i="4"/>
  <c r="D26" i="10" s="1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9" i="10" s="1"/>
  <c r="D244" i="4"/>
  <c r="D245" i="4"/>
  <c r="D246" i="4"/>
  <c r="D247" i="4"/>
  <c r="D248" i="4"/>
  <c r="G174" i="4"/>
  <c r="F174" i="4"/>
  <c r="E174" i="4"/>
  <c r="D17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182" i="4"/>
  <c r="D141" i="4"/>
  <c r="D142" i="4"/>
  <c r="D140" i="4"/>
  <c r="G100" i="4"/>
  <c r="G99" i="4" s="1"/>
  <c r="F117" i="4"/>
  <c r="F116" i="4"/>
  <c r="F115" i="4"/>
  <c r="F114" i="4"/>
  <c r="F113" i="4"/>
  <c r="F112" i="4"/>
  <c r="F110" i="4"/>
  <c r="F109" i="4"/>
  <c r="F108" i="4"/>
  <c r="F106" i="4"/>
  <c r="F105" i="4"/>
  <c r="F104" i="4"/>
  <c r="F103" i="4"/>
  <c r="F102" i="4"/>
  <c r="F101" i="4"/>
  <c r="F100" i="4"/>
  <c r="E117" i="4"/>
  <c r="E116" i="4"/>
  <c r="E115" i="4"/>
  <c r="E114" i="4"/>
  <c r="E113" i="4"/>
  <c r="E112" i="4"/>
  <c r="E110" i="4"/>
  <c r="E109" i="4"/>
  <c r="E108" i="4"/>
  <c r="E106" i="4"/>
  <c r="E105" i="4"/>
  <c r="E104" i="4"/>
  <c r="E103" i="4"/>
  <c r="E102" i="4"/>
  <c r="E101" i="4"/>
  <c r="E100" i="4"/>
  <c r="D101" i="4"/>
  <c r="D100" i="4"/>
  <c r="G76" i="4"/>
  <c r="E76" i="4"/>
  <c r="G75" i="4"/>
  <c r="F75" i="4"/>
  <c r="E75" i="4"/>
  <c r="G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G26" i="6" s="1"/>
  <c r="E91" i="3" s="1"/>
  <c r="F67" i="4"/>
  <c r="F26" i="6" s="1"/>
  <c r="D91" i="3" s="1"/>
  <c r="E67" i="4"/>
  <c r="E26" i="6" s="1"/>
  <c r="G66" i="4"/>
  <c r="E66" i="4"/>
  <c r="D67" i="4"/>
  <c r="D26" i="6" s="1"/>
  <c r="D68" i="4"/>
  <c r="D69" i="4"/>
  <c r="D70" i="4"/>
  <c r="D71" i="4"/>
  <c r="D72" i="4"/>
  <c r="D73" i="4"/>
  <c r="D74" i="4"/>
  <c r="D75" i="4"/>
  <c r="D76" i="4"/>
  <c r="D66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41" i="19"/>
  <c r="G273" i="4" l="1"/>
  <c r="F226" i="4"/>
  <c r="E226" i="4"/>
  <c r="D273" i="4"/>
  <c r="E273" i="4"/>
  <c r="F273" i="4"/>
  <c r="G226" i="4"/>
  <c r="F28" i="6"/>
  <c r="G28" i="6"/>
  <c r="G181" i="4"/>
  <c r="G65" i="4"/>
  <c r="D226" i="4"/>
  <c r="E16" i="10"/>
  <c r="F16" i="10"/>
  <c r="G16" i="10"/>
  <c r="D16" i="10"/>
  <c r="E17" i="7"/>
  <c r="H19" i="3" s="1"/>
  <c r="G17" i="7"/>
  <c r="H82" i="3" s="1"/>
  <c r="D17" i="7"/>
  <c r="G19" i="3" s="1"/>
  <c r="F17" i="7"/>
  <c r="G82" i="3" s="1"/>
  <c r="I82" i="3" l="1"/>
  <c r="I19" i="3"/>
  <c r="E17" i="10"/>
  <c r="G17" i="10"/>
  <c r="F268" i="19"/>
  <c r="D268" i="19"/>
  <c r="E435" i="4"/>
  <c r="G241" i="19"/>
  <c r="F241" i="19"/>
  <c r="E241" i="19"/>
  <c r="D241" i="19"/>
  <c r="D199" i="19"/>
  <c r="G170" i="19"/>
  <c r="G291" i="19" s="1"/>
  <c r="F170" i="19"/>
  <c r="E170" i="19"/>
  <c r="D170" i="19"/>
  <c r="G103" i="19"/>
  <c r="F103" i="19"/>
  <c r="E103" i="19"/>
  <c r="D103" i="19"/>
  <c r="G78" i="19"/>
  <c r="F78" i="19"/>
  <c r="E78" i="19"/>
  <c r="D78" i="19"/>
  <c r="E41" i="19"/>
  <c r="D41" i="19"/>
  <c r="F287" i="19" l="1"/>
  <c r="D287" i="19"/>
  <c r="E268" i="19"/>
  <c r="E287" i="19" s="1"/>
  <c r="G268" i="19"/>
  <c r="G287" i="19" s="1"/>
  <c r="G435" i="4"/>
  <c r="E458" i="4"/>
  <c r="G458" i="4"/>
  <c r="F101" i="3"/>
  <c r="F100" i="3"/>
  <c r="F95" i="3"/>
  <c r="F94" i="3"/>
  <c r="F93" i="3"/>
  <c r="F92" i="3"/>
  <c r="F91" i="3"/>
  <c r="F90" i="3"/>
  <c r="F89" i="3"/>
  <c r="F84" i="3"/>
  <c r="F83" i="3"/>
  <c r="F81" i="3"/>
  <c r="F80" i="3"/>
  <c r="F79" i="3"/>
  <c r="F78" i="3"/>
  <c r="F76" i="3"/>
  <c r="F57" i="3"/>
  <c r="F56" i="3"/>
  <c r="F55" i="3"/>
  <c r="F54" i="3"/>
  <c r="F53" i="3"/>
  <c r="F52" i="3"/>
  <c r="F46" i="3"/>
  <c r="F40" i="3"/>
  <c r="F39" i="3"/>
  <c r="F33" i="3"/>
  <c r="F32" i="3"/>
  <c r="F31" i="3"/>
  <c r="F30" i="3"/>
  <c r="F29" i="3"/>
  <c r="F28" i="3"/>
  <c r="F27" i="3"/>
  <c r="F21" i="3"/>
  <c r="F20" i="3"/>
  <c r="F18" i="3"/>
  <c r="F17" i="3"/>
  <c r="F16" i="3"/>
  <c r="F15" i="3"/>
  <c r="F13" i="3"/>
  <c r="G169" i="4" l="1"/>
  <c r="F169" i="4"/>
  <c r="D169" i="4"/>
  <c r="E169" i="4"/>
  <c r="G11" i="17" l="1"/>
  <c r="F11" i="17"/>
  <c r="E11" i="17"/>
  <c r="D11" i="17"/>
  <c r="G9" i="17" l="1"/>
  <c r="Z14" i="22" s="1"/>
  <c r="F9" i="17"/>
  <c r="E9" i="17"/>
  <c r="AA14" i="22" l="1"/>
  <c r="Z27" i="22"/>
  <c r="E15" i="15"/>
  <c r="D15" i="15"/>
  <c r="D99" i="4"/>
  <c r="D69" i="3"/>
  <c r="D3" i="3"/>
  <c r="H129" i="3"/>
  <c r="E129" i="3"/>
  <c r="H128" i="3"/>
  <c r="E128" i="3"/>
  <c r="H127" i="3"/>
  <c r="H115" i="3" s="1"/>
  <c r="I115" i="3" s="1"/>
  <c r="G16" i="16"/>
  <c r="F16" i="16"/>
  <c r="E16" i="16"/>
  <c r="D16" i="16"/>
  <c r="G11" i="16"/>
  <c r="F11" i="16"/>
  <c r="E11" i="16"/>
  <c r="D11" i="16"/>
  <c r="G17" i="16"/>
  <c r="F17" i="16"/>
  <c r="E17" i="16"/>
  <c r="D17" i="16"/>
  <c r="E14" i="15"/>
  <c r="D14" i="15"/>
  <c r="G9" i="6"/>
  <c r="E74" i="3" s="1"/>
  <c r="G12" i="6"/>
  <c r="G20" i="6" s="1"/>
  <c r="F9" i="6"/>
  <c r="D74" i="3" s="1"/>
  <c r="F12" i="6"/>
  <c r="D77" i="3" s="1"/>
  <c r="E9" i="6"/>
  <c r="E8" i="3" s="1"/>
  <c r="E10" i="3" s="1"/>
  <c r="E12" i="6"/>
  <c r="E14" i="3" s="1"/>
  <c r="D9" i="6"/>
  <c r="D8" i="3" s="1"/>
  <c r="D10" i="3" s="1"/>
  <c r="D12" i="6"/>
  <c r="D14" i="3" s="1"/>
  <c r="G12" i="12"/>
  <c r="G31" i="12"/>
  <c r="F12" i="12"/>
  <c r="F31" i="12"/>
  <c r="E12" i="12"/>
  <c r="D12" i="12"/>
  <c r="G24" i="11"/>
  <c r="G25" i="11"/>
  <c r="F24" i="11"/>
  <c r="F25" i="11"/>
  <c r="E24" i="11"/>
  <c r="E25" i="11"/>
  <c r="E28" i="11" s="1"/>
  <c r="D24" i="11"/>
  <c r="D25" i="11"/>
  <c r="G11" i="9"/>
  <c r="G26" i="9"/>
  <c r="F11" i="9"/>
  <c r="F26" i="9"/>
  <c r="E11" i="9"/>
  <c r="E26" i="9"/>
  <c r="E27" i="9"/>
  <c r="D11" i="9"/>
  <c r="D27" i="9"/>
  <c r="G26" i="8"/>
  <c r="F26" i="8"/>
  <c r="E26" i="8"/>
  <c r="D26" i="8"/>
  <c r="G11" i="8"/>
  <c r="E11" i="8"/>
  <c r="D11" i="8"/>
  <c r="G9" i="8"/>
  <c r="N14" i="22" s="1"/>
  <c r="F9" i="8"/>
  <c r="M14" i="22" s="1"/>
  <c r="E9" i="8"/>
  <c r="D9" i="8"/>
  <c r="G26" i="7"/>
  <c r="H91" i="3" s="1"/>
  <c r="F26" i="7"/>
  <c r="G91" i="3" s="1"/>
  <c r="E26" i="7"/>
  <c r="H29" i="3" s="1"/>
  <c r="I29" i="3" s="1"/>
  <c r="D26" i="7"/>
  <c r="G29" i="3" s="1"/>
  <c r="D16" i="7"/>
  <c r="G18" i="3" s="1"/>
  <c r="G11" i="7"/>
  <c r="H76" i="3" s="1"/>
  <c r="F11" i="7"/>
  <c r="G76" i="3" s="1"/>
  <c r="E11" i="7"/>
  <c r="H13" i="3" s="1"/>
  <c r="D11" i="7"/>
  <c r="G13" i="3" s="1"/>
  <c r="G9" i="7"/>
  <c r="H14" i="22" s="1"/>
  <c r="F9" i="7"/>
  <c r="E9" i="7"/>
  <c r="D9" i="7"/>
  <c r="G9" i="10"/>
  <c r="G11" i="10"/>
  <c r="F11" i="10"/>
  <c r="F9" i="10"/>
  <c r="E9" i="10"/>
  <c r="E11" i="10"/>
  <c r="D9" i="10"/>
  <c r="D11" i="10"/>
  <c r="G37" i="10"/>
  <c r="F37" i="10"/>
  <c r="E27" i="10"/>
  <c r="AC30" i="3" s="1"/>
  <c r="E37" i="10"/>
  <c r="D37" i="10"/>
  <c r="E25" i="4"/>
  <c r="E26" i="4"/>
  <c r="E27" i="4"/>
  <c r="E28" i="4"/>
  <c r="E29" i="4"/>
  <c r="E30" i="4"/>
  <c r="E31" i="4"/>
  <c r="E32" i="4"/>
  <c r="E23" i="4"/>
  <c r="E24" i="4"/>
  <c r="G25" i="4"/>
  <c r="G26" i="4"/>
  <c r="G27" i="4"/>
  <c r="G28" i="4"/>
  <c r="G29" i="4"/>
  <c r="G30" i="4"/>
  <c r="G31" i="4"/>
  <c r="G32" i="4"/>
  <c r="G23" i="4"/>
  <c r="G24" i="4"/>
  <c r="F25" i="4"/>
  <c r="F26" i="4"/>
  <c r="F27" i="4"/>
  <c r="F28" i="4"/>
  <c r="F29" i="4"/>
  <c r="F30" i="4"/>
  <c r="F31" i="4"/>
  <c r="F32" i="4"/>
  <c r="F33" i="4"/>
  <c r="F34" i="4"/>
  <c r="F35" i="4"/>
  <c r="F23" i="4"/>
  <c r="F24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E14" i="4"/>
  <c r="G131" i="4"/>
  <c r="F131" i="4"/>
  <c r="E131" i="4"/>
  <c r="E139" i="4"/>
  <c r="D131" i="4"/>
  <c r="D139" i="4"/>
  <c r="G91" i="4"/>
  <c r="G89" i="4" s="1"/>
  <c r="G118" i="4" s="1"/>
  <c r="F91" i="4"/>
  <c r="F99" i="4"/>
  <c r="E91" i="4"/>
  <c r="E99" i="4"/>
  <c r="D91" i="4"/>
  <c r="G57" i="4"/>
  <c r="F57" i="4"/>
  <c r="E57" i="4"/>
  <c r="D57" i="4"/>
  <c r="G14" i="4"/>
  <c r="F14" i="4"/>
  <c r="D14" i="4"/>
  <c r="D20" i="17"/>
  <c r="D22" i="17" s="1"/>
  <c r="F111" i="3"/>
  <c r="F112" i="3"/>
  <c r="F113" i="3"/>
  <c r="F114" i="3"/>
  <c r="F115" i="3"/>
  <c r="E106" i="3"/>
  <c r="D106" i="3"/>
  <c r="G20" i="17"/>
  <c r="G22" i="17" s="1"/>
  <c r="G31" i="17"/>
  <c r="G37" i="17"/>
  <c r="G51" i="17"/>
  <c r="F20" i="17"/>
  <c r="F22" i="17" s="1"/>
  <c r="F31" i="17"/>
  <c r="F37" i="17"/>
  <c r="F51" i="17"/>
  <c r="E20" i="17"/>
  <c r="E22" i="17" s="1"/>
  <c r="E31" i="17"/>
  <c r="E37" i="17"/>
  <c r="E51" i="17"/>
  <c r="G31" i="16"/>
  <c r="G37" i="16"/>
  <c r="G51" i="16"/>
  <c r="F31" i="16"/>
  <c r="F37" i="16"/>
  <c r="F51" i="16"/>
  <c r="E31" i="16"/>
  <c r="E37" i="16"/>
  <c r="E51" i="16"/>
  <c r="G31" i="15"/>
  <c r="G37" i="15"/>
  <c r="G51" i="15"/>
  <c r="F31" i="15"/>
  <c r="F37" i="15"/>
  <c r="F51" i="15"/>
  <c r="E31" i="15"/>
  <c r="E37" i="15"/>
  <c r="E51" i="15"/>
  <c r="I27" i="13"/>
  <c r="I29" i="13" s="1"/>
  <c r="I38" i="13"/>
  <c r="I58" i="13"/>
  <c r="H27" i="13"/>
  <c r="H29" i="13" s="1"/>
  <c r="H38" i="13"/>
  <c r="H58" i="13"/>
  <c r="D27" i="13"/>
  <c r="D29" i="13" s="1"/>
  <c r="D38" i="13"/>
  <c r="D58" i="13"/>
  <c r="G37" i="6"/>
  <c r="G51" i="6"/>
  <c r="F37" i="6"/>
  <c r="F51" i="6"/>
  <c r="E37" i="6"/>
  <c r="E51" i="6"/>
  <c r="G37" i="12"/>
  <c r="G51" i="12"/>
  <c r="F37" i="12"/>
  <c r="F51" i="12"/>
  <c r="E37" i="12"/>
  <c r="E51" i="12"/>
  <c r="G20" i="11"/>
  <c r="G22" i="11" s="1"/>
  <c r="G37" i="11"/>
  <c r="G51" i="11"/>
  <c r="F20" i="11"/>
  <c r="F22" i="11" s="1"/>
  <c r="F37" i="11"/>
  <c r="F51" i="11"/>
  <c r="E20" i="11"/>
  <c r="E22" i="11" s="1"/>
  <c r="E37" i="11"/>
  <c r="E51" i="11"/>
  <c r="G51" i="10"/>
  <c r="F51" i="10"/>
  <c r="E51" i="10"/>
  <c r="G37" i="9"/>
  <c r="G51" i="9"/>
  <c r="F37" i="9"/>
  <c r="F51" i="9"/>
  <c r="E37" i="9"/>
  <c r="E51" i="9"/>
  <c r="G37" i="8"/>
  <c r="G51" i="8"/>
  <c r="E51" i="8"/>
  <c r="E37" i="8"/>
  <c r="E37" i="7"/>
  <c r="G37" i="7"/>
  <c r="G51" i="7"/>
  <c r="E51" i="7"/>
  <c r="F37" i="7"/>
  <c r="AB101" i="3"/>
  <c r="AB100" i="3"/>
  <c r="AB95" i="3"/>
  <c r="AB84" i="3"/>
  <c r="AB83" i="3"/>
  <c r="AB78" i="3"/>
  <c r="AC101" i="3"/>
  <c r="AC100" i="3"/>
  <c r="AC95" i="3"/>
  <c r="AC84" i="3"/>
  <c r="AC83" i="3"/>
  <c r="AC78" i="3"/>
  <c r="E58" i="3"/>
  <c r="H58" i="3"/>
  <c r="AC57" i="3"/>
  <c r="AC56" i="3"/>
  <c r="AC55" i="3"/>
  <c r="AC54" i="3"/>
  <c r="AC53" i="3"/>
  <c r="AC52" i="3"/>
  <c r="AC46" i="3"/>
  <c r="AC40" i="3"/>
  <c r="AC39" i="3"/>
  <c r="AC33" i="3"/>
  <c r="AC21" i="3"/>
  <c r="AC20" i="3"/>
  <c r="AC15" i="3"/>
  <c r="D58" i="3"/>
  <c r="G58" i="3"/>
  <c r="AB57" i="3"/>
  <c r="AB56" i="3"/>
  <c r="AB55" i="3"/>
  <c r="AB54" i="3"/>
  <c r="AB53" i="3"/>
  <c r="AB52" i="3"/>
  <c r="AB46" i="3"/>
  <c r="AB40" i="3"/>
  <c r="AB39" i="3"/>
  <c r="AB33" i="3"/>
  <c r="AB21" i="3"/>
  <c r="AB20" i="3"/>
  <c r="AB15" i="3"/>
  <c r="G462" i="4"/>
  <c r="G470" i="4"/>
  <c r="F462" i="4"/>
  <c r="F470" i="4"/>
  <c r="E462" i="4"/>
  <c r="E484" i="4" s="1"/>
  <c r="D462" i="4"/>
  <c r="D470" i="4"/>
  <c r="G418" i="4"/>
  <c r="G426" i="4"/>
  <c r="F418" i="4"/>
  <c r="F426" i="4"/>
  <c r="E418" i="4"/>
  <c r="E426" i="4"/>
  <c r="D418" i="4"/>
  <c r="D426" i="4"/>
  <c r="F310" i="4"/>
  <c r="F318" i="4"/>
  <c r="E318" i="4"/>
  <c r="D318" i="4"/>
  <c r="D31" i="17"/>
  <c r="D37" i="17"/>
  <c r="D51" i="17"/>
  <c r="D31" i="16"/>
  <c r="D37" i="16"/>
  <c r="D51" i="16"/>
  <c r="D31" i="15"/>
  <c r="D37" i="15"/>
  <c r="D51" i="15"/>
  <c r="C27" i="13"/>
  <c r="C29" i="13" s="1"/>
  <c r="C38" i="13"/>
  <c r="C58" i="13"/>
  <c r="D37" i="12"/>
  <c r="D51" i="12"/>
  <c r="D20" i="11"/>
  <c r="D22" i="11" s="1"/>
  <c r="D37" i="11"/>
  <c r="D51" i="11"/>
  <c r="D51" i="10"/>
  <c r="D37" i="9"/>
  <c r="D51" i="9"/>
  <c r="F37" i="8"/>
  <c r="F51" i="8"/>
  <c r="D37" i="8"/>
  <c r="D51" i="8"/>
  <c r="F51" i="7"/>
  <c r="D37" i="7"/>
  <c r="D51" i="7"/>
  <c r="D37" i="6"/>
  <c r="D51" i="6"/>
  <c r="I91" i="3" l="1"/>
  <c r="I58" i="3"/>
  <c r="I13" i="3"/>
  <c r="I76" i="3"/>
  <c r="Z44" i="22"/>
  <c r="AA27" i="22"/>
  <c r="M27" i="22"/>
  <c r="N27" i="22"/>
  <c r="O14" i="22"/>
  <c r="K14" i="22"/>
  <c r="I14" i="22"/>
  <c r="H27" i="22"/>
  <c r="I27" i="22" s="1"/>
  <c r="F22" i="4"/>
  <c r="E22" i="4"/>
  <c r="G22" i="4"/>
  <c r="F484" i="4"/>
  <c r="D484" i="4"/>
  <c r="G484" i="4"/>
  <c r="AB58" i="3"/>
  <c r="AC58" i="3"/>
  <c r="G16" i="3"/>
  <c r="G17" i="3"/>
  <c r="H17" i="3"/>
  <c r="H16" i="3"/>
  <c r="AD53" i="3"/>
  <c r="AD57" i="3"/>
  <c r="F58" i="3"/>
  <c r="AD54" i="3"/>
  <c r="AD46" i="3"/>
  <c r="AD55" i="3"/>
  <c r="AD33" i="3"/>
  <c r="AD52" i="3"/>
  <c r="AD56" i="3"/>
  <c r="H114" i="3"/>
  <c r="I114" i="3" s="1"/>
  <c r="H112" i="3"/>
  <c r="I112" i="3" s="1"/>
  <c r="H110" i="3"/>
  <c r="I110" i="3" s="1"/>
  <c r="H111" i="3"/>
  <c r="I111" i="3" s="1"/>
  <c r="H113" i="3"/>
  <c r="I113" i="3" s="1"/>
  <c r="E20" i="6"/>
  <c r="E22" i="6" s="1"/>
  <c r="AC14" i="3"/>
  <c r="D20" i="6"/>
  <c r="D22" i="6" s="1"/>
  <c r="F20" i="6"/>
  <c r="F22" i="6" s="1"/>
  <c r="F77" i="3"/>
  <c r="AD84" i="3"/>
  <c r="G20" i="16"/>
  <c r="E89" i="4"/>
  <c r="E118" i="4" s="1"/>
  <c r="F89" i="4"/>
  <c r="F118" i="4" s="1"/>
  <c r="D89" i="4"/>
  <c r="D118" i="4" s="1"/>
  <c r="D20" i="16"/>
  <c r="D41" i="13"/>
  <c r="E38" i="3" s="1"/>
  <c r="F8" i="3"/>
  <c r="F10" i="3" s="1"/>
  <c r="C41" i="13"/>
  <c r="G17" i="8"/>
  <c r="E17" i="8"/>
  <c r="AD95" i="3"/>
  <c r="F110" i="3"/>
  <c r="AD39" i="3"/>
  <c r="AD20" i="3"/>
  <c r="AD40" i="3"/>
  <c r="AD78" i="3"/>
  <c r="AD100" i="3"/>
  <c r="AD15" i="3"/>
  <c r="AD21" i="3"/>
  <c r="AD83" i="3"/>
  <c r="AD101" i="3"/>
  <c r="F106" i="3"/>
  <c r="F74" i="3"/>
  <c r="E9" i="12"/>
  <c r="D310" i="4"/>
  <c r="D308" i="4" s="1"/>
  <c r="D360" i="4" s="1"/>
  <c r="F265" i="4"/>
  <c r="G8" i="3"/>
  <c r="G10" i="3" s="1"/>
  <c r="E9" i="9"/>
  <c r="G9" i="9"/>
  <c r="D9" i="12"/>
  <c r="F9" i="16"/>
  <c r="H74" i="3"/>
  <c r="E9" i="16"/>
  <c r="E39" i="17"/>
  <c r="F39" i="17"/>
  <c r="G39" i="17"/>
  <c r="G43" i="17" s="1"/>
  <c r="G53" i="17" s="1"/>
  <c r="G55" i="17" s="1"/>
  <c r="H8" i="3"/>
  <c r="H10" i="3" s="1"/>
  <c r="E31" i="12"/>
  <c r="G9" i="12"/>
  <c r="G9" i="16"/>
  <c r="W14" i="22" s="1"/>
  <c r="G74" i="3"/>
  <c r="D9" i="9"/>
  <c r="F9" i="9"/>
  <c r="D31" i="12"/>
  <c r="F9" i="12"/>
  <c r="D9" i="16"/>
  <c r="D28" i="11"/>
  <c r="F28" i="11"/>
  <c r="G28" i="11"/>
  <c r="F308" i="4"/>
  <c r="F360" i="4" s="1"/>
  <c r="G22" i="6"/>
  <c r="E310" i="4"/>
  <c r="E308" i="4" s="1"/>
  <c r="E360" i="4" s="1"/>
  <c r="F20" i="16"/>
  <c r="D173" i="4"/>
  <c r="D373" i="4"/>
  <c r="F373" i="4"/>
  <c r="D181" i="4"/>
  <c r="F31" i="8"/>
  <c r="G55" i="4"/>
  <c r="G78" i="4" s="1"/>
  <c r="D20" i="7"/>
  <c r="D22" i="7" s="1"/>
  <c r="D39" i="7" s="1"/>
  <c r="D43" i="7" s="1"/>
  <c r="D53" i="7" s="1"/>
  <c r="D55" i="7" s="1"/>
  <c r="G173" i="4"/>
  <c r="E218" i="4"/>
  <c r="F181" i="4"/>
  <c r="H40" i="13"/>
  <c r="F139" i="4"/>
  <c r="F129" i="4" s="1"/>
  <c r="F160" i="4" s="1"/>
  <c r="D65" i="4"/>
  <c r="D55" i="4" s="1"/>
  <c r="D78" i="4" s="1"/>
  <c r="F65" i="4"/>
  <c r="F55" i="4" s="1"/>
  <c r="F78" i="4" s="1"/>
  <c r="AB112" i="3"/>
  <c r="AC32" i="3"/>
  <c r="AB94" i="3"/>
  <c r="AB113" i="3"/>
  <c r="AC94" i="3"/>
  <c r="E116" i="3"/>
  <c r="AB114" i="3"/>
  <c r="D116" i="3"/>
  <c r="AB106" i="3"/>
  <c r="G116" i="3"/>
  <c r="AB110" i="3"/>
  <c r="AC106" i="3"/>
  <c r="AB115" i="3"/>
  <c r="AB111" i="3"/>
  <c r="AB32" i="3"/>
  <c r="AC76" i="3"/>
  <c r="E173" i="4"/>
  <c r="D16" i="8"/>
  <c r="G310" i="4"/>
  <c r="G308" i="4" s="1"/>
  <c r="G360" i="4" s="1"/>
  <c r="E129" i="4"/>
  <c r="E160" i="4" s="1"/>
  <c r="AB30" i="3"/>
  <c r="G15" i="15"/>
  <c r="F218" i="4"/>
  <c r="D218" i="4"/>
  <c r="G218" i="4"/>
  <c r="E373" i="4"/>
  <c r="G373" i="4"/>
  <c r="E65" i="4"/>
  <c r="E55" i="4" s="1"/>
  <c r="E78" i="4" s="1"/>
  <c r="F173" i="4"/>
  <c r="E265" i="4"/>
  <c r="F16" i="9"/>
  <c r="F15" i="15"/>
  <c r="G139" i="4"/>
  <c r="G129" i="4" s="1"/>
  <c r="G160" i="4" s="1"/>
  <c r="D39" i="17"/>
  <c r="G416" i="4"/>
  <c r="G449" i="4" s="1"/>
  <c r="D40" i="13"/>
  <c r="E37" i="3" s="1"/>
  <c r="E16" i="8"/>
  <c r="G14" i="15"/>
  <c r="D129" i="4"/>
  <c r="D160" i="4" s="1"/>
  <c r="E82" i="3"/>
  <c r="E28" i="6"/>
  <c r="E19" i="3" s="1"/>
  <c r="G460" i="4"/>
  <c r="F460" i="4"/>
  <c r="E460" i="4"/>
  <c r="D460" i="4"/>
  <c r="D31" i="8"/>
  <c r="D82" i="3"/>
  <c r="H41" i="13"/>
  <c r="E16" i="7"/>
  <c r="D28" i="6"/>
  <c r="D19" i="3" s="1"/>
  <c r="E16" i="9"/>
  <c r="D416" i="4"/>
  <c r="D449" i="4" s="1"/>
  <c r="F416" i="4"/>
  <c r="F449" i="4" s="1"/>
  <c r="E416" i="4"/>
  <c r="E449" i="4" s="1"/>
  <c r="AC13" i="3"/>
  <c r="F31" i="10"/>
  <c r="D34" i="3"/>
  <c r="D22" i="4"/>
  <c r="D12" i="4" s="1"/>
  <c r="D44" i="4" s="1"/>
  <c r="F12" i="4"/>
  <c r="F44" i="4" s="1"/>
  <c r="I40" i="13"/>
  <c r="F16" i="7"/>
  <c r="G81" i="3" s="1"/>
  <c r="G16" i="8"/>
  <c r="D16" i="9"/>
  <c r="F14" i="15"/>
  <c r="E20" i="16"/>
  <c r="G16" i="9"/>
  <c r="F20" i="12"/>
  <c r="G12" i="4"/>
  <c r="G44" i="4" s="1"/>
  <c r="G16" i="7"/>
  <c r="H81" i="3" s="1"/>
  <c r="I81" i="3" s="1"/>
  <c r="F16" i="8"/>
  <c r="G31" i="10"/>
  <c r="E31" i="10"/>
  <c r="D31" i="10"/>
  <c r="F31" i="7"/>
  <c r="E181" i="4"/>
  <c r="D265" i="4"/>
  <c r="C40" i="13"/>
  <c r="D20" i="12"/>
  <c r="G20" i="12"/>
  <c r="I41" i="13"/>
  <c r="F17" i="8"/>
  <c r="D17" i="8"/>
  <c r="F31" i="9"/>
  <c r="D31" i="9"/>
  <c r="E20" i="12"/>
  <c r="G31" i="9"/>
  <c r="E31" i="9"/>
  <c r="G31" i="8"/>
  <c r="G265" i="4"/>
  <c r="E31" i="8"/>
  <c r="G31" i="7"/>
  <c r="E31" i="7"/>
  <c r="G34" i="3"/>
  <c r="D20" i="15"/>
  <c r="D22" i="15" s="1"/>
  <c r="D39" i="15" s="1"/>
  <c r="D43" i="15" s="1"/>
  <c r="D53" i="15" s="1"/>
  <c r="D55" i="15" s="1"/>
  <c r="E20" i="15"/>
  <c r="E22" i="15" s="1"/>
  <c r="E39" i="15" s="1"/>
  <c r="E43" i="15" s="1"/>
  <c r="E53" i="15" s="1"/>
  <c r="E55" i="15" s="1"/>
  <c r="E12" i="4"/>
  <c r="E44" i="4" s="1"/>
  <c r="I74" i="3" l="1"/>
  <c r="I16" i="3"/>
  <c r="I8" i="3"/>
  <c r="I10" i="3" s="1"/>
  <c r="I17" i="3"/>
  <c r="Z48" i="22"/>
  <c r="AA44" i="22"/>
  <c r="X14" i="22"/>
  <c r="W27" i="22"/>
  <c r="X27" i="22" s="1"/>
  <c r="S14" i="22"/>
  <c r="T14" i="22"/>
  <c r="O27" i="22"/>
  <c r="L14" i="22"/>
  <c r="K27" i="22"/>
  <c r="L27" i="22" s="1"/>
  <c r="E99" i="3"/>
  <c r="N39" i="22"/>
  <c r="E39" i="22"/>
  <c r="Q39" i="22"/>
  <c r="K39" i="22"/>
  <c r="W39" i="22"/>
  <c r="H39" i="22"/>
  <c r="T39" i="22"/>
  <c r="V39" i="22"/>
  <c r="G39" i="22"/>
  <c r="S39" i="22"/>
  <c r="M39" i="22"/>
  <c r="D39" i="22"/>
  <c r="P39" i="22"/>
  <c r="J39" i="22"/>
  <c r="E98" i="3"/>
  <c r="W38" i="22"/>
  <c r="N38" i="22"/>
  <c r="E38" i="22"/>
  <c r="Q38" i="22"/>
  <c r="K38" i="22"/>
  <c r="H38" i="22"/>
  <c r="T38" i="22"/>
  <c r="P38" i="22"/>
  <c r="P42" i="22" s="1"/>
  <c r="P44" i="22" s="1"/>
  <c r="P48" i="22" s="1"/>
  <c r="P58" i="22" s="1"/>
  <c r="P60" i="22" s="1"/>
  <c r="J38" i="22"/>
  <c r="J42" i="22" s="1"/>
  <c r="J44" i="22" s="1"/>
  <c r="J48" i="22" s="1"/>
  <c r="J58" i="22" s="1"/>
  <c r="J60" i="22" s="1"/>
  <c r="V38" i="22"/>
  <c r="G38" i="22"/>
  <c r="G42" i="22" s="1"/>
  <c r="G44" i="22" s="1"/>
  <c r="G48" i="22" s="1"/>
  <c r="G58" i="22" s="1"/>
  <c r="G60" i="22" s="1"/>
  <c r="S38" i="22"/>
  <c r="M38" i="22"/>
  <c r="D38" i="22"/>
  <c r="G22" i="16"/>
  <c r="G39" i="16" s="1"/>
  <c r="G43" i="16" s="1"/>
  <c r="G53" i="16" s="1"/>
  <c r="G55" i="16" s="1"/>
  <c r="H99" i="3"/>
  <c r="G79" i="3"/>
  <c r="G99" i="3"/>
  <c r="D99" i="3"/>
  <c r="H79" i="3"/>
  <c r="I79" i="3" s="1"/>
  <c r="H98" i="3"/>
  <c r="G80" i="3"/>
  <c r="AC111" i="3"/>
  <c r="AD111" i="3" s="1"/>
  <c r="G98" i="3"/>
  <c r="D98" i="3"/>
  <c r="H80" i="3"/>
  <c r="H37" i="3"/>
  <c r="G37" i="3"/>
  <c r="D37" i="3"/>
  <c r="H18" i="3"/>
  <c r="I18" i="3" s="1"/>
  <c r="G38" i="3"/>
  <c r="D38" i="3"/>
  <c r="H38" i="3"/>
  <c r="H116" i="3"/>
  <c r="I116" i="3" s="1"/>
  <c r="AC112" i="3"/>
  <c r="AD112" i="3" s="1"/>
  <c r="AD58" i="3"/>
  <c r="AC114" i="3"/>
  <c r="AD114" i="3" s="1"/>
  <c r="AC115" i="3"/>
  <c r="AD115" i="3" s="1"/>
  <c r="AC110" i="3"/>
  <c r="AD110" i="3" s="1"/>
  <c r="AB77" i="3"/>
  <c r="AC113" i="3"/>
  <c r="AD113" i="3" s="1"/>
  <c r="F14" i="3"/>
  <c r="AC8" i="3"/>
  <c r="AC10" i="3" s="1"/>
  <c r="F263" i="4"/>
  <c r="F297" i="4" s="1"/>
  <c r="G22" i="12"/>
  <c r="G39" i="12" s="1"/>
  <c r="G43" i="12" s="1"/>
  <c r="G53" i="12" s="1"/>
  <c r="G55" i="12" s="1"/>
  <c r="AB91" i="3"/>
  <c r="AC28" i="3"/>
  <c r="AC91" i="3"/>
  <c r="D22" i="16"/>
  <c r="D39" i="16" s="1"/>
  <c r="D43" i="16" s="1"/>
  <c r="D53" i="16" s="1"/>
  <c r="D55" i="16" s="1"/>
  <c r="F22" i="12"/>
  <c r="F39" i="12" s="1"/>
  <c r="F43" i="12" s="1"/>
  <c r="F53" i="12" s="1"/>
  <c r="F55" i="12" s="1"/>
  <c r="F171" i="4"/>
  <c r="F205" i="4" s="1"/>
  <c r="F371" i="4"/>
  <c r="F405" i="4" s="1"/>
  <c r="D263" i="4"/>
  <c r="D297" i="4" s="1"/>
  <c r="G216" i="4"/>
  <c r="G252" i="4" s="1"/>
  <c r="G171" i="4"/>
  <c r="G205" i="4" s="1"/>
  <c r="F31" i="11"/>
  <c r="F39" i="11" s="1"/>
  <c r="F43" i="11" s="1"/>
  <c r="F53" i="11" s="1"/>
  <c r="F55" i="11" s="1"/>
  <c r="F22" i="16"/>
  <c r="F39" i="16" s="1"/>
  <c r="F43" i="16" s="1"/>
  <c r="F53" i="16" s="1"/>
  <c r="F55" i="16" s="1"/>
  <c r="AD30" i="3"/>
  <c r="AD94" i="3"/>
  <c r="AD32" i="3"/>
  <c r="AD106" i="3"/>
  <c r="F116" i="3"/>
  <c r="D171" i="4"/>
  <c r="D205" i="4" s="1"/>
  <c r="D22" i="12"/>
  <c r="D39" i="12" s="1"/>
  <c r="D43" i="12" s="1"/>
  <c r="D53" i="12" s="1"/>
  <c r="D55" i="12" s="1"/>
  <c r="E22" i="12"/>
  <c r="E39" i="12" s="1"/>
  <c r="E43" i="12" s="1"/>
  <c r="E53" i="12" s="1"/>
  <c r="E55" i="12" s="1"/>
  <c r="E22" i="16"/>
  <c r="E39" i="16" s="1"/>
  <c r="E43" i="16" s="1"/>
  <c r="E53" i="16" s="1"/>
  <c r="E55" i="16" s="1"/>
  <c r="D31" i="6"/>
  <c r="D39" i="6" s="1"/>
  <c r="D43" i="6" s="1"/>
  <c r="D53" i="6" s="1"/>
  <c r="D55" i="6" s="1"/>
  <c r="F19" i="3"/>
  <c r="G31" i="11"/>
  <c r="G39" i="11" s="1"/>
  <c r="G43" i="11" s="1"/>
  <c r="G53" i="11" s="1"/>
  <c r="G55" i="11" s="1"/>
  <c r="E31" i="11"/>
  <c r="E39" i="11" s="1"/>
  <c r="E43" i="11" s="1"/>
  <c r="E53" i="11" s="1"/>
  <c r="E55" i="11" s="1"/>
  <c r="D31" i="11"/>
  <c r="D39" i="11" s="1"/>
  <c r="D43" i="11" s="1"/>
  <c r="D53" i="11" s="1"/>
  <c r="D55" i="11" s="1"/>
  <c r="D371" i="4"/>
  <c r="D405" i="4" s="1"/>
  <c r="E371" i="4"/>
  <c r="E405" i="4" s="1"/>
  <c r="F20" i="9"/>
  <c r="F22" i="9" s="1"/>
  <c r="F39" i="9" s="1"/>
  <c r="F43" i="9" s="1"/>
  <c r="F53" i="9" s="1"/>
  <c r="F55" i="9" s="1"/>
  <c r="E263" i="4"/>
  <c r="E297" i="4" s="1"/>
  <c r="D17" i="10"/>
  <c r="G371" i="4"/>
  <c r="G405" i="4" s="1"/>
  <c r="F216" i="4"/>
  <c r="F252" i="4" s="1"/>
  <c r="D44" i="13"/>
  <c r="E171" i="4"/>
  <c r="E205" i="4" s="1"/>
  <c r="G20" i="7"/>
  <c r="H44" i="13"/>
  <c r="G263" i="4"/>
  <c r="G297" i="4" s="1"/>
  <c r="E20" i="7"/>
  <c r="G20" i="9"/>
  <c r="G22" i="9" s="1"/>
  <c r="G39" i="9" s="1"/>
  <c r="G43" i="9" s="1"/>
  <c r="G53" i="9" s="1"/>
  <c r="G55" i="9" s="1"/>
  <c r="I44" i="13"/>
  <c r="AC92" i="3"/>
  <c r="AB29" i="3"/>
  <c r="AB92" i="3"/>
  <c r="AB81" i="3"/>
  <c r="AB116" i="3"/>
  <c r="G22" i="3"/>
  <c r="G24" i="3" s="1"/>
  <c r="E96" i="3"/>
  <c r="F82" i="3"/>
  <c r="G31" i="6"/>
  <c r="G39" i="6" s="1"/>
  <c r="G43" i="6" s="1"/>
  <c r="G53" i="6" s="1"/>
  <c r="G55" i="6" s="1"/>
  <c r="F20" i="15"/>
  <c r="F22" i="15" s="1"/>
  <c r="F39" i="15" s="1"/>
  <c r="F43" i="15" s="1"/>
  <c r="F53" i="15" s="1"/>
  <c r="F55" i="15" s="1"/>
  <c r="D96" i="3"/>
  <c r="E31" i="6"/>
  <c r="E39" i="6" s="1"/>
  <c r="E43" i="6" s="1"/>
  <c r="E53" i="6" s="1"/>
  <c r="E55" i="6" s="1"/>
  <c r="D216" i="4"/>
  <c r="D252" i="4" s="1"/>
  <c r="G20" i="15"/>
  <c r="G22" i="15" s="1"/>
  <c r="G39" i="15" s="1"/>
  <c r="G43" i="15" s="1"/>
  <c r="G53" i="15" s="1"/>
  <c r="G55" i="15" s="1"/>
  <c r="F43" i="17"/>
  <c r="E43" i="17"/>
  <c r="E34" i="3"/>
  <c r="F34" i="3" s="1"/>
  <c r="F17" i="10"/>
  <c r="AC81" i="3"/>
  <c r="E20" i="9"/>
  <c r="E22" i="9" s="1"/>
  <c r="E39" i="9" s="1"/>
  <c r="E43" i="9" s="1"/>
  <c r="E53" i="9" s="1"/>
  <c r="E55" i="9" s="1"/>
  <c r="F31" i="6"/>
  <c r="F39" i="6" s="1"/>
  <c r="F43" i="6" s="1"/>
  <c r="F53" i="6" s="1"/>
  <c r="F55" i="6" s="1"/>
  <c r="AC90" i="3"/>
  <c r="F20" i="7"/>
  <c r="AC16" i="3"/>
  <c r="D20" i="9"/>
  <c r="D22" i="9" s="1"/>
  <c r="AC89" i="3"/>
  <c r="AB13" i="3"/>
  <c r="AC77" i="3"/>
  <c r="C44" i="13"/>
  <c r="G96" i="3"/>
  <c r="E216" i="4"/>
  <c r="E252" i="4" s="1"/>
  <c r="D20" i="8"/>
  <c r="AB74" i="3"/>
  <c r="AB76" i="3"/>
  <c r="AD76" i="3" s="1"/>
  <c r="F20" i="8"/>
  <c r="AB14" i="3"/>
  <c r="AD14" i="3" s="1"/>
  <c r="G20" i="8"/>
  <c r="E20" i="8"/>
  <c r="H96" i="3"/>
  <c r="I96" i="3" s="1"/>
  <c r="AC29" i="3"/>
  <c r="H34" i="3"/>
  <c r="I34" i="3" s="1"/>
  <c r="AB16" i="3"/>
  <c r="AB17" i="3"/>
  <c r="AJ17" i="3" s="1"/>
  <c r="AB90" i="3"/>
  <c r="AB89" i="3"/>
  <c r="AC27" i="3"/>
  <c r="AB28" i="3"/>
  <c r="AB27" i="3"/>
  <c r="AC17" i="3"/>
  <c r="AC18" i="3" l="1"/>
  <c r="I37" i="3"/>
  <c r="I80" i="3"/>
  <c r="H22" i="3"/>
  <c r="I99" i="3"/>
  <c r="H24" i="3"/>
  <c r="I24" i="3" s="1"/>
  <c r="I22" i="3"/>
  <c r="I38" i="3"/>
  <c r="I98" i="3"/>
  <c r="AA48" i="22"/>
  <c r="Z58" i="22"/>
  <c r="S27" i="22"/>
  <c r="AB14" i="22"/>
  <c r="AB27" i="22" s="1"/>
  <c r="U14" i="22"/>
  <c r="T27" i="22"/>
  <c r="U27" i="22" s="1"/>
  <c r="AC14" i="22"/>
  <c r="I39" i="22"/>
  <c r="M42" i="22"/>
  <c r="M44" i="22" s="1"/>
  <c r="M48" i="22" s="1"/>
  <c r="M58" i="22" s="1"/>
  <c r="M60" i="22" s="1"/>
  <c r="S42" i="22"/>
  <c r="S44" i="22" s="1"/>
  <c r="S48" i="22" s="1"/>
  <c r="S58" i="22" s="1"/>
  <c r="S60" i="22" s="1"/>
  <c r="Q42" i="22"/>
  <c r="R38" i="22"/>
  <c r="U39" i="22"/>
  <c r="R39" i="22"/>
  <c r="T42" i="22"/>
  <c r="U38" i="22"/>
  <c r="E42" i="22"/>
  <c r="E44" i="22" s="1"/>
  <c r="F38" i="22"/>
  <c r="F39" i="22"/>
  <c r="D42" i="22"/>
  <c r="V42" i="22"/>
  <c r="V44" i="22" s="1"/>
  <c r="V48" i="22" s="1"/>
  <c r="V58" i="22" s="1"/>
  <c r="AB38" i="22"/>
  <c r="I38" i="22"/>
  <c r="H42" i="22"/>
  <c r="O38" i="22"/>
  <c r="N42" i="22"/>
  <c r="X39" i="22"/>
  <c r="AC39" i="22"/>
  <c r="O39" i="22"/>
  <c r="L38" i="22"/>
  <c r="K42" i="22"/>
  <c r="W42" i="22"/>
  <c r="X38" i="22"/>
  <c r="AC38" i="22"/>
  <c r="AB39" i="22"/>
  <c r="L39" i="22"/>
  <c r="G102" i="3"/>
  <c r="AD13" i="3"/>
  <c r="F96" i="3"/>
  <c r="AD77" i="3"/>
  <c r="AC116" i="3"/>
  <c r="AD116" i="3" s="1"/>
  <c r="AC74" i="3"/>
  <c r="AB31" i="3"/>
  <c r="AB34" i="3" s="1"/>
  <c r="AD29" i="3"/>
  <c r="AB93" i="3"/>
  <c r="AB96" i="3" s="1"/>
  <c r="AB8" i="3"/>
  <c r="AB10" i="3" s="1"/>
  <c r="F99" i="3"/>
  <c r="F98" i="3"/>
  <c r="AD91" i="3"/>
  <c r="AD17" i="3"/>
  <c r="AD81" i="3"/>
  <c r="AD27" i="3"/>
  <c r="AD89" i="3"/>
  <c r="AD90" i="3"/>
  <c r="AD28" i="3"/>
  <c r="AD92" i="3"/>
  <c r="F38" i="3"/>
  <c r="F37" i="3"/>
  <c r="AD16" i="3"/>
  <c r="E22" i="7"/>
  <c r="E39" i="7" s="1"/>
  <c r="E43" i="7" s="1"/>
  <c r="E53" i="7" s="1"/>
  <c r="E55" i="7" s="1"/>
  <c r="G22" i="7"/>
  <c r="G39" i="7" s="1"/>
  <c r="G43" i="7" s="1"/>
  <c r="G53" i="7" s="1"/>
  <c r="G55" i="7" s="1"/>
  <c r="D46" i="13"/>
  <c r="D50" i="13" s="1"/>
  <c r="D60" i="13" s="1"/>
  <c r="D62" i="13" s="1"/>
  <c r="E22" i="8"/>
  <c r="E39" i="8" s="1"/>
  <c r="E43" i="8" s="1"/>
  <c r="E53" i="8" s="1"/>
  <c r="E55" i="8" s="1"/>
  <c r="F22" i="8"/>
  <c r="F39" i="8" s="1"/>
  <c r="F43" i="8" s="1"/>
  <c r="F53" i="8" s="1"/>
  <c r="F55" i="8" s="1"/>
  <c r="F22" i="7"/>
  <c r="F39" i="7" s="1"/>
  <c r="F43" i="7" s="1"/>
  <c r="F53" i="7" s="1"/>
  <c r="F55" i="7" s="1"/>
  <c r="H46" i="13"/>
  <c r="H50" i="13" s="1"/>
  <c r="H60" i="13" s="1"/>
  <c r="H62" i="13" s="1"/>
  <c r="D39" i="9"/>
  <c r="D43" i="9" s="1"/>
  <c r="D53" i="9" s="1"/>
  <c r="D55" i="9" s="1"/>
  <c r="G22" i="8"/>
  <c r="G39" i="8" s="1"/>
  <c r="G43" i="8" s="1"/>
  <c r="G53" i="8" s="1"/>
  <c r="G55" i="8" s="1"/>
  <c r="D22" i="8"/>
  <c r="D39" i="8" s="1"/>
  <c r="D43" i="8" s="1"/>
  <c r="D53" i="8" s="1"/>
  <c r="D55" i="8" s="1"/>
  <c r="C46" i="13"/>
  <c r="C50" i="13" s="1"/>
  <c r="C60" i="13" s="1"/>
  <c r="C62" i="13" s="1"/>
  <c r="I46" i="13"/>
  <c r="AB98" i="3"/>
  <c r="AC93" i="3"/>
  <c r="AC96" i="3" s="1"/>
  <c r="AC31" i="3"/>
  <c r="AC34" i="3" s="1"/>
  <c r="E20" i="10"/>
  <c r="E22" i="10" s="1"/>
  <c r="E39" i="10" s="1"/>
  <c r="E43" i="10" s="1"/>
  <c r="E53" i="10" s="1"/>
  <c r="E55" i="10" s="1"/>
  <c r="D20" i="10"/>
  <c r="D22" i="10" s="1"/>
  <c r="D39" i="10" s="1"/>
  <c r="D43" i="10" s="1"/>
  <c r="D53" i="10" s="1"/>
  <c r="D55" i="10" s="1"/>
  <c r="AB79" i="3"/>
  <c r="H102" i="3"/>
  <c r="E22" i="3"/>
  <c r="E24" i="3" s="1"/>
  <c r="E85" i="3"/>
  <c r="E87" i="3" s="1"/>
  <c r="E41" i="3"/>
  <c r="AB18" i="3"/>
  <c r="AD18" i="3" s="1"/>
  <c r="AC38" i="3"/>
  <c r="AB38" i="3"/>
  <c r="AC37" i="3"/>
  <c r="AC79" i="3"/>
  <c r="AF80" i="3" s="1"/>
  <c r="AB80" i="3"/>
  <c r="AC98" i="3"/>
  <c r="D22" i="3"/>
  <c r="D24" i="3" s="1"/>
  <c r="G20" i="10"/>
  <c r="G22" i="10" s="1"/>
  <c r="G39" i="10" s="1"/>
  <c r="G43" i="10" s="1"/>
  <c r="G53" i="10" s="1"/>
  <c r="G55" i="10" s="1"/>
  <c r="AC19" i="3"/>
  <c r="AB99" i="3"/>
  <c r="G85" i="3"/>
  <c r="G87" i="3" s="1"/>
  <c r="F20" i="10"/>
  <c r="F22" i="10" s="1"/>
  <c r="F39" i="10" s="1"/>
  <c r="F43" i="10" s="1"/>
  <c r="F53" i="10" s="1"/>
  <c r="F55" i="10" s="1"/>
  <c r="D102" i="3"/>
  <c r="D85" i="3"/>
  <c r="D87" i="3" s="1"/>
  <c r="H41" i="3"/>
  <c r="AC80" i="3"/>
  <c r="D43" i="17"/>
  <c r="E53" i="17"/>
  <c r="F53" i="17"/>
  <c r="E102" i="3"/>
  <c r="AC99" i="3"/>
  <c r="AB82" i="3"/>
  <c r="G41" i="3"/>
  <c r="G43" i="3" s="1"/>
  <c r="AB19" i="3"/>
  <c r="AB37" i="3"/>
  <c r="D41" i="3"/>
  <c r="H85" i="3"/>
  <c r="AB41" i="3" l="1"/>
  <c r="AC22" i="3"/>
  <c r="H43" i="3"/>
  <c r="I43" i="3" s="1"/>
  <c r="I41" i="3"/>
  <c r="H87" i="3"/>
  <c r="I87" i="3" s="1"/>
  <c r="I85" i="3"/>
  <c r="F102" i="3"/>
  <c r="I102" i="3"/>
  <c r="Z60" i="22"/>
  <c r="AA60" i="22" s="1"/>
  <c r="AA58" i="22"/>
  <c r="AD14" i="22"/>
  <c r="AC27" i="22"/>
  <c r="AD27" i="22" s="1"/>
  <c r="AB42" i="22"/>
  <c r="AB44" i="22" s="1"/>
  <c r="AB48" i="22" s="1"/>
  <c r="AD39" i="22"/>
  <c r="V60" i="22"/>
  <c r="E48" i="22"/>
  <c r="W44" i="22"/>
  <c r="X42" i="22"/>
  <c r="I42" i="22"/>
  <c r="H44" i="22"/>
  <c r="F42" i="22"/>
  <c r="D44" i="22"/>
  <c r="D48" i="22" s="1"/>
  <c r="D58" i="22" s="1"/>
  <c r="D60" i="22" s="1"/>
  <c r="L42" i="22"/>
  <c r="K44" i="22"/>
  <c r="U42" i="22"/>
  <c r="T44" i="22"/>
  <c r="R42" i="22"/>
  <c r="Q44" i="22"/>
  <c r="AD38" i="22"/>
  <c r="AF19" i="22"/>
  <c r="AC42" i="22"/>
  <c r="O42" i="22"/>
  <c r="N44" i="22"/>
  <c r="AG91" i="3"/>
  <c r="AF79" i="3"/>
  <c r="G104" i="3"/>
  <c r="G108" i="3" s="1"/>
  <c r="AB102" i="3"/>
  <c r="AB22" i="3"/>
  <c r="AC102" i="3"/>
  <c r="AF101" i="3" s="1"/>
  <c r="AC41" i="3"/>
  <c r="AD8" i="3"/>
  <c r="AD10" i="3" s="1"/>
  <c r="AC24" i="3"/>
  <c r="D104" i="3"/>
  <c r="D108" i="3" s="1"/>
  <c r="E104" i="3"/>
  <c r="E108" i="3" s="1"/>
  <c r="D43" i="3"/>
  <c r="E43" i="3"/>
  <c r="AD74" i="3"/>
  <c r="I50" i="13"/>
  <c r="I60" i="13" s="1"/>
  <c r="I62" i="13" s="1"/>
  <c r="AD93" i="3"/>
  <c r="AD98" i="3"/>
  <c r="AD99" i="3"/>
  <c r="AD38" i="3"/>
  <c r="AD79" i="3"/>
  <c r="F22" i="3"/>
  <c r="AD80" i="3"/>
  <c r="F41" i="3"/>
  <c r="AD19" i="3"/>
  <c r="AD37" i="3"/>
  <c r="F85" i="3"/>
  <c r="AD31" i="3"/>
  <c r="AB85" i="3"/>
  <c r="AB87" i="3" s="1"/>
  <c r="AC82" i="3"/>
  <c r="AD82" i="3" s="1"/>
  <c r="E55" i="17"/>
  <c r="F55" i="17"/>
  <c r="D53" i="17"/>
  <c r="G49" i="3"/>
  <c r="H104" i="3" l="1"/>
  <c r="R44" i="22"/>
  <c r="Q48" i="22"/>
  <c r="L44" i="22"/>
  <c r="K48" i="22"/>
  <c r="I44" i="22"/>
  <c r="H48" i="22"/>
  <c r="E58" i="22"/>
  <c r="F48" i="22"/>
  <c r="AC44" i="22"/>
  <c r="AF41" i="22"/>
  <c r="AD42" i="22"/>
  <c r="F44" i="22"/>
  <c r="AB58" i="22"/>
  <c r="T48" i="22"/>
  <c r="U44" i="22"/>
  <c r="O44" i="22"/>
  <c r="N48" i="22"/>
  <c r="X44" i="22"/>
  <c r="W48" i="22"/>
  <c r="AB60" i="22"/>
  <c r="AC43" i="3"/>
  <c r="AB24" i="3"/>
  <c r="AB43" i="3" s="1"/>
  <c r="AB104" i="3"/>
  <c r="AB108" i="3" s="1"/>
  <c r="AD34" i="3"/>
  <c r="AD96" i="3"/>
  <c r="AD41" i="3"/>
  <c r="F87" i="3"/>
  <c r="AC85" i="3"/>
  <c r="F24" i="3"/>
  <c r="AD102" i="3"/>
  <c r="AD22" i="3"/>
  <c r="H49" i="3"/>
  <c r="I49" i="3" s="1"/>
  <c r="D49" i="3"/>
  <c r="D55" i="17"/>
  <c r="G60" i="3"/>
  <c r="G62" i="3" s="1"/>
  <c r="G118" i="3"/>
  <c r="G120" i="3" s="1"/>
  <c r="H108" i="3" l="1"/>
  <c r="I108" i="3" s="1"/>
  <c r="I104" i="3"/>
  <c r="K58" i="22"/>
  <c r="L48" i="22"/>
  <c r="X48" i="22"/>
  <c r="W58" i="22"/>
  <c r="F58" i="22"/>
  <c r="E60" i="22"/>
  <c r="F60" i="22" s="1"/>
  <c r="T58" i="22"/>
  <c r="U48" i="22"/>
  <c r="H58" i="22"/>
  <c r="I48" i="22"/>
  <c r="Q58" i="22"/>
  <c r="R48" i="22"/>
  <c r="O48" i="22"/>
  <c r="N58" i="22"/>
  <c r="AF45" i="22"/>
  <c r="AC48" i="22"/>
  <c r="AD48" i="22" s="1"/>
  <c r="AD44" i="22"/>
  <c r="AD85" i="3"/>
  <c r="AC87" i="3"/>
  <c r="AC104" i="3" s="1"/>
  <c r="F43" i="3"/>
  <c r="F104" i="3"/>
  <c r="AD24" i="3"/>
  <c r="AB49" i="3"/>
  <c r="AB60" i="3" s="1"/>
  <c r="AC49" i="3"/>
  <c r="AC60" i="3" s="1"/>
  <c r="H60" i="3"/>
  <c r="I60" i="3" s="1"/>
  <c r="E49" i="3"/>
  <c r="F49" i="3" s="1"/>
  <c r="D60" i="3"/>
  <c r="D62" i="3" s="1"/>
  <c r="D118" i="3"/>
  <c r="D120" i="3" s="1"/>
  <c r="X58" i="22" l="1"/>
  <c r="W60" i="22"/>
  <c r="AC58" i="22"/>
  <c r="AD58" i="22" s="1"/>
  <c r="Q60" i="22"/>
  <c r="R60" i="22" s="1"/>
  <c r="R58" i="22"/>
  <c r="U58" i="22"/>
  <c r="T60" i="22"/>
  <c r="U60" i="22" s="1"/>
  <c r="O58" i="22"/>
  <c r="N60" i="22"/>
  <c r="O60" i="22" s="1"/>
  <c r="H60" i="22"/>
  <c r="I60" i="22" s="1"/>
  <c r="I58" i="22"/>
  <c r="L58" i="22"/>
  <c r="K60" i="22"/>
  <c r="L60" i="22" s="1"/>
  <c r="AC108" i="3"/>
  <c r="AD108" i="3" s="1"/>
  <c r="AF105" i="3"/>
  <c r="H62" i="3"/>
  <c r="I62" i="3" s="1"/>
  <c r="AD87" i="3"/>
  <c r="AD43" i="3"/>
  <c r="AD104" i="3"/>
  <c r="AD49" i="3"/>
  <c r="E118" i="3"/>
  <c r="E120" i="3" s="1"/>
  <c r="F108" i="3"/>
  <c r="H118" i="3"/>
  <c r="I118" i="3" s="1"/>
  <c r="E60" i="3"/>
  <c r="E62" i="3" s="1"/>
  <c r="AB118" i="3"/>
  <c r="AB62" i="3"/>
  <c r="X60" i="22" l="1"/>
  <c r="AC60" i="22"/>
  <c r="AD60" i="22" s="1"/>
  <c r="H120" i="3"/>
  <c r="I120" i="3" s="1"/>
  <c r="F120" i="3"/>
  <c r="F118" i="3"/>
  <c r="AD60" i="3"/>
  <c r="F60" i="3"/>
  <c r="F62" i="3"/>
  <c r="AB120" i="3"/>
  <c r="AC120" i="3" l="1"/>
  <c r="AC118" i="3"/>
  <c r="AC62" i="3"/>
  <c r="AD62" i="3" s="1"/>
  <c r="AD118" i="3" l="1"/>
  <c r="AD120" i="3"/>
</calcChain>
</file>

<file path=xl/sharedStrings.xml><?xml version="1.0" encoding="utf-8"?>
<sst xmlns="http://schemas.openxmlformats.org/spreadsheetml/2006/main" count="2293" uniqueCount="353">
  <si>
    <t xml:space="preserve"> </t>
  </si>
  <si>
    <t>CLP miles</t>
  </si>
  <si>
    <t>REMOLACHA</t>
  </si>
  <si>
    <t>MAIZ EXPORTACION</t>
  </si>
  <si>
    <t>MAIZ LOCAL</t>
  </si>
  <si>
    <t>SOYA EXPORTACION</t>
  </si>
  <si>
    <t>ALFALFA LOCAL</t>
  </si>
  <si>
    <t>CANOLA / GIRASOL</t>
  </si>
  <si>
    <t>CAMPOS PROPIOS</t>
  </si>
  <si>
    <t>TOTALES</t>
  </si>
  <si>
    <t>%</t>
  </si>
  <si>
    <t>INGRESOS</t>
  </si>
  <si>
    <t>Pago agricultores</t>
  </si>
  <si>
    <t>Importacion semilla basica y comercial</t>
  </si>
  <si>
    <t>Inventario</t>
  </si>
  <si>
    <t>Costos de procesamiento - Salarios</t>
  </si>
  <si>
    <t>Costos de procesamiento - Otros</t>
  </si>
  <si>
    <t>Costos de produccion - Salarios</t>
  </si>
  <si>
    <t>Costos de produccion - Otros</t>
  </si>
  <si>
    <t>Castigos de cuentas y/o mercaderias</t>
  </si>
  <si>
    <t>Comisiones / Regalias</t>
  </si>
  <si>
    <t>GASTOS DE PRODUCCION</t>
  </si>
  <si>
    <t>RESULTADO POR DEPARTAMENTO</t>
  </si>
  <si>
    <t>Sueldos</t>
  </si>
  <si>
    <t>Publicidad</t>
  </si>
  <si>
    <t>Transporte</t>
  </si>
  <si>
    <t>Comisiones</t>
  </si>
  <si>
    <t>Otros gastos</t>
  </si>
  <si>
    <t>Ensayos</t>
  </si>
  <si>
    <t xml:space="preserve">Castigos de cuentas </t>
  </si>
  <si>
    <t>TOTAL GASTOS DE VENTAS</t>
  </si>
  <si>
    <t>Administracion</t>
  </si>
  <si>
    <t>Otros Gastos</t>
  </si>
  <si>
    <t>Indemnizacion</t>
  </si>
  <si>
    <t>GASTOS DE ADMINISTRACION</t>
  </si>
  <si>
    <t>EBITDA</t>
  </si>
  <si>
    <t>Depreciación</t>
  </si>
  <si>
    <t>RESULTADO OPERACIONAL</t>
  </si>
  <si>
    <t>Intereses</t>
  </si>
  <si>
    <t>Gastos financieros</t>
  </si>
  <si>
    <t>Ingresos/gastos</t>
  </si>
  <si>
    <t>Juicio</t>
  </si>
  <si>
    <t>Correccion Monetaria</t>
  </si>
  <si>
    <t>Diferencia de cambio</t>
  </si>
  <si>
    <t>OTROS INGRESOS Y GASTOS</t>
  </si>
  <si>
    <t>UTILIDAD ANTES DE IMPUESTO</t>
  </si>
  <si>
    <t>UTILIDAD NETA</t>
  </si>
  <si>
    <t>CONTROL PRESUPUESTARIO</t>
  </si>
  <si>
    <t>Mes</t>
  </si>
  <si>
    <t>Presupuesto</t>
  </si>
  <si>
    <t>Real</t>
  </si>
  <si>
    <t>BASE DE DATOS</t>
  </si>
  <si>
    <t xml:space="preserve">Mes </t>
  </si>
  <si>
    <t>Acumulado</t>
  </si>
  <si>
    <t>Notas</t>
  </si>
  <si>
    <t xml:space="preserve">Centro de Costo </t>
  </si>
  <si>
    <t>Remolacha</t>
  </si>
  <si>
    <t>Maiz de Exportación</t>
  </si>
  <si>
    <t>Maiz Local</t>
  </si>
  <si>
    <t>Canola y Girasol</t>
  </si>
  <si>
    <t>Ventas Mercado Local</t>
  </si>
  <si>
    <t>Alfalfa</t>
  </si>
  <si>
    <t>Administración</t>
  </si>
  <si>
    <t>Planta de Proceso</t>
  </si>
  <si>
    <t>Campos Propios</t>
  </si>
  <si>
    <t>Procesos Planta</t>
  </si>
  <si>
    <t>Nombre de Cuenta</t>
  </si>
  <si>
    <t>Cuenta</t>
  </si>
  <si>
    <t>Ingresos</t>
  </si>
  <si>
    <t>5.0.00.000</t>
  </si>
  <si>
    <t>Costos Operacionales</t>
  </si>
  <si>
    <t>41.00.000</t>
  </si>
  <si>
    <t xml:space="preserve">Costos Directos </t>
  </si>
  <si>
    <t>41.01.000</t>
  </si>
  <si>
    <t>41.01.001</t>
  </si>
  <si>
    <t>Importación semilla básica</t>
  </si>
  <si>
    <t>41.01.003</t>
  </si>
  <si>
    <t>Importación semilla comercial</t>
  </si>
  <si>
    <t>41.01.005</t>
  </si>
  <si>
    <t>Costos procesamiento</t>
  </si>
  <si>
    <t>41.01.007</t>
  </si>
  <si>
    <t>41.01.009</t>
  </si>
  <si>
    <t>Otros</t>
  </si>
  <si>
    <t>Costos de Producción</t>
  </si>
  <si>
    <t>41.05.000</t>
  </si>
  <si>
    <t>41.05.001</t>
  </si>
  <si>
    <t>Provisión Vacaciones</t>
  </si>
  <si>
    <t>41.05.002</t>
  </si>
  <si>
    <t>Provisión Indemnisación</t>
  </si>
  <si>
    <t>41.05.003</t>
  </si>
  <si>
    <t>Transporte ventas</t>
  </si>
  <si>
    <t>41.05.005</t>
  </si>
  <si>
    <t>Transporte produccion</t>
  </si>
  <si>
    <t>41.05.006</t>
  </si>
  <si>
    <t>Relaciones comerciales</t>
  </si>
  <si>
    <t>41.05.007</t>
  </si>
  <si>
    <t>Seguros</t>
  </si>
  <si>
    <t>41.05.009</t>
  </si>
  <si>
    <t>Vehículo Gerente General</t>
  </si>
  <si>
    <t>41.05.010</t>
  </si>
  <si>
    <t>Compra de materiales</t>
  </si>
  <si>
    <t>41.05.011</t>
  </si>
  <si>
    <t>Operación cosechadora</t>
  </si>
  <si>
    <t>41.05.012</t>
  </si>
  <si>
    <t>Certificación</t>
  </si>
  <si>
    <t>41.05.013</t>
  </si>
  <si>
    <t>Alimentación</t>
  </si>
  <si>
    <t>41.05.015</t>
  </si>
  <si>
    <t>Seguro de Salud</t>
  </si>
  <si>
    <t>41.05.016</t>
  </si>
  <si>
    <t>Bencina y peaje</t>
  </si>
  <si>
    <t>41.05.017</t>
  </si>
  <si>
    <t>Combustible cosechadora</t>
  </si>
  <si>
    <t>41.05.018</t>
  </si>
  <si>
    <t>Reparación vehiculo</t>
  </si>
  <si>
    <t>41.05.019</t>
  </si>
  <si>
    <t>Estudio y entrenamiento</t>
  </si>
  <si>
    <t>41.05.021</t>
  </si>
  <si>
    <t>Aduana</t>
  </si>
  <si>
    <t>41.05.023</t>
  </si>
  <si>
    <t>Arriendos</t>
  </si>
  <si>
    <t>41.05.025</t>
  </si>
  <si>
    <t>Arriendo de suelos</t>
  </si>
  <si>
    <t>41.05.026</t>
  </si>
  <si>
    <t>Viaje y hotel</t>
  </si>
  <si>
    <t>41.05.027</t>
  </si>
  <si>
    <t>Ensayo y otros</t>
  </si>
  <si>
    <t>41.05.028</t>
  </si>
  <si>
    <t>Ensayo de Maiz</t>
  </si>
  <si>
    <t>41.05.029</t>
  </si>
  <si>
    <t>Ensayo de Canola</t>
  </si>
  <si>
    <t>41.05.030</t>
  </si>
  <si>
    <t>Gas</t>
  </si>
  <si>
    <t>41.05.031</t>
  </si>
  <si>
    <t>Ensayo de Alfalfa</t>
  </si>
  <si>
    <t>41.05.032</t>
  </si>
  <si>
    <t>Comunicaciones</t>
  </si>
  <si>
    <t>41.05.033</t>
  </si>
  <si>
    <t>Petroleo</t>
  </si>
  <si>
    <t>41.05.034</t>
  </si>
  <si>
    <t>Luz y agua</t>
  </si>
  <si>
    <t>41.05.035</t>
  </si>
  <si>
    <t>Reparación y mantención</t>
  </si>
  <si>
    <t>41.05.037</t>
  </si>
  <si>
    <t>Servicios</t>
  </si>
  <si>
    <t>41.05.041</t>
  </si>
  <si>
    <t>Ajuste de inventarios</t>
  </si>
  <si>
    <t>41.05.042</t>
  </si>
  <si>
    <t>Contribuciones y Patentes</t>
  </si>
  <si>
    <t>41.05.043</t>
  </si>
  <si>
    <t>Articulos de seguridad</t>
  </si>
  <si>
    <t>41.05.046</t>
  </si>
  <si>
    <t>Articulos de escritorio y aseo</t>
  </si>
  <si>
    <t>41.05.047</t>
  </si>
  <si>
    <t>41.05.051</t>
  </si>
  <si>
    <t>Auditorias</t>
  </si>
  <si>
    <t>41.05.053</t>
  </si>
  <si>
    <t>Provisión auditorias</t>
  </si>
  <si>
    <t>41.05.054</t>
  </si>
  <si>
    <t>Asesorías</t>
  </si>
  <si>
    <t>41.05.055</t>
  </si>
  <si>
    <t>Varios</t>
  </si>
  <si>
    <t>41.05.099</t>
  </si>
  <si>
    <t>41.05.100</t>
  </si>
  <si>
    <t>Total</t>
  </si>
  <si>
    <t>10. REMOLACHA</t>
  </si>
  <si>
    <t>1. ADMINISTRACION</t>
  </si>
  <si>
    <t>11. VENTAS MERCADO LOCAL</t>
  </si>
  <si>
    <t>12. PLANTA DE PROCESO</t>
  </si>
  <si>
    <t>13. MAIZ DE EXPORTACION</t>
  </si>
  <si>
    <t>15. MAIZ LOCAL</t>
  </si>
  <si>
    <t>16. SOYA DE EXPORTACIÓN</t>
  </si>
  <si>
    <t>17. ALFALFA</t>
  </si>
  <si>
    <t>18. CANOLA GIRASOL</t>
  </si>
  <si>
    <t>20. CAMPOS PROPIOS</t>
  </si>
  <si>
    <t>21. PROCESOS PLANTA</t>
  </si>
  <si>
    <t>Información Confidencial © Propiedad de CIS Semillas S.A.</t>
  </si>
  <si>
    <t>INFORME DE GESTIÓN MENSUAL</t>
  </si>
  <si>
    <t>CIS SEMILLAS S.A.</t>
  </si>
  <si>
    <t>PRODC. REPROD. COMERC. IMP. Y EXP. DE SEMILLAS</t>
  </si>
  <si>
    <t>MONJITAS 392 OFICINA 2101</t>
  </si>
  <si>
    <t>SANTIAGO</t>
  </si>
  <si>
    <t>79.696.240-2</t>
  </si>
  <si>
    <t>Moneda : Peso Chileno</t>
  </si>
  <si>
    <t>Información de Abril 2016 a Abril 2016</t>
  </si>
  <si>
    <t>Información acumulada a Abril 2016</t>
  </si>
  <si>
    <t>Descripción</t>
  </si>
  <si>
    <t>4-1-05-001</t>
  </si>
  <si>
    <t>SUELDOS</t>
  </si>
  <si>
    <t>4-1-05-002</t>
  </si>
  <si>
    <t>PROVISION VACACIONES</t>
  </si>
  <si>
    <t>4-1-05-006</t>
  </si>
  <si>
    <t>TRANSPORTE PRODUCCION</t>
  </si>
  <si>
    <t>4-1-05-007</t>
  </si>
  <si>
    <t>RELACIONES COMERCIALES</t>
  </si>
  <si>
    <t>4-1-05-009</t>
  </si>
  <si>
    <t>SEGUROS</t>
  </si>
  <si>
    <t>4-1-05-011</t>
  </si>
  <si>
    <t>COMPRA DE MATERIALES</t>
  </si>
  <si>
    <t>4-1-05-015</t>
  </si>
  <si>
    <t>ALIMENTACION</t>
  </si>
  <si>
    <t>4-1-05-017</t>
  </si>
  <si>
    <t>BENCINA Y PEAJE</t>
  </si>
  <si>
    <t>4-1-05-019</t>
  </si>
  <si>
    <t>SEG.MANT.Y REPARACION VEHICULO</t>
  </si>
  <si>
    <t>4-1-05-021</t>
  </si>
  <si>
    <t>ESTUDIO Y ENTRENAMIENTO</t>
  </si>
  <si>
    <t>4-1-05-025</t>
  </si>
  <si>
    <t>ARRIENDOS</t>
  </si>
  <si>
    <t>4-1-05-027</t>
  </si>
  <si>
    <t>VIAJE Y HOTEL</t>
  </si>
  <si>
    <t>4-1-05-033</t>
  </si>
  <si>
    <t>COMUNICACIONES</t>
  </si>
  <si>
    <t>4-1-05-037</t>
  </si>
  <si>
    <t>REPARACION Y MANTENCION</t>
  </si>
  <si>
    <t>4-1-05-041</t>
  </si>
  <si>
    <t>SERVICIOS</t>
  </si>
  <si>
    <t>4-1-05-043</t>
  </si>
  <si>
    <t>CONTRIBUCIONES Y PATENTES</t>
  </si>
  <si>
    <t>4-1-05-047</t>
  </si>
  <si>
    <t>ARTICULOS DE ESCRITORIO Y ASEO</t>
  </si>
  <si>
    <t>4-1-05-051</t>
  </si>
  <si>
    <t>PUBLICIDAD</t>
  </si>
  <si>
    <t>4-1-05-055</t>
  </si>
  <si>
    <t>ASESORIAS</t>
  </si>
  <si>
    <t>4-1-05-099</t>
  </si>
  <si>
    <t>VARIOS</t>
  </si>
  <si>
    <t>4-1-13-001</t>
  </si>
  <si>
    <t>DEPRECIACION</t>
  </si>
  <si>
    <t>4-1-13-002</t>
  </si>
  <si>
    <t>DEPRECIACION A.LEASING</t>
  </si>
  <si>
    <t>4-2-01-001</t>
  </si>
  <si>
    <t>GASTOS FINANCIEROS</t>
  </si>
  <si>
    <t>4-2-01-002</t>
  </si>
  <si>
    <t>DIFERENCIA DE CAMBIO</t>
  </si>
  <si>
    <t>4-2-01-024</t>
  </si>
  <si>
    <t>OTROS GASTOS NO OPERACIONALES</t>
  </si>
  <si>
    <t>4-1-01-005</t>
  </si>
  <si>
    <t>IMPORTACION SEMILLA COMERCIAL</t>
  </si>
  <si>
    <t>4-1-05-023</t>
  </si>
  <si>
    <t>ADUANA</t>
  </si>
  <si>
    <t>5-1-01-001</t>
  </si>
  <si>
    <t>INGRESOS POR VENTAS</t>
  </si>
  <si>
    <t>4-1-05-005</t>
  </si>
  <si>
    <t>TRANSPORTE VENTAS</t>
  </si>
  <si>
    <t>4-1-05-029</t>
  </si>
  <si>
    <t>ENSAYO MAIZ</t>
  </si>
  <si>
    <t>4-1-05-030</t>
  </si>
  <si>
    <t>ENSAYO CANOLA</t>
  </si>
  <si>
    <t>4-1-05-013</t>
  </si>
  <si>
    <t>CERTIFICACION</t>
  </si>
  <si>
    <t>4-1-05-031</t>
  </si>
  <si>
    <t>GAS</t>
  </si>
  <si>
    <t>4-1-05-035</t>
  </si>
  <si>
    <t>LUZ Y AGUA</t>
  </si>
  <si>
    <t>4-1-05-046</t>
  </si>
  <si>
    <t>ARTICULOS SE SEGURIDAD</t>
  </si>
  <si>
    <t>4-1-01-001</t>
  </si>
  <si>
    <t>PAGO A PRODUCTORES</t>
  </si>
  <si>
    <t>4-1-05-012</t>
  </si>
  <si>
    <t>OPERACION COSECHADORAS</t>
  </si>
  <si>
    <t>4-1-01-003</t>
  </si>
  <si>
    <t>SEMILLA BASICA IMPORTADA</t>
  </si>
  <si>
    <t>4-1-01-009</t>
  </si>
  <si>
    <t>COMISIONES</t>
  </si>
  <si>
    <t>4-1-05-026</t>
  </si>
  <si>
    <t>ARRIENDO SUELO</t>
  </si>
  <si>
    <t>4-1-05-034</t>
  </si>
  <si>
    <t>PETROLEO</t>
  </si>
  <si>
    <t>Desde Cuenta : 4-1-01-001 Hasta Cuenta : 5-1-01-020</t>
  </si>
  <si>
    <t>Distribución de Costos</t>
  </si>
  <si>
    <t>Ventas &amp; Otros</t>
  </si>
  <si>
    <t>Planta</t>
  </si>
  <si>
    <t>planta</t>
  </si>
  <si>
    <t>maiz local</t>
  </si>
  <si>
    <t>PPTO.</t>
  </si>
  <si>
    <t>Procesos</t>
  </si>
  <si>
    <t>5-2-01-004</t>
  </si>
  <si>
    <t>INGRESOS NO OPERACIONALES</t>
  </si>
  <si>
    <t>5-2-01-005</t>
  </si>
  <si>
    <t>CORRECCION MONETARIA ACTIVO FIJO</t>
  </si>
  <si>
    <t>5-1-01-003</t>
  </si>
  <si>
    <t>5-2-01-007</t>
  </si>
  <si>
    <t>5-2-01-002</t>
  </si>
  <si>
    <t>INTERESES</t>
  </si>
  <si>
    <t>4-1-05-032</t>
  </si>
  <si>
    <t>ENSAYO ALFALFA</t>
  </si>
  <si>
    <t>adm</t>
  </si>
  <si>
    <t>remolacha</t>
  </si>
  <si>
    <t>ventas</t>
  </si>
  <si>
    <t>exp</t>
  </si>
  <si>
    <t>soya</t>
  </si>
  <si>
    <t>alfalfa</t>
  </si>
  <si>
    <t>canola</t>
  </si>
  <si>
    <t>campos propios</t>
  </si>
  <si>
    <t>CERTIFCACION</t>
  </si>
  <si>
    <t>SEMILLA COMERCIAL IMPORTADA</t>
  </si>
  <si>
    <t>ARRIENDO</t>
  </si>
  <si>
    <t>4-1-05-042</t>
  </si>
  <si>
    <t>AJUSTE INVENTARIO</t>
  </si>
  <si>
    <t xml:space="preserve">Distribucion depreciacion </t>
  </si>
  <si>
    <t>41.01.042</t>
  </si>
  <si>
    <t>Ajuste inventario</t>
  </si>
  <si>
    <t xml:space="preserve">      Acumulado a</t>
  </si>
  <si>
    <t>DESDE : agosto/2016 HASTA : agosto/2016</t>
  </si>
  <si>
    <t>diferencia</t>
  </si>
  <si>
    <t>diferencia de cambio</t>
  </si>
  <si>
    <t>DIFERENCIA DE CAMIBIO</t>
  </si>
  <si>
    <t>Octubre de 2016</t>
  </si>
  <si>
    <t>4-1-11-001</t>
  </si>
  <si>
    <t>MERMAS</t>
  </si>
  <si>
    <t>41.11.001</t>
  </si>
  <si>
    <t>Real año anterior</t>
  </si>
  <si>
    <t>% Real v/s Presupuesto</t>
  </si>
  <si>
    <t>Debe permitir sacar resultado x+y, consideran que x es el real acumulado al mes x e y es la suma del presupuesto de los meses que faltan para llegar a Diciembre. Asi, en Septiembre, debe permitir sacar el forecast 8 (real a Agosto) + 4 (suma del presupuesto de Septiembre, Octubre, Noviembre y Diciembre)</t>
  </si>
  <si>
    <t xml:space="preserve">INFORME 3 - FORECAST </t>
  </si>
  <si>
    <t>INFORME 2 : Control presupuestario por centro de costo</t>
  </si>
  <si>
    <t>Debe presentarse el mes y acumulado, tanto en Presupuesto, Real a la fecha y real a la misma fecha del año anterior.</t>
  </si>
  <si>
    <t>Debe mostrar la diferencia en % del presupuesto, v/s real.</t>
  </si>
  <si>
    <t>Se debe poder hacer doble click en la cuenta para revisar las contabilizaciones que componen cada numero.</t>
  </si>
  <si>
    <t>Este informe sólo debe ser acumulado (no del mes) a diciembre y la idea es que muestre una proyección de como terminaria el año. Por tanto, debe tomar el real a un mes determinado + el presupuesto de los meses restantes para llegar a diciembre.</t>
  </si>
  <si>
    <t>Ingresos por Venta</t>
  </si>
  <si>
    <t>Total Ingresos</t>
  </si>
  <si>
    <t>Total Gastos Producción</t>
  </si>
  <si>
    <t>TITULO 1</t>
  </si>
  <si>
    <t>TOTAL 1</t>
  </si>
  <si>
    <t>TOTAL 2</t>
  </si>
  <si>
    <t>TOTAL 1- 2</t>
  </si>
  <si>
    <t>TOTAL 3</t>
  </si>
  <si>
    <t>GASTOS DE VENTAS</t>
  </si>
  <si>
    <t>Total Gastos de Venta</t>
  </si>
  <si>
    <t>TOTAL 4</t>
  </si>
  <si>
    <t>Total Gastos Administracion</t>
  </si>
  <si>
    <t>DETALLE 1</t>
  </si>
  <si>
    <t>TITULO 2</t>
  </si>
  <si>
    <t>DETALLE 2</t>
  </si>
  <si>
    <t>TITULO 3</t>
  </si>
  <si>
    <t>DETALLE 3</t>
  </si>
  <si>
    <t>TITULO 4</t>
  </si>
  <si>
    <t>DETALLE 4</t>
  </si>
  <si>
    <t>TOTAL 1-2-3-4</t>
  </si>
  <si>
    <t>OTROS</t>
  </si>
  <si>
    <t>TITULO 5</t>
  </si>
  <si>
    <t>DETALLE 5</t>
  </si>
  <si>
    <t>TOTAL 5</t>
  </si>
  <si>
    <t>Total Otros</t>
  </si>
  <si>
    <t>Totall 1-2-3-4-5</t>
  </si>
  <si>
    <t>TITULO 6</t>
  </si>
  <si>
    <t>DETALLE 6</t>
  </si>
  <si>
    <t>TOTAL 6</t>
  </si>
  <si>
    <t>Total Otros Ingresos y Gastos</t>
  </si>
  <si>
    <t>Totall 1-2-3-4-5+6</t>
  </si>
  <si>
    <t>(total 1-2-3-4-5+6)* % + (Total 1-2-3-4-5+6)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</si>
</sst>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_ ;_ * \-#,##0_ ;_ * &quot;-&quot;_ ;_ @_ "/>
    <numFmt numFmtId="165" formatCode="#,##0.00_);\(#,##0.00\)"/>
    <numFmt numFmtId="166" formatCode="#,##0_ ;[Red]\-#,##0\ "/>
    <numFmt numFmtId="167" formatCode="#,##0_);\(#,##0\)"/>
  </numFmts>
  <fonts count="73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ourier"/>
      <family val="3"/>
    </font>
    <font>
      <sz val="16"/>
      <name val="Arial"/>
      <family val="2"/>
    </font>
    <font>
      <b/>
      <sz val="16"/>
      <color theme="0"/>
      <name val="Arial"/>
      <family val="2"/>
    </font>
    <font>
      <sz val="16"/>
      <name val="Courier"/>
      <family val="3"/>
    </font>
    <font>
      <i/>
      <sz val="11"/>
      <name val="Arial"/>
      <family val="2"/>
    </font>
    <font>
      <sz val="10"/>
      <name val="Arial"/>
      <family val="2"/>
    </font>
    <font>
      <b/>
      <sz val="11"/>
      <name val="Courier"/>
      <family val="3"/>
    </font>
    <font>
      <b/>
      <sz val="18"/>
      <name val="Arial"/>
      <family val="2"/>
    </font>
    <font>
      <b/>
      <sz val="20"/>
      <name val="Arial"/>
      <family val="2"/>
    </font>
    <font>
      <sz val="10"/>
      <name val="MS Sans Serif"/>
      <family val="2"/>
    </font>
    <font>
      <b/>
      <sz val="12"/>
      <color theme="9" tint="-0.499984740745262"/>
      <name val="Arial"/>
      <family val="2"/>
    </font>
    <font>
      <i/>
      <sz val="12"/>
      <color theme="9" tint="-0.499984740745262"/>
      <name val="Arial"/>
      <family val="2"/>
    </font>
    <font>
      <sz val="8.0500000000000007"/>
      <name val="Times New Roman"/>
      <family val="1"/>
    </font>
    <font>
      <b/>
      <sz val="10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8"/>
      <name val="Arial"/>
      <family val="2"/>
    </font>
    <font>
      <sz val="10"/>
      <name val="Courier"/>
      <family val="3"/>
    </font>
    <font>
      <sz val="9"/>
      <name val="Arial"/>
      <family val="2"/>
    </font>
    <font>
      <b/>
      <sz val="9"/>
      <color theme="0"/>
      <name val="Arial"/>
      <family val="2"/>
    </font>
    <font>
      <b/>
      <i/>
      <sz val="8"/>
      <name val="Arial"/>
      <family val="2"/>
    </font>
    <font>
      <b/>
      <i/>
      <u/>
      <sz val="8"/>
      <name val="Arial"/>
      <family val="2"/>
    </font>
    <font>
      <sz val="8"/>
      <color rgb="FF0000CC"/>
      <name val="Arial"/>
      <family val="2"/>
    </font>
    <font>
      <sz val="9"/>
      <color theme="0"/>
      <name val="Arial"/>
      <family val="2"/>
    </font>
    <font>
      <b/>
      <sz val="22"/>
      <color theme="9" tint="-0.499984740745262"/>
      <name val="Arial"/>
      <family val="2"/>
    </font>
    <font>
      <sz val="7.2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006100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11"/>
      <color theme="3"/>
      <name val="Arial"/>
      <family val="2"/>
    </font>
    <font>
      <sz val="8"/>
      <color rgb="FF3F3F76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b/>
      <sz val="8"/>
      <color rgb="FF3F3F3F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8"/>
      <color theme="1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Courier"/>
    </font>
    <font>
      <sz val="10"/>
      <name val="MS Sans Serif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1">
    <border>
      <left/>
      <right/>
      <top/>
      <bottom/>
      <diagonal/>
    </border>
    <border>
      <left style="thick">
        <color rgb="FF006600"/>
      </left>
      <right/>
      <top style="thick">
        <color rgb="FF006600"/>
      </top>
      <bottom/>
      <diagonal/>
    </border>
    <border>
      <left/>
      <right/>
      <top style="thick">
        <color rgb="FF006600"/>
      </top>
      <bottom/>
      <diagonal/>
    </border>
    <border>
      <left style="thick">
        <color rgb="FF0066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0066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ck">
        <color rgb="FF006600"/>
      </left>
      <right/>
      <top/>
      <bottom style="thick">
        <color rgb="FF0066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theme="9" tint="-0.499984740745262"/>
      </left>
      <right/>
      <top style="thick">
        <color theme="9" tint="-0.499984740745262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 style="medium">
        <color indexed="64"/>
      </right>
      <top/>
      <bottom/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/>
      <right/>
      <top style="medium">
        <color indexed="64"/>
      </top>
      <bottom style="thick">
        <color theme="9" tint="-0.499984740745262"/>
      </bottom>
      <diagonal/>
    </border>
    <border>
      <left/>
      <right style="thick">
        <color theme="9" tint="-0.499984740745262"/>
      </right>
      <top/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hair">
        <color indexed="64"/>
      </right>
      <top/>
      <bottom/>
      <diagonal/>
    </border>
    <border>
      <left style="hair">
        <color indexed="64"/>
      </left>
      <right style="medium">
        <color theme="1"/>
      </right>
      <top style="hair">
        <color indexed="64"/>
      </top>
      <bottom/>
      <diagonal/>
    </border>
    <border>
      <left style="hair">
        <color indexed="64"/>
      </left>
      <right style="medium">
        <color theme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</borders>
  <cellStyleXfs count="254">
    <xf numFmtId="165" fontId="0" fillId="0" borderId="0"/>
    <xf numFmtId="9" fontId="10" fillId="0" borderId="0" applyFont="0" applyFill="0" applyBorder="0" applyAlignment="0" applyProtection="0"/>
    <xf numFmtId="0" fontId="14" fillId="0" borderId="0"/>
    <xf numFmtId="164" fontId="23" fillId="0" borderId="0" applyFon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7" applyNumberFormat="0" applyFill="0" applyAlignment="0" applyProtection="0"/>
    <xf numFmtId="0" fontId="37" fillId="0" borderId="88" applyNumberFormat="0" applyFill="0" applyAlignment="0" applyProtection="0"/>
    <xf numFmtId="0" fontId="38" fillId="0" borderId="89" applyNumberFormat="0" applyFill="0" applyAlignment="0" applyProtection="0"/>
    <xf numFmtId="0" fontId="38" fillId="0" borderId="0" applyNumberFormat="0" applyFill="0" applyBorder="0" applyAlignment="0" applyProtection="0"/>
    <xf numFmtId="0" fontId="39" fillId="8" borderId="0" applyNumberFormat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11" borderId="90" applyNumberFormat="0" applyAlignment="0" applyProtection="0"/>
    <xf numFmtId="0" fontId="43" fillId="12" borderId="91" applyNumberFormat="0" applyAlignment="0" applyProtection="0"/>
    <xf numFmtId="0" fontId="44" fillId="12" borderId="90" applyNumberFormat="0" applyAlignment="0" applyProtection="0"/>
    <xf numFmtId="0" fontId="45" fillId="0" borderId="92" applyNumberFormat="0" applyFill="0" applyAlignment="0" applyProtection="0"/>
    <xf numFmtId="0" fontId="46" fillId="13" borderId="93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95" applyNumberFormat="0" applyFill="0" applyAlignment="0" applyProtection="0"/>
    <xf numFmtId="0" fontId="5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50" fillId="38" borderId="0" applyNumberFormat="0" applyBorder="0" applyAlignment="0" applyProtection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1" fillId="36" borderId="0" applyNumberFormat="0" applyBorder="0" applyAlignment="0" applyProtection="0"/>
    <xf numFmtId="0" fontId="51" fillId="17" borderId="0" applyNumberFormat="0" applyBorder="0" applyAlignment="0" applyProtection="0"/>
    <xf numFmtId="0" fontId="51" fillId="21" borderId="0" applyNumberFormat="0" applyBorder="0" applyAlignment="0" applyProtection="0"/>
    <xf numFmtId="0" fontId="51" fillId="25" borderId="0" applyNumberFormat="0" applyBorder="0" applyAlignment="0" applyProtection="0"/>
    <xf numFmtId="0" fontId="51" fillId="29" borderId="0" applyNumberFormat="0" applyBorder="0" applyAlignment="0" applyProtection="0"/>
    <xf numFmtId="0" fontId="51" fillId="33" borderId="0" applyNumberFormat="0" applyBorder="0" applyAlignment="0" applyProtection="0"/>
    <xf numFmtId="0" fontId="51" fillId="37" borderId="0" applyNumberFormat="0" applyBorder="0" applyAlignment="0" applyProtection="0"/>
    <xf numFmtId="0" fontId="52" fillId="18" borderId="0" applyNumberFormat="0" applyBorder="0" applyAlignment="0" applyProtection="0"/>
    <xf numFmtId="0" fontId="52" fillId="22" borderId="0" applyNumberFormat="0" applyBorder="0" applyAlignment="0" applyProtection="0"/>
    <xf numFmtId="0" fontId="52" fillId="26" borderId="0" applyNumberFormat="0" applyBorder="0" applyAlignment="0" applyProtection="0"/>
    <xf numFmtId="0" fontId="52" fillId="30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53" fillId="8" borderId="0" applyNumberFormat="0" applyBorder="0" applyAlignment="0" applyProtection="0"/>
    <xf numFmtId="0" fontId="54" fillId="12" borderId="90" applyNumberFormat="0" applyAlignment="0" applyProtection="0"/>
    <xf numFmtId="0" fontId="21" fillId="13" borderId="93" applyNumberFormat="0" applyAlignment="0" applyProtection="0"/>
    <xf numFmtId="0" fontId="55" fillId="0" borderId="92" applyNumberFormat="0" applyFill="0" applyAlignment="0" applyProtection="0"/>
    <xf numFmtId="0" fontId="56" fillId="0" borderId="0" applyNumberFormat="0" applyFill="0" applyBorder="0" applyAlignment="0" applyProtection="0"/>
    <xf numFmtId="0" fontId="52" fillId="15" borderId="0" applyNumberFormat="0" applyBorder="0" applyAlignment="0" applyProtection="0"/>
    <xf numFmtId="0" fontId="52" fillId="19" borderId="0" applyNumberFormat="0" applyBorder="0" applyAlignment="0" applyProtection="0"/>
    <xf numFmtId="0" fontId="52" fillId="23" borderId="0" applyNumberFormat="0" applyBorder="0" applyAlignment="0" applyProtection="0"/>
    <xf numFmtId="0" fontId="52" fillId="27" borderId="0" applyNumberFormat="0" applyBorder="0" applyAlignment="0" applyProtection="0"/>
    <xf numFmtId="0" fontId="52" fillId="31" borderId="0" applyNumberFormat="0" applyBorder="0" applyAlignment="0" applyProtection="0"/>
    <xf numFmtId="0" fontId="52" fillId="35" borderId="0" applyNumberFormat="0" applyBorder="0" applyAlignment="0" applyProtection="0"/>
    <xf numFmtId="0" fontId="57" fillId="11" borderId="90" applyNumberFormat="0" applyAlignment="0" applyProtection="0"/>
    <xf numFmtId="0" fontId="58" fillId="9" borderId="0" applyNumberFormat="0" applyBorder="0" applyAlignment="0" applyProtection="0"/>
    <xf numFmtId="43" fontId="10" fillId="0" borderId="0" applyFont="0" applyFill="0" applyBorder="0" applyAlignment="0" applyProtection="0"/>
    <xf numFmtId="0" fontId="59" fillId="10" borderId="0" applyNumberFormat="0" applyBorder="0" applyAlignment="0" applyProtection="0"/>
    <xf numFmtId="0" fontId="51" fillId="0" borderId="0"/>
    <xf numFmtId="0" fontId="51" fillId="14" borderId="94" applyNumberFormat="0" applyFont="0" applyAlignment="0" applyProtection="0"/>
    <xf numFmtId="0" fontId="60" fillId="12" borderId="91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87" applyNumberFormat="0" applyFill="0" applyAlignment="0" applyProtection="0"/>
    <xf numFmtId="0" fontId="64" fillId="0" borderId="88" applyNumberFormat="0" applyFill="0" applyAlignment="0" applyProtection="0"/>
    <xf numFmtId="0" fontId="56" fillId="0" borderId="89" applyNumberFormat="0" applyFill="0" applyAlignment="0" applyProtection="0"/>
    <xf numFmtId="0" fontId="65" fillId="0" borderId="95" applyNumberFormat="0" applyFill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4" borderId="94" applyNumberFormat="0" applyFont="0" applyAlignment="0" applyProtection="0"/>
    <xf numFmtId="44" fontId="23" fillId="0" borderId="0" applyFont="0" applyFill="0" applyBorder="0" applyAlignment="0" applyProtection="0"/>
    <xf numFmtId="0" fontId="2" fillId="0" borderId="0"/>
    <xf numFmtId="0" fontId="2" fillId="0" borderId="0"/>
    <xf numFmtId="39" fontId="23" fillId="0" borderId="0"/>
    <xf numFmtId="39" fontId="23" fillId="0" borderId="0"/>
    <xf numFmtId="39" fontId="23" fillId="0" borderId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4" borderId="94" applyNumberFormat="0" applyFont="0" applyAlignment="0" applyProtection="0"/>
    <xf numFmtId="0" fontId="2" fillId="0" borderId="0"/>
    <xf numFmtId="0" fontId="2" fillId="0" borderId="0"/>
    <xf numFmtId="39" fontId="2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4" borderId="94" applyNumberFormat="0" applyFont="0" applyAlignment="0" applyProtection="0"/>
    <xf numFmtId="39" fontId="23" fillId="0" borderId="0"/>
    <xf numFmtId="164" fontId="34" fillId="0" borderId="0" applyFont="0" applyFill="0" applyBorder="0" applyAlignment="0" applyProtection="0"/>
    <xf numFmtId="0" fontId="14" fillId="0" borderId="0"/>
    <xf numFmtId="164" fontId="23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5" fontId="23" fillId="0" borderId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4" borderId="94" applyNumberFormat="0" applyFont="0" applyAlignment="0" applyProtection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4" borderId="94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4" borderId="94" applyNumberFormat="0" applyFont="0" applyAlignment="0" applyProtection="0"/>
    <xf numFmtId="39" fontId="23" fillId="0" borderId="0"/>
    <xf numFmtId="0" fontId="66" fillId="0" borderId="0"/>
    <xf numFmtId="0" fontId="67" fillId="0" borderId="0"/>
    <xf numFmtId="0" fontId="69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5" fontId="68" fillId="0" borderId="0"/>
    <xf numFmtId="9" fontId="10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4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94" applyNumberFormat="0" applyFont="0" applyAlignment="0" applyProtection="0"/>
    <xf numFmtId="164" fontId="2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4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94" applyNumberFormat="0" applyFont="0" applyAlignment="0" applyProtection="0"/>
    <xf numFmtId="0" fontId="14" fillId="0" borderId="0"/>
    <xf numFmtId="0" fontId="14" fillId="0" borderId="0"/>
  </cellStyleXfs>
  <cellXfs count="453">
    <xf numFmtId="165" fontId="0" fillId="0" borderId="0" xfId="0"/>
    <xf numFmtId="165" fontId="3" fillId="2" borderId="1" xfId="0" applyFont="1" applyFill="1" applyBorder="1"/>
    <xf numFmtId="165" fontId="4" fillId="2" borderId="2" xfId="0" applyFont="1" applyFill="1" applyBorder="1"/>
    <xf numFmtId="165" fontId="3" fillId="2" borderId="2" xfId="0" applyFont="1" applyFill="1" applyBorder="1" applyAlignment="1">
      <alignment horizontal="center"/>
    </xf>
    <xf numFmtId="165" fontId="5" fillId="2" borderId="0" xfId="0" applyFont="1" applyFill="1" applyBorder="1"/>
    <xf numFmtId="165" fontId="6" fillId="2" borderId="3" xfId="0" applyFont="1" applyFill="1" applyBorder="1" applyAlignment="1">
      <alignment vertical="center"/>
    </xf>
    <xf numFmtId="165" fontId="8" fillId="2" borderId="0" xfId="0" applyFont="1" applyFill="1" applyBorder="1" applyAlignment="1">
      <alignment vertical="center"/>
    </xf>
    <xf numFmtId="165" fontId="3" fillId="2" borderId="3" xfId="0" applyFont="1" applyFill="1" applyBorder="1" applyAlignment="1">
      <alignment vertical="center"/>
    </xf>
    <xf numFmtId="165" fontId="3" fillId="2" borderId="0" xfId="0" applyFont="1" applyFill="1" applyBorder="1" applyAlignment="1">
      <alignment vertical="center"/>
    </xf>
    <xf numFmtId="165" fontId="3" fillId="2" borderId="0" xfId="0" applyFont="1" applyFill="1" applyBorder="1" applyAlignment="1">
      <alignment horizontal="center" vertical="center"/>
    </xf>
    <xf numFmtId="165" fontId="5" fillId="2" borderId="0" xfId="0" applyFont="1" applyFill="1" applyBorder="1" applyAlignment="1">
      <alignment vertical="center"/>
    </xf>
    <xf numFmtId="165" fontId="3" fillId="2" borderId="3" xfId="0" applyFont="1" applyFill="1" applyBorder="1" applyAlignment="1">
      <alignment vertical="center" wrapText="1"/>
    </xf>
    <xf numFmtId="165" fontId="9" fillId="2" borderId="4" xfId="0" applyFont="1" applyFill="1" applyBorder="1" applyAlignment="1">
      <alignment vertical="center" wrapText="1"/>
    </xf>
    <xf numFmtId="165" fontId="5" fillId="2" borderId="0" xfId="0" applyFont="1" applyFill="1" applyBorder="1" applyAlignment="1">
      <alignment vertical="center" wrapText="1"/>
    </xf>
    <xf numFmtId="165" fontId="4" fillId="2" borderId="7" xfId="0" applyFont="1" applyFill="1" applyBorder="1" applyAlignment="1">
      <alignment vertical="center"/>
    </xf>
    <xf numFmtId="165" fontId="4" fillId="2" borderId="8" xfId="0" applyFont="1" applyFill="1" applyBorder="1" applyAlignment="1">
      <alignment horizontal="center" vertical="center"/>
    </xf>
    <xf numFmtId="165" fontId="3" fillId="2" borderId="10" xfId="0" applyFont="1" applyFill="1" applyBorder="1" applyAlignment="1">
      <alignment vertical="center"/>
    </xf>
    <xf numFmtId="165" fontId="4" fillId="2" borderId="11" xfId="0" applyFont="1" applyFill="1" applyBorder="1" applyAlignment="1">
      <alignment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0" borderId="14" xfId="0" applyNumberFormat="1" applyFont="1" applyFill="1" applyBorder="1" applyAlignment="1">
      <alignment horizontal="center" vertical="center"/>
    </xf>
    <xf numFmtId="165" fontId="3" fillId="2" borderId="11" xfId="0" applyFont="1" applyFill="1" applyBorder="1" applyAlignment="1">
      <alignment vertical="center"/>
    </xf>
    <xf numFmtId="166" fontId="3" fillId="2" borderId="12" xfId="0" applyNumberFormat="1" applyFont="1" applyFill="1" applyBorder="1" applyAlignment="1">
      <alignment horizontal="center" vertical="center"/>
    </xf>
    <xf numFmtId="166" fontId="3" fillId="0" borderId="14" xfId="0" applyNumberFormat="1" applyFont="1" applyFill="1" applyBorder="1" applyAlignment="1">
      <alignment horizontal="center" vertical="center"/>
    </xf>
    <xf numFmtId="166" fontId="3" fillId="0" borderId="12" xfId="0" applyNumberFormat="1" applyFont="1" applyFill="1" applyBorder="1" applyAlignment="1">
      <alignment horizontal="center" vertical="center"/>
    </xf>
    <xf numFmtId="165" fontId="5" fillId="2" borderId="16" xfId="0" applyFont="1" applyFill="1" applyBorder="1" applyAlignment="1">
      <alignment vertical="center"/>
    </xf>
    <xf numFmtId="165" fontId="4" fillId="2" borderId="18" xfId="0" applyFont="1" applyFill="1" applyBorder="1" applyAlignment="1">
      <alignment vertical="center"/>
    </xf>
    <xf numFmtId="166" fontId="4" fillId="2" borderId="19" xfId="0" applyNumberFormat="1" applyFont="1" applyFill="1" applyBorder="1" applyAlignment="1">
      <alignment horizontal="center" vertical="center"/>
    </xf>
    <xf numFmtId="165" fontId="3" fillId="0" borderId="11" xfId="0" applyFont="1" applyFill="1" applyBorder="1" applyAlignment="1">
      <alignment vertical="center"/>
    </xf>
    <xf numFmtId="166" fontId="4" fillId="0" borderId="12" xfId="0" applyNumberFormat="1" applyFont="1" applyFill="1" applyBorder="1" applyAlignment="1">
      <alignment horizontal="center" vertical="center"/>
    </xf>
    <xf numFmtId="166" fontId="4" fillId="2" borderId="14" xfId="0" applyNumberFormat="1" applyFont="1" applyFill="1" applyBorder="1" applyAlignment="1">
      <alignment horizontal="center" vertical="center"/>
    </xf>
    <xf numFmtId="165" fontId="4" fillId="2" borderId="3" xfId="0" applyFont="1" applyFill="1" applyBorder="1" applyAlignment="1">
      <alignment vertical="center"/>
    </xf>
    <xf numFmtId="165" fontId="11" fillId="2" borderId="0" xfId="0" applyFont="1" applyFill="1" applyBorder="1" applyAlignment="1">
      <alignment vertical="center"/>
    </xf>
    <xf numFmtId="166" fontId="4" fillId="2" borderId="12" xfId="0" applyNumberFormat="1" applyFont="1" applyFill="1" applyBorder="1" applyAlignment="1" applyProtection="1">
      <alignment horizontal="center" vertical="center"/>
    </xf>
    <xf numFmtId="165" fontId="5" fillId="2" borderId="21" xfId="0" applyFont="1" applyFill="1" applyBorder="1" applyAlignment="1">
      <alignment vertical="center"/>
    </xf>
    <xf numFmtId="165" fontId="5" fillId="2" borderId="22" xfId="0" applyFont="1" applyFill="1" applyBorder="1" applyAlignment="1">
      <alignment horizontal="center" vertical="center"/>
    </xf>
    <xf numFmtId="165" fontId="5" fillId="2" borderId="24" xfId="0" applyFont="1" applyFill="1" applyBorder="1" applyAlignment="1">
      <alignment horizontal="center" vertical="center"/>
    </xf>
    <xf numFmtId="165" fontId="3" fillId="2" borderId="26" xfId="0" applyFont="1" applyFill="1" applyBorder="1"/>
    <xf numFmtId="165" fontId="5" fillId="2" borderId="0" xfId="0" applyFont="1" applyFill="1" applyBorder="1" applyAlignment="1">
      <alignment horizontal="center"/>
    </xf>
    <xf numFmtId="165" fontId="7" fillId="3" borderId="0" xfId="0" applyFont="1" applyFill="1" applyBorder="1" applyAlignment="1">
      <alignment horizontal="center" vertical="center"/>
    </xf>
    <xf numFmtId="165" fontId="9" fillId="2" borderId="11" xfId="0" applyFont="1" applyFill="1" applyBorder="1" applyAlignment="1">
      <alignment vertical="center" wrapText="1"/>
    </xf>
    <xf numFmtId="165" fontId="4" fillId="2" borderId="12" xfId="0" applyFont="1" applyFill="1" applyBorder="1" applyAlignment="1">
      <alignment horizontal="center" vertical="center" wrapText="1"/>
    </xf>
    <xf numFmtId="165" fontId="7" fillId="3" borderId="0" xfId="0" applyFont="1" applyFill="1" applyBorder="1" applyAlignment="1">
      <alignment horizontal="left" vertical="center"/>
    </xf>
    <xf numFmtId="165" fontId="4" fillId="2" borderId="33" xfId="0" applyFont="1" applyFill="1" applyBorder="1" applyAlignment="1">
      <alignment horizontal="center" vertical="center" wrapText="1"/>
    </xf>
    <xf numFmtId="165" fontId="4" fillId="2" borderId="35" xfId="0" applyFont="1" applyFill="1" applyBorder="1" applyAlignment="1">
      <alignment horizontal="center" vertical="center"/>
    </xf>
    <xf numFmtId="166" fontId="4" fillId="0" borderId="34" xfId="0" applyNumberFormat="1" applyFont="1" applyFill="1" applyBorder="1" applyAlignment="1">
      <alignment horizontal="center" vertical="center"/>
    </xf>
    <xf numFmtId="166" fontId="3" fillId="0" borderId="34" xfId="0" applyNumberFormat="1" applyFont="1" applyFill="1" applyBorder="1" applyAlignment="1">
      <alignment horizontal="center" vertical="center"/>
    </xf>
    <xf numFmtId="166" fontId="4" fillId="2" borderId="36" xfId="0" applyNumberFormat="1" applyFont="1" applyFill="1" applyBorder="1" applyAlignment="1">
      <alignment horizontal="center" vertical="center"/>
    </xf>
    <xf numFmtId="166" fontId="4" fillId="2" borderId="34" xfId="0" applyNumberFormat="1" applyFont="1" applyFill="1" applyBorder="1" applyAlignment="1" applyProtection="1">
      <alignment horizontal="center" vertical="center"/>
    </xf>
    <xf numFmtId="165" fontId="5" fillId="2" borderId="37" xfId="0" applyFont="1" applyFill="1" applyBorder="1" applyAlignment="1">
      <alignment horizontal="center" vertical="center"/>
    </xf>
    <xf numFmtId="165" fontId="4" fillId="2" borderId="38" xfId="0" applyFont="1" applyFill="1" applyBorder="1" applyAlignment="1">
      <alignment horizontal="center" vertical="center" wrapText="1"/>
    </xf>
    <xf numFmtId="165" fontId="7" fillId="3" borderId="0" xfId="0" applyFont="1" applyFill="1" applyBorder="1" applyAlignment="1">
      <alignment horizontal="center" vertical="center"/>
    </xf>
    <xf numFmtId="165" fontId="10" fillId="2" borderId="0" xfId="0" applyFont="1" applyFill="1" applyBorder="1" applyAlignment="1">
      <alignment vertical="center"/>
    </xf>
    <xf numFmtId="165" fontId="10" fillId="2" borderId="0" xfId="0" applyFont="1" applyFill="1" applyAlignment="1">
      <alignment vertical="center"/>
    </xf>
    <xf numFmtId="165" fontId="13" fillId="2" borderId="0" xfId="0" applyFont="1" applyFill="1" applyBorder="1" applyAlignment="1">
      <alignment vertical="center"/>
    </xf>
    <xf numFmtId="165" fontId="12" fillId="2" borderId="0" xfId="0" applyFont="1" applyFill="1" applyBorder="1" applyAlignment="1">
      <alignment vertical="center"/>
    </xf>
    <xf numFmtId="165" fontId="15" fillId="2" borderId="0" xfId="0" applyFont="1" applyFill="1" applyBorder="1" applyAlignment="1">
      <alignment horizontal="center" vertical="center"/>
    </xf>
    <xf numFmtId="0" fontId="17" fillId="0" borderId="0" xfId="2" applyNumberFormat="1" applyFont="1" applyAlignment="1" applyProtection="1">
      <alignment horizontal="left" vertical="center"/>
      <protection locked="0"/>
    </xf>
    <xf numFmtId="0" fontId="14" fillId="0" borderId="0" xfId="2" applyAlignment="1">
      <alignment vertical="center"/>
    </xf>
    <xf numFmtId="0" fontId="14" fillId="0" borderId="0" xfId="2" applyNumberFormat="1" applyAlignment="1" applyProtection="1">
      <alignment horizontal="left" vertical="center"/>
      <protection locked="0"/>
    </xf>
    <xf numFmtId="0" fontId="14" fillId="0" borderId="0" xfId="2" applyNumberFormat="1" applyAlignment="1" applyProtection="1">
      <alignment vertical="center"/>
      <protection locked="0"/>
    </xf>
    <xf numFmtId="0" fontId="18" fillId="0" borderId="0" xfId="2" applyFont="1" applyAlignment="1">
      <alignment vertical="center"/>
    </xf>
    <xf numFmtId="0" fontId="14" fillId="4" borderId="0" xfId="2" applyFill="1" applyAlignment="1">
      <alignment vertical="center"/>
    </xf>
    <xf numFmtId="165" fontId="19" fillId="2" borderId="0" xfId="0" applyFont="1" applyFill="1"/>
    <xf numFmtId="165" fontId="20" fillId="2" borderId="0" xfId="0" applyFont="1" applyFill="1"/>
    <xf numFmtId="165" fontId="20" fillId="2" borderId="0" xfId="0" applyFont="1" applyFill="1" applyAlignment="1">
      <alignment horizontal="center"/>
    </xf>
    <xf numFmtId="3" fontId="21" fillId="3" borderId="0" xfId="0" applyNumberFormat="1" applyFont="1" applyFill="1" applyBorder="1" applyAlignment="1">
      <alignment horizontal="center" vertical="center"/>
    </xf>
    <xf numFmtId="3" fontId="22" fillId="2" borderId="0" xfId="0" applyNumberFormat="1" applyFont="1" applyFill="1" applyBorder="1" applyAlignment="1">
      <alignment vertical="center"/>
    </xf>
    <xf numFmtId="166" fontId="20" fillId="2" borderId="0" xfId="0" applyNumberFormat="1" applyFont="1" applyFill="1" applyBorder="1" applyAlignment="1">
      <alignment horizontal="center" vertical="center"/>
    </xf>
    <xf numFmtId="166" fontId="20" fillId="2" borderId="0" xfId="0" applyNumberFormat="1" applyFont="1" applyFill="1" applyBorder="1" applyAlignment="1">
      <alignment vertical="center"/>
    </xf>
    <xf numFmtId="3" fontId="19" fillId="2" borderId="39" xfId="0" applyNumberFormat="1" applyFont="1" applyFill="1" applyBorder="1" applyAlignment="1">
      <alignment vertical="center"/>
    </xf>
    <xf numFmtId="3" fontId="19" fillId="2" borderId="46" xfId="0" applyNumberFormat="1" applyFont="1" applyFill="1" applyBorder="1" applyAlignment="1">
      <alignment horizontal="center" vertical="center"/>
    </xf>
    <xf numFmtId="3" fontId="19" fillId="2" borderId="51" xfId="0" applyNumberFormat="1" applyFont="1" applyFill="1" applyBorder="1" applyAlignment="1">
      <alignment horizontal="center" vertical="center"/>
    </xf>
    <xf numFmtId="3" fontId="19" fillId="2" borderId="40" xfId="0" applyNumberFormat="1" applyFont="1" applyFill="1" applyBorder="1" applyAlignment="1">
      <alignment horizontal="center" vertical="center"/>
    </xf>
    <xf numFmtId="3" fontId="19" fillId="2" borderId="11" xfId="0" applyNumberFormat="1" applyFont="1" applyFill="1" applyBorder="1" applyAlignment="1">
      <alignment vertical="center"/>
    </xf>
    <xf numFmtId="3" fontId="19" fillId="2" borderId="47" xfId="0" applyNumberFormat="1" applyFont="1" applyFill="1" applyBorder="1" applyAlignment="1">
      <alignment horizontal="center" vertical="center"/>
    </xf>
    <xf numFmtId="3" fontId="19" fillId="2" borderId="15" xfId="0" applyNumberFormat="1" applyFont="1" applyFill="1" applyBorder="1" applyAlignment="1">
      <alignment horizontal="center" vertical="center"/>
    </xf>
    <xf numFmtId="3" fontId="19" fillId="2" borderId="27" xfId="0" applyNumberFormat="1" applyFont="1" applyFill="1" applyBorder="1" applyAlignment="1">
      <alignment horizontal="center" vertical="center"/>
    </xf>
    <xf numFmtId="3" fontId="19" fillId="2" borderId="41" xfId="0" applyNumberFormat="1" applyFont="1" applyFill="1" applyBorder="1" applyAlignment="1">
      <alignment horizontal="center" vertical="center"/>
    </xf>
    <xf numFmtId="3" fontId="19" fillId="2" borderId="17" xfId="0" applyNumberFormat="1" applyFont="1" applyFill="1" applyBorder="1" applyAlignment="1">
      <alignment horizontal="center" vertical="center"/>
    </xf>
    <xf numFmtId="3" fontId="19" fillId="2" borderId="16" xfId="0" applyNumberFormat="1" applyFont="1" applyFill="1" applyBorder="1" applyAlignment="1">
      <alignment horizontal="center" vertical="center"/>
    </xf>
    <xf numFmtId="3" fontId="19" fillId="2" borderId="0" xfId="0" applyNumberFormat="1" applyFont="1" applyFill="1" applyBorder="1" applyAlignment="1">
      <alignment horizontal="center" vertical="center"/>
    </xf>
    <xf numFmtId="3" fontId="19" fillId="2" borderId="42" xfId="0" applyNumberFormat="1" applyFont="1" applyFill="1" applyBorder="1" applyAlignment="1">
      <alignment vertical="center"/>
    </xf>
    <xf numFmtId="3" fontId="19" fillId="2" borderId="48" xfId="0" applyNumberFormat="1" applyFont="1" applyFill="1" applyBorder="1" applyAlignment="1">
      <alignment horizontal="center" vertical="center"/>
    </xf>
    <xf numFmtId="3" fontId="19" fillId="2" borderId="52" xfId="0" applyNumberFormat="1" applyFont="1" applyFill="1" applyBorder="1" applyAlignment="1">
      <alignment horizontal="center" vertical="center"/>
    </xf>
    <xf numFmtId="3" fontId="19" fillId="2" borderId="32" xfId="0" applyNumberFormat="1" applyFont="1" applyFill="1" applyBorder="1" applyAlignment="1">
      <alignment horizontal="center" vertical="center"/>
    </xf>
    <xf numFmtId="3" fontId="20" fillId="2" borderId="11" xfId="0" applyNumberFormat="1" applyFont="1" applyFill="1" applyBorder="1" applyAlignment="1">
      <alignment vertical="center"/>
    </xf>
    <xf numFmtId="3" fontId="20" fillId="2" borderId="47" xfId="0" applyNumberFormat="1" applyFont="1" applyFill="1" applyBorder="1" applyAlignment="1">
      <alignment horizontal="center" vertical="center"/>
    </xf>
    <xf numFmtId="3" fontId="20" fillId="0" borderId="15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0" fillId="2" borderId="15" xfId="0" applyNumberFormat="1" applyFont="1" applyFill="1" applyBorder="1" applyAlignment="1">
      <alignment horizontal="center" vertical="center"/>
    </xf>
    <xf numFmtId="3" fontId="20" fillId="2" borderId="17" xfId="0" applyNumberFormat="1" applyFont="1" applyFill="1" applyBorder="1" applyAlignment="1">
      <alignment horizontal="center" vertical="center"/>
    </xf>
    <xf numFmtId="3" fontId="20" fillId="2" borderId="53" xfId="0" applyNumberFormat="1" applyFont="1" applyFill="1" applyBorder="1" applyAlignment="1">
      <alignment horizontal="center" vertical="center"/>
    </xf>
    <xf numFmtId="3" fontId="20" fillId="2" borderId="43" xfId="0" applyNumberFormat="1" applyFont="1" applyFill="1" applyBorder="1" applyAlignment="1">
      <alignment horizontal="center" vertical="center"/>
    </xf>
    <xf numFmtId="3" fontId="20" fillId="2" borderId="11" xfId="0" applyNumberFormat="1" applyFont="1" applyFill="1" applyBorder="1" applyAlignment="1">
      <alignment horizontal="left" vertical="center"/>
    </xf>
    <xf numFmtId="3" fontId="20" fillId="2" borderId="12" xfId="0" applyNumberFormat="1" applyFont="1" applyFill="1" applyBorder="1" applyAlignment="1">
      <alignment horizontal="center" vertical="center"/>
    </xf>
    <xf numFmtId="3" fontId="19" fillId="2" borderId="21" xfId="0" applyNumberFormat="1" applyFont="1" applyFill="1" applyBorder="1" applyAlignment="1">
      <alignment vertical="center"/>
    </xf>
    <xf numFmtId="3" fontId="19" fillId="2" borderId="50" xfId="0" applyNumberFormat="1" applyFont="1" applyFill="1" applyBorder="1" applyAlignment="1">
      <alignment horizontal="center" vertical="center"/>
    </xf>
    <xf numFmtId="166" fontId="19" fillId="2" borderId="25" xfId="0" applyNumberFormat="1" applyFont="1" applyFill="1" applyBorder="1" applyAlignment="1">
      <alignment horizontal="center" vertical="center"/>
    </xf>
    <xf numFmtId="166" fontId="19" fillId="2" borderId="22" xfId="0" applyNumberFormat="1" applyFont="1" applyFill="1" applyBorder="1" applyAlignment="1">
      <alignment horizontal="center" vertical="center"/>
    </xf>
    <xf numFmtId="3" fontId="20" fillId="2" borderId="44" xfId="0" applyNumberFormat="1" applyFont="1" applyFill="1" applyBorder="1" applyAlignment="1">
      <alignment vertical="center"/>
    </xf>
    <xf numFmtId="3" fontId="20" fillId="2" borderId="49" xfId="0" applyNumberFormat="1" applyFont="1" applyFill="1" applyBorder="1" applyAlignment="1">
      <alignment horizontal="center" vertical="center"/>
    </xf>
    <xf numFmtId="3" fontId="20" fillId="2" borderId="54" xfId="0" applyNumberFormat="1" applyFont="1" applyFill="1" applyBorder="1" applyAlignment="1">
      <alignment horizontal="center" vertical="center"/>
    </xf>
    <xf numFmtId="0" fontId="14" fillId="5" borderId="0" xfId="2" applyFill="1" applyAlignment="1">
      <alignment vertical="center"/>
    </xf>
    <xf numFmtId="4" fontId="14" fillId="6" borderId="0" xfId="2" applyNumberFormat="1" applyFill="1" applyAlignment="1" applyProtection="1">
      <alignment vertical="center"/>
      <protection locked="0"/>
    </xf>
    <xf numFmtId="3" fontId="20" fillId="0" borderId="16" xfId="0" applyNumberFormat="1" applyFont="1" applyFill="1" applyBorder="1" applyAlignment="1">
      <alignment horizontal="center" vertical="center"/>
    </xf>
    <xf numFmtId="3" fontId="20" fillId="0" borderId="43" xfId="0" applyNumberFormat="1" applyFont="1" applyFill="1" applyBorder="1" applyAlignment="1">
      <alignment horizontal="center" vertical="center"/>
    </xf>
    <xf numFmtId="165" fontId="9" fillId="2" borderId="29" xfId="0" applyFont="1" applyFill="1" applyBorder="1" applyAlignment="1">
      <alignment vertical="center" wrapText="1"/>
    </xf>
    <xf numFmtId="165" fontId="9" fillId="2" borderId="0" xfId="0" applyFont="1" applyFill="1" applyBorder="1" applyAlignment="1">
      <alignment vertical="center" wrapText="1"/>
    </xf>
    <xf numFmtId="165" fontId="4" fillId="2" borderId="30" xfId="0" applyFont="1" applyFill="1" applyBorder="1" applyAlignment="1">
      <alignment vertical="center"/>
    </xf>
    <xf numFmtId="165" fontId="4" fillId="2" borderId="0" xfId="0" applyFont="1" applyFill="1" applyBorder="1" applyAlignment="1">
      <alignment vertical="center"/>
    </xf>
    <xf numFmtId="165" fontId="4" fillId="2" borderId="56" xfId="0" applyFont="1" applyFill="1" applyBorder="1" applyAlignment="1">
      <alignment vertical="center"/>
    </xf>
    <xf numFmtId="165" fontId="3" fillId="0" borderId="0" xfId="0" applyFont="1" applyFill="1" applyBorder="1" applyAlignment="1">
      <alignment vertical="center"/>
    </xf>
    <xf numFmtId="165" fontId="5" fillId="2" borderId="28" xfId="0" applyFont="1" applyFill="1" applyBorder="1" applyAlignment="1">
      <alignment vertical="center"/>
    </xf>
    <xf numFmtId="165" fontId="7" fillId="3" borderId="0" xfId="0" applyFont="1" applyFill="1" applyBorder="1" applyAlignment="1">
      <alignment horizontal="center" vertical="center"/>
    </xf>
    <xf numFmtId="3" fontId="19" fillId="2" borderId="53" xfId="0" applyNumberFormat="1" applyFont="1" applyFill="1" applyBorder="1" applyAlignment="1">
      <alignment horizontal="center" vertical="center"/>
    </xf>
    <xf numFmtId="3" fontId="20" fillId="2" borderId="0" xfId="0" applyNumberFormat="1" applyFont="1" applyFill="1" applyBorder="1" applyAlignment="1">
      <alignment horizontal="center" vertical="center"/>
    </xf>
    <xf numFmtId="165" fontId="24" fillId="2" borderId="69" xfId="0" applyFont="1" applyFill="1" applyBorder="1" applyAlignment="1">
      <alignment vertical="center"/>
    </xf>
    <xf numFmtId="165" fontId="24" fillId="2" borderId="0" xfId="0" applyFont="1" applyFill="1" applyBorder="1" applyAlignment="1">
      <alignment vertical="center"/>
    </xf>
    <xf numFmtId="165" fontId="25" fillId="4" borderId="0" xfId="0" applyFont="1" applyFill="1" applyBorder="1" applyAlignment="1">
      <alignment horizontal="center" vertical="center"/>
    </xf>
    <xf numFmtId="1" fontId="25" fillId="4" borderId="0" xfId="0" applyNumberFormat="1" applyFont="1" applyFill="1" applyBorder="1" applyAlignment="1">
      <alignment horizontal="center" vertical="center"/>
    </xf>
    <xf numFmtId="164" fontId="25" fillId="4" borderId="0" xfId="3" applyFont="1" applyFill="1" applyBorder="1" applyAlignment="1">
      <alignment horizontal="center" vertical="center"/>
    </xf>
    <xf numFmtId="165" fontId="22" fillId="2" borderId="65" xfId="0" applyFont="1" applyFill="1" applyBorder="1"/>
    <xf numFmtId="165" fontId="26" fillId="2" borderId="66" xfId="0" applyFont="1" applyFill="1" applyBorder="1"/>
    <xf numFmtId="165" fontId="22" fillId="2" borderId="66" xfId="0" applyFont="1" applyFill="1" applyBorder="1" applyAlignment="1">
      <alignment horizontal="center"/>
    </xf>
    <xf numFmtId="165" fontId="27" fillId="2" borderId="66" xfId="0" applyFont="1" applyFill="1" applyBorder="1" applyAlignment="1">
      <alignment horizontal="center"/>
    </xf>
    <xf numFmtId="1" fontId="22" fillId="2" borderId="66" xfId="0" applyNumberFormat="1" applyFont="1" applyFill="1" applyBorder="1" applyAlignment="1">
      <alignment horizontal="center"/>
    </xf>
    <xf numFmtId="164" fontId="22" fillId="2" borderId="66" xfId="3" applyFont="1" applyFill="1" applyBorder="1" applyAlignment="1">
      <alignment horizontal="center"/>
    </xf>
    <xf numFmtId="165" fontId="26" fillId="2" borderId="66" xfId="0" applyFont="1" applyFill="1" applyBorder="1" applyAlignment="1">
      <alignment horizontal="center"/>
    </xf>
    <xf numFmtId="165" fontId="22" fillId="2" borderId="67" xfId="0" applyFont="1" applyFill="1" applyBorder="1"/>
    <xf numFmtId="165" fontId="22" fillId="2" borderId="0" xfId="0" applyFont="1" applyFill="1" applyBorder="1"/>
    <xf numFmtId="165" fontId="20" fillId="2" borderId="68" xfId="0" applyFont="1" applyFill="1" applyBorder="1" applyAlignment="1">
      <alignment vertical="center"/>
    </xf>
    <xf numFmtId="165" fontId="20" fillId="2" borderId="69" xfId="0" applyFont="1" applyFill="1" applyBorder="1" applyAlignment="1">
      <alignment vertical="center"/>
    </xf>
    <xf numFmtId="165" fontId="20" fillId="2" borderId="0" xfId="0" applyFont="1" applyFill="1" applyBorder="1" applyAlignment="1">
      <alignment vertical="center"/>
    </xf>
    <xf numFmtId="165" fontId="20" fillId="2" borderId="0" xfId="0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164" fontId="20" fillId="2" borderId="0" xfId="3" applyFont="1" applyFill="1" applyBorder="1" applyAlignment="1">
      <alignment horizontal="center" vertical="center"/>
    </xf>
    <xf numFmtId="165" fontId="19" fillId="2" borderId="0" xfId="0" applyFont="1" applyFill="1" applyBorder="1" applyAlignment="1">
      <alignment horizontal="center" vertical="center"/>
    </xf>
    <xf numFmtId="165" fontId="20" fillId="2" borderId="68" xfId="0" applyFont="1" applyFill="1" applyBorder="1" applyAlignment="1">
      <alignment vertical="center" wrapText="1"/>
    </xf>
    <xf numFmtId="165" fontId="20" fillId="2" borderId="69" xfId="0" applyFont="1" applyFill="1" applyBorder="1" applyAlignment="1">
      <alignment vertical="center" wrapText="1"/>
    </xf>
    <xf numFmtId="165" fontId="20" fillId="2" borderId="0" xfId="0" applyFont="1" applyFill="1" applyBorder="1" applyAlignment="1">
      <alignment vertical="center" wrapText="1"/>
    </xf>
    <xf numFmtId="165" fontId="22" fillId="2" borderId="11" xfId="0" applyFont="1" applyFill="1" applyBorder="1" applyAlignment="1">
      <alignment vertical="center" wrapText="1"/>
    </xf>
    <xf numFmtId="165" fontId="19" fillId="2" borderId="14" xfId="0" applyFont="1" applyFill="1" applyBorder="1" applyAlignment="1">
      <alignment horizontal="center" vertical="center" wrapText="1"/>
    </xf>
    <xf numFmtId="165" fontId="19" fillId="2" borderId="62" xfId="0" applyFont="1" applyFill="1" applyBorder="1" applyAlignment="1">
      <alignment horizontal="center" vertical="center" wrapText="1"/>
    </xf>
    <xf numFmtId="165" fontId="19" fillId="2" borderId="13" xfId="0" applyFont="1" applyFill="1" applyBorder="1" applyAlignment="1">
      <alignment horizontal="center" vertical="center" wrapText="1"/>
    </xf>
    <xf numFmtId="165" fontId="19" fillId="2" borderId="7" xfId="0" applyFont="1" applyFill="1" applyBorder="1" applyAlignment="1">
      <alignment vertical="center"/>
    </xf>
    <xf numFmtId="165" fontId="19" fillId="2" borderId="9" xfId="0" applyFont="1" applyFill="1" applyBorder="1" applyAlignment="1">
      <alignment horizontal="center" vertical="center"/>
    </xf>
    <xf numFmtId="165" fontId="20" fillId="2" borderId="70" xfId="0" applyFont="1" applyFill="1" applyBorder="1" applyAlignment="1">
      <alignment vertical="center"/>
    </xf>
    <xf numFmtId="165" fontId="19" fillId="2" borderId="11" xfId="0" applyFont="1" applyFill="1" applyBorder="1" applyAlignment="1">
      <alignment vertical="center"/>
    </xf>
    <xf numFmtId="166" fontId="19" fillId="2" borderId="14" xfId="0" applyNumberFormat="1" applyFont="1" applyFill="1" applyBorder="1" applyAlignment="1">
      <alignment horizontal="center" vertical="center"/>
    </xf>
    <xf numFmtId="166" fontId="19" fillId="2" borderId="62" xfId="0" applyNumberFormat="1" applyFont="1" applyFill="1" applyBorder="1" applyAlignment="1">
      <alignment horizontal="center" vertical="center"/>
    </xf>
    <xf numFmtId="9" fontId="19" fillId="2" borderId="13" xfId="1" applyFont="1" applyFill="1" applyBorder="1" applyAlignment="1">
      <alignment horizontal="center" vertical="center"/>
    </xf>
    <xf numFmtId="166" fontId="19" fillId="0" borderId="14" xfId="0" applyNumberFormat="1" applyFont="1" applyFill="1" applyBorder="1" applyAlignment="1">
      <alignment horizontal="center" vertical="center"/>
    </xf>
    <xf numFmtId="9" fontId="20" fillId="2" borderId="13" xfId="1" applyFont="1" applyFill="1" applyBorder="1" applyAlignment="1">
      <alignment horizontal="center" vertical="center"/>
    </xf>
    <xf numFmtId="165" fontId="20" fillId="2" borderId="11" xfId="0" applyFont="1" applyFill="1" applyBorder="1" applyAlignment="1">
      <alignment vertical="center"/>
    </xf>
    <xf numFmtId="166" fontId="20" fillId="2" borderId="14" xfId="0" applyNumberFormat="1" applyFont="1" applyFill="1" applyBorder="1" applyAlignment="1">
      <alignment horizontal="center" vertical="center"/>
    </xf>
    <xf numFmtId="166" fontId="20" fillId="2" borderId="62" xfId="0" applyNumberFormat="1" applyFont="1" applyFill="1" applyBorder="1" applyAlignment="1">
      <alignment horizontal="center" vertical="center"/>
    </xf>
    <xf numFmtId="166" fontId="20" fillId="0" borderId="14" xfId="0" applyNumberFormat="1" applyFont="1" applyFill="1" applyBorder="1" applyAlignment="1">
      <alignment horizontal="center" vertical="center"/>
    </xf>
    <xf numFmtId="166" fontId="20" fillId="0" borderId="62" xfId="0" applyNumberFormat="1" applyFont="1" applyFill="1" applyBorder="1" applyAlignment="1">
      <alignment horizontal="center" vertical="center"/>
    </xf>
    <xf numFmtId="165" fontId="20" fillId="2" borderId="16" xfId="0" applyFont="1" applyFill="1" applyBorder="1" applyAlignment="1">
      <alignment vertical="center"/>
    </xf>
    <xf numFmtId="165" fontId="19" fillId="2" borderId="18" xfId="0" applyFont="1" applyFill="1" applyBorder="1" applyAlignment="1">
      <alignment vertical="center"/>
    </xf>
    <xf numFmtId="166" fontId="19" fillId="2" borderId="55" xfId="0" applyNumberFormat="1" applyFont="1" applyFill="1" applyBorder="1" applyAlignment="1">
      <alignment horizontal="center" vertical="center"/>
    </xf>
    <xf numFmtId="166" fontId="19" fillId="2" borderId="63" xfId="0" applyNumberFormat="1" applyFont="1" applyFill="1" applyBorder="1" applyAlignment="1">
      <alignment horizontal="center" vertical="center"/>
    </xf>
    <xf numFmtId="9" fontId="19" fillId="2" borderId="20" xfId="1" applyFont="1" applyFill="1" applyBorder="1" applyAlignment="1">
      <alignment horizontal="center" vertical="center"/>
    </xf>
    <xf numFmtId="165" fontId="20" fillId="0" borderId="11" xfId="0" applyFont="1" applyFill="1" applyBorder="1" applyAlignment="1">
      <alignment vertical="center"/>
    </xf>
    <xf numFmtId="166" fontId="19" fillId="0" borderId="62" xfId="0" applyNumberFormat="1" applyFont="1" applyFill="1" applyBorder="1" applyAlignment="1">
      <alignment horizontal="center" vertical="center"/>
    </xf>
    <xf numFmtId="165" fontId="19" fillId="2" borderId="68" xfId="0" applyFont="1" applyFill="1" applyBorder="1" applyAlignment="1">
      <alignment vertical="center"/>
    </xf>
    <xf numFmtId="165" fontId="19" fillId="2" borderId="69" xfId="0" applyFont="1" applyFill="1" applyBorder="1" applyAlignment="1">
      <alignment vertical="center"/>
    </xf>
    <xf numFmtId="165" fontId="19" fillId="2" borderId="0" xfId="0" applyFont="1" applyFill="1" applyBorder="1" applyAlignment="1">
      <alignment vertical="center"/>
    </xf>
    <xf numFmtId="165" fontId="20" fillId="2" borderId="21" xfId="0" applyFont="1" applyFill="1" applyBorder="1" applyAlignment="1">
      <alignment vertical="center"/>
    </xf>
    <xf numFmtId="165" fontId="20" fillId="2" borderId="24" xfId="0" applyFont="1" applyFill="1" applyBorder="1" applyAlignment="1">
      <alignment horizontal="center" vertical="center"/>
    </xf>
    <xf numFmtId="165" fontId="20" fillId="2" borderId="64" xfId="0" applyFont="1" applyFill="1" applyBorder="1" applyAlignment="1">
      <alignment horizontal="center" vertical="center"/>
    </xf>
    <xf numFmtId="9" fontId="20" fillId="2" borderId="23" xfId="1" applyFont="1" applyFill="1" applyBorder="1" applyAlignment="1">
      <alignment horizontal="center" vertical="center"/>
    </xf>
    <xf numFmtId="165" fontId="22" fillId="2" borderId="71" xfId="0" applyFont="1" applyFill="1" applyBorder="1"/>
    <xf numFmtId="165" fontId="22" fillId="2" borderId="73" xfId="0" applyFont="1" applyFill="1" applyBorder="1"/>
    <xf numFmtId="165" fontId="20" fillId="2" borderId="0" xfId="0" applyFont="1" applyFill="1" applyBorder="1"/>
    <xf numFmtId="165" fontId="20" fillId="2" borderId="0" xfId="0" applyFont="1" applyFill="1" applyBorder="1" applyAlignment="1">
      <alignment horizontal="center"/>
    </xf>
    <xf numFmtId="1" fontId="20" fillId="2" borderId="0" xfId="0" applyNumberFormat="1" applyFont="1" applyFill="1" applyBorder="1" applyAlignment="1">
      <alignment horizontal="center"/>
    </xf>
    <xf numFmtId="164" fontId="20" fillId="2" borderId="0" xfId="3" applyFont="1" applyFill="1" applyBorder="1" applyAlignment="1">
      <alignment horizontal="center"/>
    </xf>
    <xf numFmtId="165" fontId="19" fillId="2" borderId="0" xfId="0" applyFont="1" applyFill="1" applyBorder="1" applyAlignment="1">
      <alignment horizontal="center"/>
    </xf>
    <xf numFmtId="165" fontId="22" fillId="2" borderId="0" xfId="0" applyFont="1" applyFill="1" applyBorder="1" applyAlignment="1">
      <alignment horizontal="center"/>
    </xf>
    <xf numFmtId="1" fontId="19" fillId="2" borderId="0" xfId="0" applyNumberFormat="1" applyFont="1" applyFill="1" applyBorder="1" applyAlignment="1">
      <alignment horizontal="center" vertical="center"/>
    </xf>
    <xf numFmtId="164" fontId="19" fillId="2" borderId="0" xfId="3" applyFont="1" applyFill="1" applyBorder="1" applyAlignment="1">
      <alignment horizontal="center" vertical="center"/>
    </xf>
    <xf numFmtId="164" fontId="19" fillId="2" borderId="0" xfId="3" applyFont="1" applyFill="1" applyBorder="1" applyAlignment="1">
      <alignment horizontal="center"/>
    </xf>
    <xf numFmtId="10" fontId="28" fillId="2" borderId="0" xfId="0" applyNumberFormat="1" applyFont="1" applyFill="1" applyBorder="1" applyAlignment="1">
      <alignment horizontal="center" vertical="center"/>
    </xf>
    <xf numFmtId="10" fontId="20" fillId="2" borderId="0" xfId="0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165" fontId="29" fillId="4" borderId="0" xfId="0" applyFont="1" applyFill="1" applyBorder="1" applyAlignment="1">
      <alignment horizontal="center" vertical="center"/>
    </xf>
    <xf numFmtId="165" fontId="29" fillId="4" borderId="0" xfId="0" applyFont="1" applyFill="1" applyBorder="1" applyAlignment="1">
      <alignment horizontal="left" vertical="center"/>
    </xf>
    <xf numFmtId="164" fontId="22" fillId="2" borderId="0" xfId="3" applyFont="1" applyFill="1" applyBorder="1" applyAlignment="1">
      <alignment horizontal="center"/>
    </xf>
    <xf numFmtId="165" fontId="22" fillId="7" borderId="4" xfId="0" applyFont="1" applyFill="1" applyBorder="1" applyAlignment="1">
      <alignment vertical="center" wrapText="1"/>
    </xf>
    <xf numFmtId="165" fontId="19" fillId="7" borderId="6" xfId="0" applyFont="1" applyFill="1" applyBorder="1" applyAlignment="1">
      <alignment horizontal="center" vertical="center" wrapText="1"/>
    </xf>
    <xf numFmtId="165" fontId="19" fillId="7" borderId="14" xfId="0" applyFont="1" applyFill="1" applyBorder="1" applyAlignment="1">
      <alignment horizontal="center" vertical="center" wrapText="1"/>
    </xf>
    <xf numFmtId="166" fontId="19" fillId="7" borderId="12" xfId="0" applyNumberFormat="1" applyFont="1" applyFill="1" applyBorder="1" applyAlignment="1">
      <alignment horizontal="center" vertical="center"/>
    </xf>
    <xf numFmtId="166" fontId="19" fillId="7" borderId="19" xfId="0" applyNumberFormat="1" applyFont="1" applyFill="1" applyBorder="1" applyAlignment="1">
      <alignment horizontal="center" vertical="center"/>
    </xf>
    <xf numFmtId="165" fontId="19" fillId="7" borderId="22" xfId="0" applyFont="1" applyFill="1" applyBorder="1" applyAlignment="1">
      <alignment horizontal="center" vertical="center"/>
    </xf>
    <xf numFmtId="165" fontId="19" fillId="7" borderId="76" xfId="0" applyFont="1" applyFill="1" applyBorder="1" applyAlignment="1">
      <alignment horizontal="center" vertical="center" wrapText="1"/>
    </xf>
    <xf numFmtId="165" fontId="19" fillId="7" borderId="34" xfId="0" applyFont="1" applyFill="1" applyBorder="1" applyAlignment="1">
      <alignment horizontal="center" vertical="center" wrapText="1"/>
    </xf>
    <xf numFmtId="165" fontId="19" fillId="7" borderId="35" xfId="0" applyFont="1" applyFill="1" applyBorder="1" applyAlignment="1">
      <alignment horizontal="center" vertical="center"/>
    </xf>
    <xf numFmtId="9" fontId="19" fillId="7" borderId="34" xfId="1" applyFont="1" applyFill="1" applyBorder="1" applyAlignment="1">
      <alignment horizontal="center" vertical="center"/>
    </xf>
    <xf numFmtId="9" fontId="20" fillId="7" borderId="34" xfId="1" applyFont="1" applyFill="1" applyBorder="1" applyAlignment="1">
      <alignment horizontal="center" vertical="center"/>
    </xf>
    <xf numFmtId="9" fontId="19" fillId="7" borderId="36" xfId="1" applyFont="1" applyFill="1" applyBorder="1" applyAlignment="1">
      <alignment horizontal="center" vertical="center"/>
    </xf>
    <xf numFmtId="165" fontId="20" fillId="7" borderId="37" xfId="0" applyFont="1" applyFill="1" applyBorder="1" applyAlignment="1">
      <alignment horizontal="center" vertical="center"/>
    </xf>
    <xf numFmtId="165" fontId="25" fillId="4" borderId="0" xfId="0" applyFont="1" applyFill="1" applyBorder="1" applyAlignment="1">
      <alignment horizontal="center" vertical="center"/>
    </xf>
    <xf numFmtId="164" fontId="26" fillId="2" borderId="66" xfId="3" applyFont="1" applyFill="1" applyBorder="1" applyAlignment="1">
      <alignment horizontal="center"/>
    </xf>
    <xf numFmtId="164" fontId="19" fillId="7" borderId="0" xfId="3" applyFont="1" applyFill="1" applyBorder="1" applyAlignment="1">
      <alignment horizontal="center" vertical="center" wrapText="1"/>
    </xf>
    <xf numFmtId="166" fontId="19" fillId="7" borderId="0" xfId="3" applyNumberFormat="1" applyFont="1" applyFill="1" applyBorder="1" applyAlignment="1">
      <alignment horizontal="center" vertical="center"/>
    </xf>
    <xf numFmtId="166" fontId="19" fillId="7" borderId="56" xfId="3" applyNumberFormat="1" applyFont="1" applyFill="1" applyBorder="1" applyAlignment="1">
      <alignment horizontal="center" vertical="center"/>
    </xf>
    <xf numFmtId="166" fontId="19" fillId="7" borderId="28" xfId="3" applyNumberFormat="1" applyFont="1" applyFill="1" applyBorder="1" applyAlignment="1">
      <alignment horizontal="center" vertical="center"/>
    </xf>
    <xf numFmtId="166" fontId="20" fillId="2" borderId="13" xfId="0" applyNumberFormat="1" applyFont="1" applyFill="1" applyBorder="1" applyAlignment="1">
      <alignment horizontal="center" vertical="center"/>
    </xf>
    <xf numFmtId="0" fontId="0" fillId="0" borderId="0" xfId="0" applyNumberFormat="1" applyProtection="1">
      <protection locked="0"/>
    </xf>
    <xf numFmtId="165" fontId="18" fillId="0" borderId="0" xfId="0" applyFont="1"/>
    <xf numFmtId="0" fontId="10" fillId="6" borderId="0" xfId="2" applyFont="1" applyFill="1" applyAlignment="1">
      <alignment vertical="center"/>
    </xf>
    <xf numFmtId="0" fontId="10" fillId="6" borderId="0" xfId="2" applyNumberFormat="1" applyFont="1" applyFill="1" applyAlignment="1" applyProtection="1">
      <alignment horizontal="center" vertical="center"/>
      <protection locked="0"/>
    </xf>
    <xf numFmtId="0" fontId="31" fillId="6" borderId="0" xfId="2" applyNumberFormat="1" applyFont="1" applyFill="1" applyAlignment="1" applyProtection="1">
      <alignment horizontal="right" vertical="center"/>
      <protection locked="0"/>
    </xf>
    <xf numFmtId="4" fontId="10" fillId="6" borderId="0" xfId="2" applyNumberFormat="1" applyFont="1" applyFill="1" applyAlignment="1" applyProtection="1">
      <alignment vertical="center"/>
      <protection locked="0"/>
    </xf>
    <xf numFmtId="3" fontId="10" fillId="0" borderId="0" xfId="0" applyNumberFormat="1" applyFont="1" applyProtection="1">
      <protection locked="0"/>
    </xf>
    <xf numFmtId="3" fontId="32" fillId="0" borderId="0" xfId="0" applyNumberFormat="1" applyFont="1" applyProtection="1">
      <protection locked="0"/>
    </xf>
    <xf numFmtId="0" fontId="0" fillId="2" borderId="0" xfId="0" applyNumberFormat="1" applyFill="1" applyProtection="1">
      <protection locked="0"/>
    </xf>
    <xf numFmtId="0" fontId="14" fillId="2" borderId="0" xfId="2" applyFill="1" applyAlignment="1">
      <alignment vertical="center"/>
    </xf>
    <xf numFmtId="0" fontId="18" fillId="2" borderId="0" xfId="2" applyFont="1" applyFill="1" applyAlignment="1">
      <alignment vertical="center"/>
    </xf>
    <xf numFmtId="165" fontId="18" fillId="2" borderId="0" xfId="0" applyFont="1" applyFill="1"/>
    <xf numFmtId="3" fontId="32" fillId="2" borderId="0" xfId="0" applyNumberFormat="1" applyFont="1" applyFill="1" applyProtection="1">
      <protection locked="0"/>
    </xf>
    <xf numFmtId="3" fontId="14" fillId="0" borderId="0" xfId="2" applyNumberFormat="1" applyAlignment="1">
      <alignment vertical="center"/>
    </xf>
    <xf numFmtId="9" fontId="20" fillId="2" borderId="77" xfId="1" applyFont="1" applyFill="1" applyBorder="1" applyAlignment="1">
      <alignment horizontal="center" vertical="center"/>
    </xf>
    <xf numFmtId="166" fontId="20" fillId="0" borderId="47" xfId="0" applyNumberFormat="1" applyFont="1" applyFill="1" applyBorder="1" applyAlignment="1">
      <alignment horizontal="center" vertical="center"/>
    </xf>
    <xf numFmtId="166" fontId="20" fillId="0" borderId="41" xfId="0" applyNumberFormat="1" applyFont="1" applyFill="1" applyBorder="1" applyAlignment="1">
      <alignment horizontal="center" vertical="center"/>
    </xf>
    <xf numFmtId="166" fontId="19" fillId="2" borderId="13" xfId="0" applyNumberFormat="1" applyFont="1" applyFill="1" applyBorder="1" applyAlignment="1">
      <alignment horizontal="center" vertical="center"/>
    </xf>
    <xf numFmtId="165" fontId="10" fillId="2" borderId="78" xfId="0" applyFont="1" applyFill="1" applyBorder="1" applyAlignment="1">
      <alignment vertical="center"/>
    </xf>
    <xf numFmtId="165" fontId="10" fillId="2" borderId="27" xfId="0" applyFont="1" applyFill="1" applyBorder="1" applyAlignment="1">
      <alignment vertical="center"/>
    </xf>
    <xf numFmtId="165" fontId="10" fillId="2" borderId="79" xfId="0" applyFont="1" applyFill="1" applyBorder="1" applyAlignment="1">
      <alignment vertical="center"/>
    </xf>
    <xf numFmtId="165" fontId="10" fillId="2" borderId="16" xfId="0" applyFont="1" applyFill="1" applyBorder="1" applyAlignment="1">
      <alignment vertical="center"/>
    </xf>
    <xf numFmtId="165" fontId="10" fillId="2" borderId="58" xfId="0" applyFont="1" applyFill="1" applyBorder="1" applyAlignment="1">
      <alignment vertical="center"/>
    </xf>
    <xf numFmtId="165" fontId="13" fillId="2" borderId="16" xfId="0" applyFont="1" applyFill="1" applyBorder="1" applyAlignment="1">
      <alignment vertical="center"/>
    </xf>
    <xf numFmtId="165" fontId="13" fillId="2" borderId="58" xfId="0" applyFont="1" applyFill="1" applyBorder="1" applyAlignment="1">
      <alignment vertical="center"/>
    </xf>
    <xf numFmtId="3" fontId="21" fillId="3" borderId="0" xfId="0" applyNumberFormat="1" applyFont="1" applyFill="1" applyBorder="1" applyAlignment="1">
      <alignment horizontal="center" vertical="center"/>
    </xf>
    <xf numFmtId="164" fontId="10" fillId="6" borderId="0" xfId="3" applyFont="1" applyFill="1" applyAlignment="1">
      <alignment vertical="center"/>
    </xf>
    <xf numFmtId="164" fontId="31" fillId="6" borderId="0" xfId="3" applyFont="1" applyFill="1" applyAlignment="1" applyProtection="1">
      <alignment horizontal="right" vertical="center"/>
      <protection locked="0"/>
    </xf>
    <xf numFmtId="164" fontId="10" fillId="6" borderId="0" xfId="3" applyFont="1" applyFill="1" applyAlignment="1" applyProtection="1">
      <alignment vertical="center"/>
      <protection locked="0"/>
    </xf>
    <xf numFmtId="164" fontId="10" fillId="0" borderId="0" xfId="3" applyFont="1" applyProtection="1">
      <protection locked="0"/>
    </xf>
    <xf numFmtId="164" fontId="32" fillId="0" borderId="0" xfId="3" applyFont="1" applyProtection="1">
      <protection locked="0"/>
    </xf>
    <xf numFmtId="3" fontId="20" fillId="0" borderId="82" xfId="0" applyNumberFormat="1" applyFont="1" applyFill="1" applyBorder="1" applyAlignment="1">
      <alignment horizontal="center" vertical="center"/>
    </xf>
    <xf numFmtId="3" fontId="20" fillId="2" borderId="83" xfId="0" applyNumberFormat="1" applyFont="1" applyFill="1" applyBorder="1" applyAlignment="1">
      <alignment horizontal="center" vertical="center"/>
    </xf>
    <xf numFmtId="3" fontId="20" fillId="0" borderId="84" xfId="0" applyNumberFormat="1" applyFont="1" applyFill="1" applyBorder="1" applyAlignment="1">
      <alignment horizontal="center" vertical="center"/>
    </xf>
    <xf numFmtId="3" fontId="20" fillId="0" borderId="85" xfId="0" applyNumberFormat="1" applyFont="1" applyFill="1" applyBorder="1" applyAlignment="1">
      <alignment horizontal="center" vertical="center"/>
    </xf>
    <xf numFmtId="3" fontId="20" fillId="0" borderId="86" xfId="0" applyNumberFormat="1" applyFont="1" applyFill="1" applyBorder="1" applyAlignment="1">
      <alignment horizontal="center" vertical="center"/>
    </xf>
    <xf numFmtId="166" fontId="20" fillId="2" borderId="12" xfId="0" applyNumberFormat="1" applyFont="1" applyFill="1" applyBorder="1" applyAlignment="1">
      <alignment horizontal="center" vertical="center"/>
    </xf>
    <xf numFmtId="166" fontId="20" fillId="2" borderId="47" xfId="0" applyNumberFormat="1" applyFont="1" applyFill="1" applyBorder="1" applyAlignment="1">
      <alignment horizontal="center" vertical="center"/>
    </xf>
    <xf numFmtId="0" fontId="23" fillId="0" borderId="0" xfId="0" applyNumberFormat="1" applyFont="1" applyProtection="1">
      <protection locked="0"/>
    </xf>
    <xf numFmtId="164" fontId="5" fillId="2" borderId="0" xfId="3" applyFont="1" applyFill="1" applyBorder="1" applyAlignment="1">
      <alignment horizontal="center"/>
    </xf>
    <xf numFmtId="166" fontId="19" fillId="2" borderId="97" xfId="0" applyNumberFormat="1" applyFont="1" applyFill="1" applyBorder="1" applyAlignment="1">
      <alignment horizontal="center" vertical="center"/>
    </xf>
    <xf numFmtId="9" fontId="19" fillId="2" borderId="96" xfId="1" applyFont="1" applyFill="1" applyBorder="1" applyAlignment="1">
      <alignment horizontal="center" vertical="center"/>
    </xf>
    <xf numFmtId="166" fontId="20" fillId="2" borderId="41" xfId="0" applyNumberFormat="1" applyFont="1" applyFill="1" applyBorder="1" applyAlignment="1">
      <alignment horizontal="center" vertical="center"/>
    </xf>
    <xf numFmtId="166" fontId="20" fillId="0" borderId="13" xfId="0" applyNumberFormat="1" applyFont="1" applyFill="1" applyBorder="1" applyAlignment="1">
      <alignment horizontal="center" vertical="center"/>
    </xf>
    <xf numFmtId="166" fontId="19" fillId="2" borderId="98" xfId="0" applyNumberFormat="1" applyFont="1" applyFill="1" applyBorder="1" applyAlignment="1">
      <alignment horizontal="center" vertical="center"/>
    </xf>
    <xf numFmtId="166" fontId="20" fillId="0" borderId="0" xfId="0" applyNumberFormat="1" applyFont="1" applyFill="1" applyBorder="1" applyAlignment="1">
      <alignment horizontal="center" vertical="center"/>
    </xf>
    <xf numFmtId="166" fontId="19" fillId="2" borderId="56" xfId="0" applyNumberFormat="1" applyFont="1" applyFill="1" applyBorder="1" applyAlignment="1">
      <alignment horizontal="center" vertical="center"/>
    </xf>
    <xf numFmtId="167" fontId="20" fillId="2" borderId="62" xfId="0" applyNumberFormat="1" applyFont="1" applyFill="1" applyBorder="1" applyAlignment="1">
      <alignment horizontal="center"/>
    </xf>
    <xf numFmtId="166" fontId="19" fillId="39" borderId="97" xfId="0" applyNumberFormat="1" applyFont="1" applyFill="1" applyBorder="1" applyAlignment="1">
      <alignment horizontal="center" vertical="center"/>
    </xf>
    <xf numFmtId="166" fontId="19" fillId="39" borderId="63" xfId="0" applyNumberFormat="1" applyFont="1" applyFill="1" applyBorder="1" applyAlignment="1">
      <alignment horizontal="center" vertical="center"/>
    </xf>
    <xf numFmtId="166" fontId="19" fillId="39" borderId="12" xfId="0" applyNumberFormat="1" applyFont="1" applyFill="1" applyBorder="1" applyAlignment="1">
      <alignment horizontal="center" vertical="center"/>
    </xf>
    <xf numFmtId="166" fontId="19" fillId="39" borderId="0" xfId="3" applyNumberFormat="1" applyFont="1" applyFill="1" applyBorder="1" applyAlignment="1">
      <alignment horizontal="center" vertical="center"/>
    </xf>
    <xf numFmtId="165" fontId="19" fillId="39" borderId="57" xfId="0" applyFont="1" applyFill="1" applyBorder="1" applyAlignment="1">
      <alignment horizontal="center" vertical="center" wrapText="1"/>
    </xf>
    <xf numFmtId="165" fontId="19" fillId="39" borderId="14" xfId="0" applyFont="1" applyFill="1" applyBorder="1" applyAlignment="1">
      <alignment horizontal="center" vertical="center" wrapText="1"/>
    </xf>
    <xf numFmtId="164" fontId="19" fillId="39" borderId="13" xfId="3" applyFont="1" applyFill="1" applyBorder="1" applyAlignment="1">
      <alignment horizontal="center" vertical="center" wrapText="1"/>
    </xf>
    <xf numFmtId="165" fontId="19" fillId="39" borderId="58" xfId="0" applyFont="1" applyFill="1" applyBorder="1" applyAlignment="1">
      <alignment horizontal="center" vertical="center" wrapText="1"/>
    </xf>
    <xf numFmtId="165" fontId="19" fillId="39" borderId="59" xfId="0" applyFont="1" applyFill="1" applyBorder="1" applyAlignment="1">
      <alignment horizontal="center" vertical="center"/>
    </xf>
    <xf numFmtId="9" fontId="19" fillId="39" borderId="34" xfId="1" applyFont="1" applyFill="1" applyBorder="1" applyAlignment="1">
      <alignment horizontal="center" vertical="center"/>
    </xf>
    <xf numFmtId="9" fontId="20" fillId="39" borderId="34" xfId="1" applyFont="1" applyFill="1" applyBorder="1" applyAlignment="1">
      <alignment horizontal="center" vertical="center"/>
    </xf>
    <xf numFmtId="9" fontId="19" fillId="39" borderId="36" xfId="1" applyFont="1" applyFill="1" applyBorder="1" applyAlignment="1">
      <alignment horizontal="center" vertical="center"/>
    </xf>
    <xf numFmtId="165" fontId="19" fillId="39" borderId="22" xfId="0" applyFont="1" applyFill="1" applyBorder="1" applyAlignment="1">
      <alignment horizontal="center" vertical="center"/>
    </xf>
    <xf numFmtId="166" fontId="19" fillId="39" borderId="28" xfId="3" applyNumberFormat="1" applyFont="1" applyFill="1" applyBorder="1" applyAlignment="1">
      <alignment horizontal="center" vertical="center"/>
    </xf>
    <xf numFmtId="165" fontId="20" fillId="39" borderId="37" xfId="0" applyFont="1" applyFill="1" applyBorder="1" applyAlignment="1">
      <alignment horizontal="center" vertical="center"/>
    </xf>
    <xf numFmtId="165" fontId="52" fillId="2" borderId="0" xfId="0" applyFont="1" applyFill="1" applyBorder="1" applyAlignment="1">
      <alignment horizontal="center"/>
    </xf>
    <xf numFmtId="166" fontId="19" fillId="2" borderId="47" xfId="0" applyNumberFormat="1" applyFont="1" applyFill="1" applyBorder="1" applyAlignment="1" applyProtection="1">
      <alignment horizontal="center" vertical="center"/>
    </xf>
    <xf numFmtId="166" fontId="19" fillId="2" borderId="62" xfId="0" applyNumberFormat="1" applyFont="1" applyFill="1" applyBorder="1" applyAlignment="1" applyProtection="1">
      <alignment horizontal="center" vertical="center"/>
    </xf>
    <xf numFmtId="166" fontId="19" fillId="2" borderId="41" xfId="0" applyNumberFormat="1" applyFont="1" applyFill="1" applyBorder="1" applyAlignment="1" applyProtection="1">
      <alignment horizontal="center" vertical="center"/>
    </xf>
    <xf numFmtId="9" fontId="19" fillId="2" borderId="77" xfId="1" applyFont="1" applyFill="1" applyBorder="1" applyAlignment="1">
      <alignment horizontal="center" vertical="center"/>
    </xf>
    <xf numFmtId="4" fontId="66" fillId="0" borderId="0" xfId="167" applyNumberFormat="1" applyProtection="1">
      <protection locked="0"/>
    </xf>
    <xf numFmtId="4" fontId="66" fillId="0" borderId="0" xfId="167" applyNumberFormat="1" applyProtection="1">
      <protection locked="0"/>
    </xf>
    <xf numFmtId="4" fontId="66" fillId="0" borderId="0" xfId="167" applyNumberFormat="1" applyProtection="1">
      <protection locked="0"/>
    </xf>
    <xf numFmtId="4" fontId="66" fillId="0" borderId="0" xfId="167" applyNumberFormat="1" applyProtection="1">
      <protection locked="0"/>
    </xf>
    <xf numFmtId="4" fontId="66" fillId="0" borderId="0" xfId="167" applyNumberFormat="1" applyProtection="1">
      <protection locked="0"/>
    </xf>
    <xf numFmtId="4" fontId="66" fillId="0" borderId="0" xfId="167" applyNumberFormat="1" applyProtection="1">
      <protection locked="0"/>
    </xf>
    <xf numFmtId="4" fontId="66" fillId="0" borderId="0" xfId="167" applyNumberFormat="1" applyProtection="1">
      <protection locked="0"/>
    </xf>
    <xf numFmtId="4" fontId="66" fillId="0" borderId="0" xfId="167" applyNumberFormat="1" applyProtection="1">
      <protection locked="0"/>
    </xf>
    <xf numFmtId="4" fontId="66" fillId="0" borderId="0" xfId="167" applyNumberFormat="1" applyProtection="1">
      <protection locked="0"/>
    </xf>
    <xf numFmtId="166" fontId="19" fillId="2" borderId="20" xfId="0" applyNumberFormat="1" applyFont="1" applyFill="1" applyBorder="1" applyAlignment="1">
      <alignment horizontal="center" vertical="center"/>
    </xf>
    <xf numFmtId="166" fontId="51" fillId="2" borderId="0" xfId="0" applyNumberFormat="1" applyFont="1" applyFill="1" applyBorder="1" applyAlignment="1">
      <alignment horizontal="center" vertical="center"/>
    </xf>
    <xf numFmtId="166" fontId="51" fillId="2" borderId="62" xfId="0" applyNumberFormat="1" applyFont="1" applyFill="1" applyBorder="1" applyAlignment="1">
      <alignment horizontal="center" vertical="center"/>
    </xf>
    <xf numFmtId="164" fontId="32" fillId="6" borderId="0" xfId="3" applyFont="1" applyFill="1" applyAlignment="1">
      <alignment vertical="center"/>
    </xf>
    <xf numFmtId="4" fontId="14" fillId="0" borderId="0" xfId="2" applyNumberFormat="1" applyAlignment="1">
      <alignment vertical="center"/>
    </xf>
    <xf numFmtId="4" fontId="67" fillId="0" borderId="0" xfId="168" applyNumberFormat="1" applyProtection="1">
      <protection locked="0"/>
    </xf>
    <xf numFmtId="4" fontId="67" fillId="0" borderId="0" xfId="168" applyNumberFormat="1" applyProtection="1">
      <protection locked="0"/>
    </xf>
    <xf numFmtId="4" fontId="67" fillId="0" borderId="0" xfId="168" applyNumberFormat="1" applyProtection="1">
      <protection locked="0"/>
    </xf>
    <xf numFmtId="4" fontId="67" fillId="0" borderId="0" xfId="168" applyNumberFormat="1" applyProtection="1">
      <protection locked="0"/>
    </xf>
    <xf numFmtId="4" fontId="67" fillId="0" borderId="0" xfId="168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3" fontId="19" fillId="2" borderId="39" xfId="0" applyNumberFormat="1" applyFont="1" applyFill="1" applyBorder="1" applyAlignment="1">
      <alignment horizontal="center" vertical="center"/>
    </xf>
    <xf numFmtId="3" fontId="19" fillId="2" borderId="11" xfId="0" applyNumberFormat="1" applyFont="1" applyFill="1" applyBorder="1" applyAlignment="1">
      <alignment horizontal="center" vertical="center"/>
    </xf>
    <xf numFmtId="4" fontId="69" fillId="0" borderId="0" xfId="169" applyNumberFormat="1" applyProtection="1">
      <protection locked="0"/>
    </xf>
    <xf numFmtId="3" fontId="19" fillId="2" borderId="42" xfId="0" applyNumberFormat="1" applyFont="1" applyFill="1" applyBorder="1" applyAlignment="1">
      <alignment horizontal="center" vertical="center"/>
    </xf>
    <xf numFmtId="4" fontId="69" fillId="0" borderId="0" xfId="169" applyNumberFormat="1" applyProtection="1">
      <protection locked="0"/>
    </xf>
    <xf numFmtId="3" fontId="19" fillId="2" borderId="99" xfId="0" applyNumberFormat="1" applyFont="1" applyFill="1" applyBorder="1" applyAlignment="1">
      <alignment horizontal="center" vertical="center"/>
    </xf>
    <xf numFmtId="3" fontId="20" fillId="2" borderId="11" xfId="0" applyNumberFormat="1" applyFont="1" applyFill="1" applyBorder="1" applyAlignment="1">
      <alignment horizontal="center" vertical="center"/>
    </xf>
    <xf numFmtId="3" fontId="20" fillId="2" borderId="101" xfId="0" applyNumberFormat="1" applyFont="1" applyFill="1" applyBorder="1" applyAlignment="1">
      <alignment horizontal="center" vertical="center"/>
    </xf>
    <xf numFmtId="3" fontId="19" fillId="2" borderId="12" xfId="0" applyNumberFormat="1" applyFont="1" applyFill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3" fontId="20" fillId="2" borderId="100" xfId="0" applyNumberFormat="1" applyFont="1" applyFill="1" applyBorder="1" applyAlignment="1">
      <alignment horizontal="center" vertical="center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4" fontId="69" fillId="0" borderId="0" xfId="169" applyNumberFormat="1" applyProtection="1">
      <protection locked="0"/>
    </xf>
    <xf numFmtId="165" fontId="19" fillId="2" borderId="9" xfId="0" applyFont="1" applyFill="1" applyBorder="1" applyAlignment="1">
      <alignment horizontal="center" vertical="center"/>
    </xf>
    <xf numFmtId="165" fontId="25" fillId="4" borderId="0" xfId="0" applyFont="1" applyFill="1" applyBorder="1" applyAlignment="1">
      <alignment horizontal="center" vertical="center"/>
    </xf>
    <xf numFmtId="165" fontId="7" fillId="3" borderId="0" xfId="0" applyFont="1" applyFill="1" applyBorder="1" applyAlignment="1">
      <alignment horizontal="center" vertical="center"/>
    </xf>
    <xf numFmtId="166" fontId="19" fillId="7" borderId="63" xfId="3" applyNumberFormat="1" applyFont="1" applyFill="1" applyBorder="1" applyAlignment="1">
      <alignment horizontal="center" vertical="center"/>
    </xf>
    <xf numFmtId="165" fontId="4" fillId="2" borderId="0" xfId="0" applyFont="1" applyFill="1" applyBorder="1" applyAlignment="1">
      <alignment horizontal="center" vertical="center" wrapText="1"/>
    </xf>
    <xf numFmtId="165" fontId="4" fillId="2" borderId="30" xfId="0" applyFont="1" applyFill="1" applyBorder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center" vertical="center"/>
    </xf>
    <xf numFmtId="166" fontId="4" fillId="2" borderId="56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Border="1" applyAlignment="1" applyProtection="1">
      <alignment horizontal="center" vertical="center"/>
    </xf>
    <xf numFmtId="165" fontId="5" fillId="2" borderId="28" xfId="0" applyFont="1" applyFill="1" applyBorder="1" applyAlignment="1">
      <alignment horizontal="center" vertical="center"/>
    </xf>
    <xf numFmtId="166" fontId="4" fillId="2" borderId="47" xfId="0" applyNumberFormat="1" applyFont="1" applyFill="1" applyBorder="1" applyAlignment="1">
      <alignment horizontal="center" vertical="center"/>
    </xf>
    <xf numFmtId="165" fontId="3" fillId="2" borderId="0" xfId="0" applyFont="1" applyFill="1" applyBorder="1" applyAlignment="1">
      <alignment horizontal="center"/>
    </xf>
    <xf numFmtId="165" fontId="10" fillId="2" borderId="0" xfId="0" applyFont="1" applyFill="1" applyBorder="1" applyAlignment="1">
      <alignment horizontal="center"/>
    </xf>
    <xf numFmtId="165" fontId="4" fillId="2" borderId="15" xfId="0" applyFont="1" applyFill="1" applyBorder="1" applyAlignment="1">
      <alignment horizontal="center" vertical="center" wrapText="1"/>
    </xf>
    <xf numFmtId="165" fontId="4" fillId="2" borderId="58" xfId="0" applyFont="1" applyFill="1" applyBorder="1" applyAlignment="1">
      <alignment horizontal="center" vertical="center" wrapText="1"/>
    </xf>
    <xf numFmtId="165" fontId="4" fillId="2" borderId="59" xfId="0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166" fontId="4" fillId="2" borderId="58" xfId="0" applyNumberFormat="1" applyFont="1" applyFill="1" applyBorder="1" applyAlignment="1">
      <alignment horizontal="center" vertical="center"/>
    </xf>
    <xf numFmtId="166" fontId="3" fillId="2" borderId="15" xfId="0" applyNumberFormat="1" applyFont="1" applyFill="1" applyBorder="1" applyAlignment="1">
      <alignment horizontal="center" vertical="center"/>
    </xf>
    <xf numFmtId="166" fontId="3" fillId="2" borderId="58" xfId="0" applyNumberFormat="1" applyFont="1" applyFill="1" applyBorder="1" applyAlignment="1">
      <alignment horizontal="center" vertical="center"/>
    </xf>
    <xf numFmtId="166" fontId="4" fillId="2" borderId="103" xfId="0" applyNumberFormat="1" applyFont="1" applyFill="1" applyBorder="1" applyAlignment="1">
      <alignment horizontal="center" vertical="center"/>
    </xf>
    <xf numFmtId="166" fontId="4" fillId="2" borderId="104" xfId="0" applyNumberFormat="1" applyFont="1" applyFill="1" applyBorder="1" applyAlignment="1">
      <alignment horizontal="center" vertical="center"/>
    </xf>
    <xf numFmtId="166" fontId="3" fillId="0" borderId="15" xfId="0" applyNumberFormat="1" applyFont="1" applyFill="1" applyBorder="1" applyAlignment="1">
      <alignment horizontal="center" vertical="center"/>
    </xf>
    <xf numFmtId="166" fontId="3" fillId="0" borderId="58" xfId="0" applyNumberFormat="1" applyFont="1" applyFill="1" applyBorder="1" applyAlignment="1">
      <alignment horizontal="center" vertical="center"/>
    </xf>
    <xf numFmtId="166" fontId="4" fillId="0" borderId="15" xfId="0" applyNumberFormat="1" applyFont="1" applyFill="1" applyBorder="1" applyAlignment="1">
      <alignment horizontal="center" vertical="center"/>
    </xf>
    <xf numFmtId="166" fontId="4" fillId="0" borderId="58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 applyProtection="1">
      <alignment horizontal="center" vertical="center"/>
    </xf>
    <xf numFmtId="166" fontId="4" fillId="2" borderId="58" xfId="0" applyNumberFormat="1" applyFont="1" applyFill="1" applyBorder="1" applyAlignment="1" applyProtection="1">
      <alignment horizontal="center" vertical="center"/>
    </xf>
    <xf numFmtId="165" fontId="5" fillId="2" borderId="25" xfId="0" applyFont="1" applyFill="1" applyBorder="1" applyAlignment="1">
      <alignment horizontal="center" vertical="center"/>
    </xf>
    <xf numFmtId="165" fontId="5" fillId="2" borderId="81" xfId="0" applyFont="1" applyFill="1" applyBorder="1" applyAlignment="1">
      <alignment horizontal="center" vertical="center"/>
    </xf>
    <xf numFmtId="165" fontId="4" fillId="2" borderId="105" xfId="0" applyFont="1" applyFill="1" applyBorder="1" applyAlignment="1">
      <alignment horizontal="center" vertical="center" wrapText="1"/>
    </xf>
    <xf numFmtId="165" fontId="4" fillId="2" borderId="106" xfId="0" applyFont="1" applyFill="1" applyBorder="1" applyAlignment="1">
      <alignment horizontal="center" vertical="center" wrapText="1"/>
    </xf>
    <xf numFmtId="165" fontId="4" fillId="2" borderId="107" xfId="0" applyFont="1" applyFill="1" applyBorder="1" applyAlignment="1">
      <alignment horizontal="center" vertical="center"/>
    </xf>
    <xf numFmtId="166" fontId="4" fillId="2" borderId="17" xfId="0" applyNumberFormat="1" applyFont="1" applyFill="1" applyBorder="1" applyAlignment="1">
      <alignment horizontal="center" vertical="center"/>
    </xf>
    <xf numFmtId="166" fontId="3" fillId="2" borderId="17" xfId="0" applyNumberFormat="1" applyFont="1" applyFill="1" applyBorder="1" applyAlignment="1">
      <alignment horizontal="center" vertical="center"/>
    </xf>
    <xf numFmtId="166" fontId="4" fillId="2" borderId="108" xfId="0" applyNumberFormat="1" applyFont="1" applyFill="1" applyBorder="1" applyAlignment="1">
      <alignment horizontal="center" vertical="center"/>
    </xf>
    <xf numFmtId="166" fontId="3" fillId="0" borderId="17" xfId="0" applyNumberFormat="1" applyFont="1" applyFill="1" applyBorder="1" applyAlignment="1">
      <alignment horizontal="center" vertical="center"/>
    </xf>
    <xf numFmtId="166" fontId="4" fillId="0" borderId="17" xfId="0" applyNumberFormat="1" applyFont="1" applyFill="1" applyBorder="1" applyAlignment="1">
      <alignment horizontal="center" vertical="center"/>
    </xf>
    <xf numFmtId="166" fontId="4" fillId="2" borderId="17" xfId="0" applyNumberFormat="1" applyFont="1" applyFill="1" applyBorder="1" applyAlignment="1" applyProtection="1">
      <alignment horizontal="center" vertical="center"/>
    </xf>
    <xf numFmtId="165" fontId="5" fillId="2" borderId="109" xfId="0" applyFont="1" applyFill="1" applyBorder="1" applyAlignment="1">
      <alignment horizontal="center" vertical="center"/>
    </xf>
    <xf numFmtId="165" fontId="9" fillId="2" borderId="4" xfId="0" applyFont="1" applyFill="1" applyBorder="1" applyAlignment="1">
      <alignment horizontal="center" vertical="center" wrapText="1"/>
    </xf>
    <xf numFmtId="165" fontId="9" fillId="2" borderId="11" xfId="0" applyFont="1" applyFill="1" applyBorder="1" applyAlignment="1">
      <alignment horizontal="center" vertical="center" wrapText="1"/>
    </xf>
    <xf numFmtId="165" fontId="4" fillId="2" borderId="7" xfId="0" applyFont="1" applyFill="1" applyBorder="1" applyAlignment="1">
      <alignment horizontal="center" vertical="center"/>
    </xf>
    <xf numFmtId="165" fontId="4" fillId="2" borderId="11" xfId="0" applyFont="1" applyFill="1" applyBorder="1" applyAlignment="1">
      <alignment horizontal="center" vertical="center"/>
    </xf>
    <xf numFmtId="165" fontId="3" fillId="2" borderId="11" xfId="0" applyFont="1" applyFill="1" applyBorder="1" applyAlignment="1">
      <alignment horizontal="center" vertical="center"/>
    </xf>
    <xf numFmtId="165" fontId="4" fillId="2" borderId="18" xfId="0" applyFont="1" applyFill="1" applyBorder="1" applyAlignment="1">
      <alignment horizontal="center" vertical="center"/>
    </xf>
    <xf numFmtId="165" fontId="3" fillId="0" borderId="11" xfId="0" applyFont="1" applyFill="1" applyBorder="1" applyAlignment="1">
      <alignment horizontal="center" vertical="center"/>
    </xf>
    <xf numFmtId="165" fontId="5" fillId="2" borderId="21" xfId="0" applyFont="1" applyFill="1" applyBorder="1" applyAlignment="1">
      <alignment horizontal="center" vertical="center"/>
    </xf>
    <xf numFmtId="165" fontId="61" fillId="2" borderId="0" xfId="0" applyFont="1" applyFill="1" applyBorder="1"/>
    <xf numFmtId="165" fontId="70" fillId="2" borderId="0" xfId="0" applyFont="1" applyFill="1" applyBorder="1"/>
    <xf numFmtId="165" fontId="71" fillId="2" borderId="0" xfId="0" applyFont="1" applyFill="1" applyBorder="1" applyAlignment="1">
      <alignment horizontal="left"/>
    </xf>
    <xf numFmtId="165" fontId="72" fillId="2" borderId="0" xfId="0" applyFont="1" applyFill="1" applyBorder="1" applyAlignment="1">
      <alignment horizontal="left"/>
    </xf>
    <xf numFmtId="165" fontId="4" fillId="2" borderId="110" xfId="0" applyFont="1" applyFill="1" applyBorder="1" applyAlignment="1">
      <alignment horizontal="center" vertical="center"/>
    </xf>
    <xf numFmtId="166" fontId="4" fillId="2" borderId="41" xfId="0" applyNumberFormat="1" applyFont="1" applyFill="1" applyBorder="1" applyAlignment="1">
      <alignment horizontal="center" vertical="center"/>
    </xf>
    <xf numFmtId="166" fontId="4" fillId="2" borderId="16" xfId="0" applyNumberFormat="1" applyFont="1" applyFill="1" applyBorder="1" applyAlignment="1">
      <alignment horizontal="center" vertical="center"/>
    </xf>
    <xf numFmtId="165" fontId="10" fillId="2" borderId="80" xfId="0" applyFont="1" applyFill="1" applyBorder="1" applyAlignment="1">
      <alignment horizontal="center" vertical="center"/>
    </xf>
    <xf numFmtId="165" fontId="10" fillId="2" borderId="28" xfId="0" applyFont="1" applyFill="1" applyBorder="1" applyAlignment="1">
      <alignment horizontal="center" vertical="center"/>
    </xf>
    <xf numFmtId="165" fontId="10" fillId="2" borderId="81" xfId="0" applyFont="1" applyFill="1" applyBorder="1" applyAlignment="1">
      <alignment horizontal="center" vertical="center"/>
    </xf>
    <xf numFmtId="165" fontId="16" fillId="2" borderId="16" xfId="0" applyFont="1" applyFill="1" applyBorder="1" applyAlignment="1">
      <alignment horizontal="center" vertical="center"/>
    </xf>
    <xf numFmtId="165" fontId="16" fillId="2" borderId="0" xfId="0" applyFont="1" applyFill="1" applyBorder="1" applyAlignment="1">
      <alignment horizontal="center" vertical="center"/>
    </xf>
    <xf numFmtId="165" fontId="16" fillId="2" borderId="58" xfId="0" applyFont="1" applyFill="1" applyBorder="1" applyAlignment="1">
      <alignment horizontal="center" vertical="center"/>
    </xf>
    <xf numFmtId="165" fontId="30" fillId="2" borderId="0" xfId="0" applyFont="1" applyFill="1" applyBorder="1" applyAlignment="1">
      <alignment horizontal="center" vertical="center"/>
    </xf>
    <xf numFmtId="165" fontId="19" fillId="2" borderId="75" xfId="0" applyFont="1" applyFill="1" applyBorder="1" applyAlignment="1">
      <alignment horizontal="center" vertical="center"/>
    </xf>
    <xf numFmtId="165" fontId="19" fillId="2" borderId="9" xfId="0" applyFont="1" applyFill="1" applyBorder="1" applyAlignment="1">
      <alignment horizontal="center" vertical="center"/>
    </xf>
    <xf numFmtId="165" fontId="19" fillId="7" borderId="75" xfId="0" applyFont="1" applyFill="1" applyBorder="1" applyAlignment="1">
      <alignment horizontal="center" vertical="center"/>
    </xf>
    <xf numFmtId="165" fontId="19" fillId="7" borderId="30" xfId="0" applyFont="1" applyFill="1" applyBorder="1" applyAlignment="1">
      <alignment horizontal="center" vertical="center"/>
    </xf>
    <xf numFmtId="165" fontId="25" fillId="4" borderId="0" xfId="0" applyFont="1" applyFill="1" applyBorder="1" applyAlignment="1">
      <alignment horizontal="center" vertical="center"/>
    </xf>
    <xf numFmtId="165" fontId="19" fillId="7" borderId="60" xfId="0" applyFont="1" applyFill="1" applyBorder="1" applyAlignment="1">
      <alignment horizontal="center" vertical="center" wrapText="1"/>
    </xf>
    <xf numFmtId="165" fontId="19" fillId="7" borderId="61" xfId="0" applyFont="1" applyFill="1" applyBorder="1" applyAlignment="1">
      <alignment horizontal="center" vertical="center" wrapText="1"/>
    </xf>
    <xf numFmtId="165" fontId="19" fillId="7" borderId="31" xfId="0" applyFont="1" applyFill="1" applyBorder="1" applyAlignment="1">
      <alignment horizontal="center" vertical="center" wrapText="1"/>
    </xf>
    <xf numFmtId="165" fontId="19" fillId="7" borderId="29" xfId="0" applyFont="1" applyFill="1" applyBorder="1" applyAlignment="1">
      <alignment horizontal="center" vertical="center" wrapText="1"/>
    </xf>
    <xf numFmtId="165" fontId="19" fillId="39" borderId="75" xfId="0" applyFont="1" applyFill="1" applyBorder="1" applyAlignment="1">
      <alignment horizontal="center" vertical="center"/>
    </xf>
    <xf numFmtId="165" fontId="19" fillId="39" borderId="9" xfId="0" applyFont="1" applyFill="1" applyBorder="1" applyAlignment="1">
      <alignment horizontal="center" vertical="center"/>
    </xf>
    <xf numFmtId="165" fontId="22" fillId="2" borderId="72" xfId="0" applyFont="1" applyFill="1" applyBorder="1" applyAlignment="1">
      <alignment horizontal="center"/>
    </xf>
    <xf numFmtId="165" fontId="22" fillId="2" borderId="74" xfId="0" applyFont="1" applyFill="1" applyBorder="1" applyAlignment="1">
      <alignment horizontal="center"/>
    </xf>
    <xf numFmtId="165" fontId="19" fillId="39" borderId="31" xfId="0" applyFont="1" applyFill="1" applyBorder="1" applyAlignment="1">
      <alignment horizontal="center" vertical="center" wrapText="1"/>
    </xf>
    <xf numFmtId="165" fontId="19" fillId="39" borderId="6" xfId="0" applyFont="1" applyFill="1" applyBorder="1" applyAlignment="1">
      <alignment horizontal="center" vertical="center" wrapText="1"/>
    </xf>
    <xf numFmtId="165" fontId="7" fillId="3" borderId="0" xfId="0" applyFont="1" applyFill="1" applyBorder="1" applyAlignment="1">
      <alignment horizontal="center" vertical="center"/>
    </xf>
    <xf numFmtId="165" fontId="10" fillId="2" borderId="27" xfId="0" applyFont="1" applyFill="1" applyBorder="1" applyAlignment="1">
      <alignment horizontal="center"/>
    </xf>
    <xf numFmtId="165" fontId="4" fillId="2" borderId="102" xfId="0" applyFont="1" applyFill="1" applyBorder="1" applyAlignment="1">
      <alignment horizontal="center" vertical="center" wrapText="1"/>
    </xf>
    <xf numFmtId="165" fontId="4" fillId="2" borderId="29" xfId="0" applyFont="1" applyFill="1" applyBorder="1" applyAlignment="1">
      <alignment horizontal="center" vertical="center" wrapText="1"/>
    </xf>
    <xf numFmtId="165" fontId="4" fillId="2" borderId="57" xfId="0" applyFont="1" applyFill="1" applyBorder="1" applyAlignment="1">
      <alignment horizontal="center" vertical="center" wrapText="1"/>
    </xf>
    <xf numFmtId="165" fontId="4" fillId="2" borderId="31" xfId="0" applyFont="1" applyFill="1" applyBorder="1" applyAlignment="1">
      <alignment horizontal="center" vertical="center" wrapText="1"/>
    </xf>
    <xf numFmtId="165" fontId="4" fillId="2" borderId="5" xfId="0" applyFont="1" applyFill="1" applyBorder="1" applyAlignment="1">
      <alignment horizontal="center" vertical="center" wrapText="1"/>
    </xf>
    <xf numFmtId="3" fontId="21" fillId="3" borderId="0" xfId="0" applyNumberFormat="1" applyFont="1" applyFill="1" applyBorder="1" applyAlignment="1">
      <alignment horizontal="center" vertical="center"/>
    </xf>
    <xf numFmtId="166" fontId="20" fillId="2" borderId="45" xfId="0" applyNumberFormat="1" applyFont="1" applyFill="1" applyBorder="1" applyAlignment="1">
      <alignment horizontal="center" vertical="center"/>
    </xf>
    <xf numFmtId="166" fontId="20" fillId="2" borderId="40" xfId="0" applyNumberFormat="1" applyFont="1" applyFill="1" applyBorder="1" applyAlignment="1">
      <alignment horizontal="center" vertical="center"/>
    </xf>
    <xf numFmtId="165" fontId="19" fillId="2" borderId="45" xfId="0" applyFont="1" applyFill="1" applyBorder="1" applyAlignment="1">
      <alignment horizontal="center"/>
    </xf>
    <xf numFmtId="165" fontId="19" fillId="2" borderId="40" xfId="0" applyFont="1" applyFill="1" applyBorder="1" applyAlignment="1">
      <alignment horizontal="center"/>
    </xf>
    <xf numFmtId="165" fontId="19" fillId="7" borderId="6" xfId="0" applyFont="1" applyFill="1" applyBorder="1" applyAlignment="1">
      <alignment horizontal="center" vertical="center" wrapText="1"/>
    </xf>
    <xf numFmtId="166" fontId="19" fillId="2" borderId="47" xfId="0" applyNumberFormat="1" applyFont="1" applyFill="1" applyBorder="1" applyAlignment="1">
      <alignment horizontal="center" vertical="center"/>
    </xf>
    <xf numFmtId="166" fontId="19" fillId="2" borderId="41" xfId="0" applyNumberFormat="1" applyFont="1" applyFill="1" applyBorder="1" applyAlignment="1">
      <alignment horizontal="center" vertical="center"/>
    </xf>
    <xf numFmtId="166" fontId="19" fillId="7" borderId="0" xfId="0" applyNumberFormat="1" applyFont="1" applyFill="1" applyBorder="1" applyAlignment="1">
      <alignment horizontal="center" vertical="center"/>
    </xf>
    <xf numFmtId="166" fontId="19" fillId="2" borderId="0" xfId="0" applyNumberFormat="1" applyFont="1" applyFill="1" applyBorder="1" applyAlignment="1">
      <alignment horizontal="center" vertical="center"/>
    </xf>
    <xf numFmtId="165" fontId="24" fillId="40" borderId="68" xfId="0" applyFont="1" applyFill="1" applyBorder="1" applyAlignment="1">
      <alignment vertical="center"/>
    </xf>
    <xf numFmtId="165" fontId="20" fillId="40" borderId="68" xfId="0" applyFont="1" applyFill="1" applyBorder="1" applyAlignment="1">
      <alignment vertical="center"/>
    </xf>
    <xf numFmtId="165" fontId="20" fillId="40" borderId="68" xfId="0" applyFont="1" applyFill="1" applyBorder="1" applyAlignment="1">
      <alignment vertical="center" wrapText="1"/>
    </xf>
    <xf numFmtId="165" fontId="20" fillId="40" borderId="70" xfId="0" applyFont="1" applyFill="1" applyBorder="1" applyAlignment="1">
      <alignment vertical="center"/>
    </xf>
    <xf numFmtId="165" fontId="19" fillId="40" borderId="68" xfId="0" applyFont="1" applyFill="1" applyBorder="1" applyAlignment="1">
      <alignment vertical="center"/>
    </xf>
  </cellXfs>
  <cellStyles count="254">
    <cellStyle name="20% - Énfasis1" xfId="23" builtinId="30" customBuiltin="1"/>
    <cellStyle name="20% - Énfasis1 2" xfId="46"/>
    <cellStyle name="20% - Énfasis1 3" xfId="97"/>
    <cellStyle name="20% - Énfasis1 3 2" xfId="144"/>
    <cellStyle name="20% - Énfasis1 3 2 2" xfId="230"/>
    <cellStyle name="20% - Énfasis1 3 3" xfId="190"/>
    <cellStyle name="20% - Énfasis1 4" xfId="127"/>
    <cellStyle name="20% - Énfasis1 4 2" xfId="213"/>
    <cellStyle name="20% - Énfasis1 5" xfId="170"/>
    <cellStyle name="20% - Énfasis2" xfId="27" builtinId="34" customBuiltin="1"/>
    <cellStyle name="20% - Énfasis2 2" xfId="47"/>
    <cellStyle name="20% - Énfasis2 3" xfId="99"/>
    <cellStyle name="20% - Énfasis2 3 2" xfId="146"/>
    <cellStyle name="20% - Énfasis2 3 2 2" xfId="232"/>
    <cellStyle name="20% - Énfasis2 3 3" xfId="192"/>
    <cellStyle name="20% - Énfasis2 4" xfId="129"/>
    <cellStyle name="20% - Énfasis2 4 2" xfId="215"/>
    <cellStyle name="20% - Énfasis2 5" xfId="172"/>
    <cellStyle name="20% - Énfasis3" xfId="31" builtinId="38" customBuiltin="1"/>
    <cellStyle name="20% - Énfasis3 2" xfId="48"/>
    <cellStyle name="20% - Énfasis3 3" xfId="101"/>
    <cellStyle name="20% - Énfasis3 3 2" xfId="148"/>
    <cellStyle name="20% - Énfasis3 3 2 2" xfId="234"/>
    <cellStyle name="20% - Énfasis3 3 3" xfId="194"/>
    <cellStyle name="20% - Énfasis3 4" xfId="131"/>
    <cellStyle name="20% - Énfasis3 4 2" xfId="217"/>
    <cellStyle name="20% - Énfasis3 5" xfId="174"/>
    <cellStyle name="20% - Énfasis4" xfId="35" builtinId="42" customBuiltin="1"/>
    <cellStyle name="20% - Énfasis4 2" xfId="49"/>
    <cellStyle name="20% - Énfasis4 3" xfId="103"/>
    <cellStyle name="20% - Énfasis4 3 2" xfId="150"/>
    <cellStyle name="20% - Énfasis4 3 2 2" xfId="236"/>
    <cellStyle name="20% - Énfasis4 3 3" xfId="196"/>
    <cellStyle name="20% - Énfasis4 4" xfId="133"/>
    <cellStyle name="20% - Énfasis4 4 2" xfId="219"/>
    <cellStyle name="20% - Énfasis4 5" xfId="176"/>
    <cellStyle name="20% - Énfasis5" xfId="39" builtinId="46" customBuiltin="1"/>
    <cellStyle name="20% - Énfasis5 2" xfId="50"/>
    <cellStyle name="20% - Énfasis5 3" xfId="105"/>
    <cellStyle name="20% - Énfasis5 3 2" xfId="152"/>
    <cellStyle name="20% - Énfasis5 3 2 2" xfId="238"/>
    <cellStyle name="20% - Énfasis5 3 3" xfId="198"/>
    <cellStyle name="20% - Énfasis5 4" xfId="135"/>
    <cellStyle name="20% - Énfasis5 4 2" xfId="221"/>
    <cellStyle name="20% - Énfasis5 5" xfId="178"/>
    <cellStyle name="20% - Énfasis6" xfId="43" builtinId="50" customBuiltin="1"/>
    <cellStyle name="20% - Énfasis6 2" xfId="51"/>
    <cellStyle name="20% - Énfasis6 3" xfId="107"/>
    <cellStyle name="20% - Énfasis6 3 2" xfId="154"/>
    <cellStyle name="20% - Énfasis6 3 2 2" xfId="240"/>
    <cellStyle name="20% - Énfasis6 3 3" xfId="200"/>
    <cellStyle name="20% - Énfasis6 4" xfId="137"/>
    <cellStyle name="20% - Énfasis6 4 2" xfId="223"/>
    <cellStyle name="20% - Énfasis6 5" xfId="180"/>
    <cellStyle name="40% - Énfasis1" xfId="24" builtinId="31" customBuiltin="1"/>
    <cellStyle name="40% - Énfasis1 2" xfId="52"/>
    <cellStyle name="40% - Énfasis1 3" xfId="98"/>
    <cellStyle name="40% - Énfasis1 3 2" xfId="145"/>
    <cellStyle name="40% - Énfasis1 3 2 2" xfId="231"/>
    <cellStyle name="40% - Énfasis1 3 3" xfId="191"/>
    <cellStyle name="40% - Énfasis1 4" xfId="128"/>
    <cellStyle name="40% - Énfasis1 4 2" xfId="214"/>
    <cellStyle name="40% - Énfasis1 5" xfId="171"/>
    <cellStyle name="40% - Énfasis2" xfId="28" builtinId="35" customBuiltin="1"/>
    <cellStyle name="40% - Énfasis2 2" xfId="53"/>
    <cellStyle name="40% - Énfasis2 3" xfId="100"/>
    <cellStyle name="40% - Énfasis2 3 2" xfId="147"/>
    <cellStyle name="40% - Énfasis2 3 2 2" xfId="233"/>
    <cellStyle name="40% - Énfasis2 3 3" xfId="193"/>
    <cellStyle name="40% - Énfasis2 4" xfId="130"/>
    <cellStyle name="40% - Énfasis2 4 2" xfId="216"/>
    <cellStyle name="40% - Énfasis2 5" xfId="173"/>
    <cellStyle name="40% - Énfasis3" xfId="32" builtinId="39" customBuiltin="1"/>
    <cellStyle name="40% - Énfasis3 2" xfId="54"/>
    <cellStyle name="40% - Énfasis3 3" xfId="102"/>
    <cellStyle name="40% - Énfasis3 3 2" xfId="149"/>
    <cellStyle name="40% - Énfasis3 3 2 2" xfId="235"/>
    <cellStyle name="40% - Énfasis3 3 3" xfId="195"/>
    <cellStyle name="40% - Énfasis3 4" xfId="132"/>
    <cellStyle name="40% - Énfasis3 4 2" xfId="218"/>
    <cellStyle name="40% - Énfasis3 5" xfId="175"/>
    <cellStyle name="40% - Énfasis4" xfId="36" builtinId="43" customBuiltin="1"/>
    <cellStyle name="40% - Énfasis4 2" xfId="55"/>
    <cellStyle name="40% - Énfasis4 3" xfId="104"/>
    <cellStyle name="40% - Énfasis4 3 2" xfId="151"/>
    <cellStyle name="40% - Énfasis4 3 2 2" xfId="237"/>
    <cellStyle name="40% - Énfasis4 3 3" xfId="197"/>
    <cellStyle name="40% - Énfasis4 4" xfId="134"/>
    <cellStyle name="40% - Énfasis4 4 2" xfId="220"/>
    <cellStyle name="40% - Énfasis4 5" xfId="177"/>
    <cellStyle name="40% - Énfasis5" xfId="40" builtinId="47" customBuiltin="1"/>
    <cellStyle name="40% - Énfasis5 2" xfId="56"/>
    <cellStyle name="40% - Énfasis5 3" xfId="106"/>
    <cellStyle name="40% - Énfasis5 3 2" xfId="153"/>
    <cellStyle name="40% - Énfasis5 3 2 2" xfId="239"/>
    <cellStyle name="40% - Énfasis5 3 3" xfId="199"/>
    <cellStyle name="40% - Énfasis5 4" xfId="136"/>
    <cellStyle name="40% - Énfasis5 4 2" xfId="222"/>
    <cellStyle name="40% - Énfasis5 5" xfId="179"/>
    <cellStyle name="40% - Énfasis6" xfId="44" builtinId="51" customBuiltin="1"/>
    <cellStyle name="40% - Énfasis6 2" xfId="57"/>
    <cellStyle name="40% - Énfasis6 3" xfId="108"/>
    <cellStyle name="40% - Énfasis6 3 2" xfId="155"/>
    <cellStyle name="40% - Énfasis6 3 2 2" xfId="241"/>
    <cellStyle name="40% - Énfasis6 3 3" xfId="201"/>
    <cellStyle name="40% - Énfasis6 4" xfId="138"/>
    <cellStyle name="40% - Énfasis6 4 2" xfId="224"/>
    <cellStyle name="40% - Énfasis6 5" xfId="181"/>
    <cellStyle name="60% - Énfasis1" xfId="25" builtinId="32" customBuiltin="1"/>
    <cellStyle name="60% - Énfasis1 2" xfId="58"/>
    <cellStyle name="60% - Énfasis2" xfId="29" builtinId="36" customBuiltin="1"/>
    <cellStyle name="60% - Énfasis2 2" xfId="59"/>
    <cellStyle name="60% - Énfasis3" xfId="33" builtinId="40" customBuiltin="1"/>
    <cellStyle name="60% - Énfasis3 2" xfId="60"/>
    <cellStyle name="60% - Énfasis4" xfId="37" builtinId="44" customBuiltin="1"/>
    <cellStyle name="60% - Énfasis4 2" xfId="61"/>
    <cellStyle name="60% - Énfasis5" xfId="41" builtinId="48" customBuiltin="1"/>
    <cellStyle name="60% - Énfasis5 2" xfId="62"/>
    <cellStyle name="60% - Énfasis6" xfId="45" builtinId="52" customBuiltin="1"/>
    <cellStyle name="60% - Énfasis6 2" xfId="63"/>
    <cellStyle name="Buena" xfId="11" builtinId="26" customBuiltin="1"/>
    <cellStyle name="Buena 2" xfId="64"/>
    <cellStyle name="Cálculo" xfId="16" builtinId="22" customBuiltin="1"/>
    <cellStyle name="Cálculo 2" xfId="65"/>
    <cellStyle name="Celda de comprobación" xfId="18" builtinId="23" customBuiltin="1"/>
    <cellStyle name="Celda de comprobación 2" xfId="66"/>
    <cellStyle name="Celda vinculada" xfId="17" builtinId="24" customBuiltin="1"/>
    <cellStyle name="Celda vinculada 2" xfId="67"/>
    <cellStyle name="Encabezado 4" xfId="10" builtinId="19" customBuiltin="1"/>
    <cellStyle name="Encabezado 4 2" xfId="68"/>
    <cellStyle name="Énfasis1" xfId="22" builtinId="29" customBuiltin="1"/>
    <cellStyle name="Énfasis1 2" xfId="69"/>
    <cellStyle name="Énfasis2" xfId="26" builtinId="33" customBuiltin="1"/>
    <cellStyle name="Énfasis2 2" xfId="70"/>
    <cellStyle name="Énfasis3" xfId="30" builtinId="37" customBuiltin="1"/>
    <cellStyle name="Énfasis3 2" xfId="71"/>
    <cellStyle name="Énfasis4" xfId="34" builtinId="41" customBuiltin="1"/>
    <cellStyle name="Énfasis4 2" xfId="72"/>
    <cellStyle name="Énfasis5" xfId="38" builtinId="45" customBuiltin="1"/>
    <cellStyle name="Énfasis5 2" xfId="73"/>
    <cellStyle name="Énfasis6" xfId="42" builtinId="49" customBuiltin="1"/>
    <cellStyle name="Énfasis6 2" xfId="74"/>
    <cellStyle name="Entrada" xfId="14" builtinId="20" customBuiltin="1"/>
    <cellStyle name="Entrada 2" xfId="75"/>
    <cellStyle name="Incorrecto" xfId="12" builtinId="27" customBuiltin="1"/>
    <cellStyle name="Incorrecto 2" xfId="76"/>
    <cellStyle name="Millares [0]" xfId="3" builtinId="6"/>
    <cellStyle name="Millares [0] 2" xfId="5"/>
    <cellStyle name="Millares [0] 2 2" xfId="125"/>
    <cellStyle name="Millares [0] 3" xfId="123"/>
    <cellStyle name="Millares [0] 4" xfId="121"/>
    <cellStyle name="Millares [0] 4 2" xfId="212"/>
    <cellStyle name="Millares [0] 5" xfId="184"/>
    <cellStyle name="Millares 2" xfId="89"/>
    <cellStyle name="Millares 2 2" xfId="110"/>
    <cellStyle name="Millares 2 2 2" xfId="157"/>
    <cellStyle name="Millares 2 2 2 2" xfId="243"/>
    <cellStyle name="Millares 2 2 3" xfId="203"/>
    <cellStyle name="Millares 2 3" xfId="115"/>
    <cellStyle name="Millares 2 3 2" xfId="161"/>
    <cellStyle name="Millares 2 3 2 2" xfId="247"/>
    <cellStyle name="Millares 2 3 3" xfId="207"/>
    <cellStyle name="Millares 2 4" xfId="140"/>
    <cellStyle name="Millares 2 4 2" xfId="226"/>
    <cellStyle name="Millares 2 5" xfId="186"/>
    <cellStyle name="Millares 3" xfId="77"/>
    <cellStyle name="Moneda 2" xfId="91"/>
    <cellStyle name="Neutral" xfId="13" builtinId="28" customBuiltin="1"/>
    <cellStyle name="Neutral 2" xfId="78"/>
    <cellStyle name="Normal" xfId="0" builtinId="0"/>
    <cellStyle name="Normal 10" xfId="126"/>
    <cellStyle name="Normal 11" xfId="167"/>
    <cellStyle name="Normal 11 2" xfId="252"/>
    <cellStyle name="Normal 12" xfId="168"/>
    <cellStyle name="Normal 12 2" xfId="253"/>
    <cellStyle name="Normal 13" xfId="169"/>
    <cellStyle name="Normal 14" xfId="182"/>
    <cellStyle name="Normal 2" xfId="2"/>
    <cellStyle name="Normal 2 2" xfId="122"/>
    <cellStyle name="Normal 2 3" xfId="79"/>
    <cellStyle name="Normal 3" xfId="4"/>
    <cellStyle name="Normal 3 2" xfId="109"/>
    <cellStyle name="Normal 3 2 2" xfId="156"/>
    <cellStyle name="Normal 3 2 2 2" xfId="242"/>
    <cellStyle name="Normal 3 2 3" xfId="202"/>
    <cellStyle name="Normal 3 3" xfId="116"/>
    <cellStyle name="Normal 3 3 2" xfId="162"/>
    <cellStyle name="Normal 3 3 2 2" xfId="248"/>
    <cellStyle name="Normal 3 3 3" xfId="208"/>
    <cellStyle name="Normal 3 4" xfId="124"/>
    <cellStyle name="Normal 3 5" xfId="139"/>
    <cellStyle name="Normal 3 5 2" xfId="225"/>
    <cellStyle name="Normal 3 6" xfId="88"/>
    <cellStyle name="Normal 3 6 2" xfId="185"/>
    <cellStyle name="Normal 4" xfId="92"/>
    <cellStyle name="Normal 4 2" xfId="112"/>
    <cellStyle name="Normal 4 2 2" xfId="159"/>
    <cellStyle name="Normal 4 2 2 2" xfId="245"/>
    <cellStyle name="Normal 4 2 3" xfId="205"/>
    <cellStyle name="Normal 4 3" xfId="117"/>
    <cellStyle name="Normal 4 3 2" xfId="163"/>
    <cellStyle name="Normal 4 3 2 2" xfId="249"/>
    <cellStyle name="Normal 4 3 3" xfId="209"/>
    <cellStyle name="Normal 4 4" xfId="142"/>
    <cellStyle name="Normal 4 4 2" xfId="228"/>
    <cellStyle name="Normal 4 5" xfId="188"/>
    <cellStyle name="Normal 5" xfId="93"/>
    <cellStyle name="Normal 5 2" xfId="113"/>
    <cellStyle name="Normal 5 2 2" xfId="160"/>
    <cellStyle name="Normal 5 2 2 2" xfId="246"/>
    <cellStyle name="Normal 5 2 3" xfId="206"/>
    <cellStyle name="Normal 5 3" xfId="118"/>
    <cellStyle name="Normal 5 3 2" xfId="164"/>
    <cellStyle name="Normal 5 3 2 2" xfId="250"/>
    <cellStyle name="Normal 5 3 3" xfId="210"/>
    <cellStyle name="Normal 5 4" xfId="143"/>
    <cellStyle name="Normal 5 4 2" xfId="229"/>
    <cellStyle name="Normal 5 5" xfId="189"/>
    <cellStyle name="Normal 6" xfId="94"/>
    <cellStyle name="Normal 6 2" xfId="120"/>
    <cellStyle name="Normal 6 2 2" xfId="166"/>
    <cellStyle name="Normal 7" xfId="96"/>
    <cellStyle name="Normal 8" xfId="95"/>
    <cellStyle name="Normal 9" xfId="114"/>
    <cellStyle name="Notas 2" xfId="80"/>
    <cellStyle name="Notas 3" xfId="90"/>
    <cellStyle name="Notas 3 2" xfId="111"/>
    <cellStyle name="Notas 3 2 2" xfId="158"/>
    <cellStyle name="Notas 3 2 2 2" xfId="244"/>
    <cellStyle name="Notas 3 2 3" xfId="204"/>
    <cellStyle name="Notas 3 3" xfId="119"/>
    <cellStyle name="Notas 3 3 2" xfId="165"/>
    <cellStyle name="Notas 3 3 2 2" xfId="251"/>
    <cellStyle name="Notas 3 3 3" xfId="211"/>
    <cellStyle name="Notas 3 4" xfId="141"/>
    <cellStyle name="Notas 3 4 2" xfId="227"/>
    <cellStyle name="Notas 3 5" xfId="187"/>
    <cellStyle name="Porcentaje" xfId="1" builtinId="5"/>
    <cellStyle name="Porcentaje 2" xfId="183"/>
    <cellStyle name="Salida" xfId="15" builtinId="21" customBuiltin="1"/>
    <cellStyle name="Salida 2" xfId="81"/>
    <cellStyle name="Texto de advertencia" xfId="19" builtinId="11" customBuiltin="1"/>
    <cellStyle name="Texto de advertencia 2" xfId="82"/>
    <cellStyle name="Texto explicativo" xfId="20" builtinId="53" customBuiltin="1"/>
    <cellStyle name="Texto explicativo 2" xfId="83"/>
    <cellStyle name="Título" xfId="6" builtinId="15" customBuiltin="1"/>
    <cellStyle name="Título 1" xfId="7" builtinId="16" customBuiltin="1"/>
    <cellStyle name="Título 1 2" xfId="84"/>
    <cellStyle name="Título 2" xfId="8" builtinId="17" customBuiltin="1"/>
    <cellStyle name="Título 2 2" xfId="85"/>
    <cellStyle name="Título 3" xfId="9" builtinId="18" customBuiltin="1"/>
    <cellStyle name="Título 3 2" xfId="86"/>
    <cellStyle name="Total" xfId="21" builtinId="25" customBuiltin="1"/>
    <cellStyle name="Total 2" xfId="87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536839</xdr:colOff>
      <xdr:row>5</xdr:row>
      <xdr:rowOff>123735</xdr:rowOff>
    </xdr:from>
    <xdr:to>
      <xdr:col>2</xdr:col>
      <xdr:colOff>636322</xdr:colOff>
      <xdr:row>8</xdr:row>
      <xdr:rowOff>55707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152" y="1171485"/>
          <a:ext cx="1266295" cy="824941"/>
        </a:xfrm>
        <a:prstGeom prst="rect">
          <a:avLst/>
        </a:prstGeom>
      </xdr:spPr>
    </xdr:pic>
    <xdr:clientData/>
  </xdr:twoCellAnchor>
  <xdr:twoCellAnchor editAs="oneCell">
    <xdr:from>
      <xdr:col>2</xdr:col>
      <xdr:colOff>695912</xdr:colOff>
      <xdr:row>5</xdr:row>
      <xdr:rowOff>152135</xdr:rowOff>
    </xdr:from>
    <xdr:to>
      <xdr:col>3</xdr:col>
      <xdr:colOff>835895</xdr:colOff>
      <xdr:row>8</xdr:row>
      <xdr:rowOff>108628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7037" y="1199885"/>
          <a:ext cx="1306796" cy="8494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440531</xdr:colOff>
      <xdr:row>1</xdr:row>
      <xdr:rowOff>51039</xdr:rowOff>
    </xdr:from>
    <xdr:to>
      <xdr:col>29</xdr:col>
      <xdr:colOff>327724</xdr:colOff>
      <xdr:row>2</xdr:row>
      <xdr:rowOff>202660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0" y="932102"/>
          <a:ext cx="696818" cy="449278"/>
        </a:xfrm>
        <a:prstGeom prst="rect">
          <a:avLst/>
        </a:prstGeom>
      </xdr:spPr>
    </xdr:pic>
    <xdr:clientData/>
  </xdr:twoCellAnchor>
  <xdr:twoCellAnchor editAs="oneCell">
    <xdr:from>
      <xdr:col>2</xdr:col>
      <xdr:colOff>135260</xdr:colOff>
      <xdr:row>1</xdr:row>
      <xdr:rowOff>102218</xdr:rowOff>
    </xdr:from>
    <xdr:to>
      <xdr:col>2</xdr:col>
      <xdr:colOff>765612</xdr:colOff>
      <xdr:row>2</xdr:row>
      <xdr:rowOff>211930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166" y="983281"/>
          <a:ext cx="630352" cy="407369"/>
        </a:xfrm>
        <a:prstGeom prst="rect">
          <a:avLst/>
        </a:prstGeom>
      </xdr:spPr>
    </xdr:pic>
    <xdr:clientData/>
  </xdr:twoCellAnchor>
  <xdr:oneCellAnchor>
    <xdr:from>
      <xdr:col>28</xdr:col>
      <xdr:colOff>595313</xdr:colOff>
      <xdr:row>67</xdr:row>
      <xdr:rowOff>104777</xdr:rowOff>
    </xdr:from>
    <xdr:ext cx="610815" cy="397922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21313" y="14618496"/>
          <a:ext cx="610815" cy="397922"/>
        </a:xfrm>
        <a:prstGeom prst="rect">
          <a:avLst/>
        </a:prstGeom>
      </xdr:spPr>
    </xdr:pic>
    <xdr:clientData/>
  </xdr:oneCellAnchor>
  <xdr:oneCellAnchor>
    <xdr:from>
      <xdr:col>2</xdr:col>
      <xdr:colOff>16197</xdr:colOff>
      <xdr:row>67</xdr:row>
      <xdr:rowOff>134442</xdr:rowOff>
    </xdr:from>
    <xdr:ext cx="602928" cy="391923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22" y="14648161"/>
          <a:ext cx="602928" cy="39192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440531</xdr:colOff>
      <xdr:row>4</xdr:row>
      <xdr:rowOff>0</xdr:rowOff>
    </xdr:from>
    <xdr:to>
      <xdr:col>29</xdr:col>
      <xdr:colOff>327724</xdr:colOff>
      <xdr:row>5</xdr:row>
      <xdr:rowOff>234965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57056" y="574914"/>
          <a:ext cx="696818" cy="446897"/>
        </a:xfrm>
        <a:prstGeom prst="rect">
          <a:avLst/>
        </a:prstGeom>
      </xdr:spPr>
    </xdr:pic>
    <xdr:clientData/>
  </xdr:twoCellAnchor>
  <xdr:oneCellAnchor>
    <xdr:from>
      <xdr:col>28</xdr:col>
      <xdr:colOff>595313</xdr:colOff>
      <xdr:row>7</xdr:row>
      <xdr:rowOff>104777</xdr:rowOff>
    </xdr:from>
    <xdr:ext cx="610815" cy="397922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1838" y="14363702"/>
          <a:ext cx="610815" cy="397922"/>
        </a:xfrm>
        <a:prstGeom prst="rect">
          <a:avLst/>
        </a:prstGeom>
      </xdr:spPr>
    </xdr:pic>
    <xdr:clientData/>
  </xdr:oneCellAnchor>
  <xdr:oneCellAnchor>
    <xdr:from>
      <xdr:col>2</xdr:col>
      <xdr:colOff>16197</xdr:colOff>
      <xdr:row>7</xdr:row>
      <xdr:rowOff>134442</xdr:rowOff>
    </xdr:from>
    <xdr:ext cx="602928" cy="391923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72" y="14393367"/>
          <a:ext cx="602928" cy="39192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as/Google%20Drive/3.%20CIS%20Agro/1.%20Administracion%20General/Presupuesto%20y%20Gestion/Presupuesto/Semillas%20&amp;%20Seed%20Services/2016/02.2016%20-%20CIS%20Semillas%20S.A.%20-%20Presupuesto%202016%20(F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S Semillas"/>
      <sheetName val="Presupuesto resumido"/>
      <sheetName val="Costos Fijos y Variables"/>
      <sheetName val="Presupuesto por mes - R."/>
      <sheetName val="Presupuesto por mes - C."/>
      <sheetName val="Flujo de Caja"/>
      <sheetName val="Indicadores"/>
      <sheetName val="Ingresos Exportacion"/>
      <sheetName val="Ingresos M. Local"/>
      <sheetName val="Ingresos Agricultor"/>
      <sheetName val="Otros Ingresos"/>
      <sheetName val="13 - Maiz Exportacion"/>
      <sheetName val="16 - Soya de Exportación"/>
      <sheetName val="18 - Canola Girasol"/>
      <sheetName val="15 - Maiz Local"/>
      <sheetName val="11 - Ventas Mer. Local"/>
      <sheetName val="17 - Alfalfa"/>
      <sheetName val="10 - Remolacha"/>
      <sheetName val="1 - Administración"/>
      <sheetName val="12 - Planta"/>
      <sheetName val="20 - Campos Propios"/>
      <sheetName val="Gastos Distribuidos Produccion"/>
      <sheetName val="Personal"/>
      <sheetName val="7 - Nursery"/>
      <sheetName val="Depreciación"/>
      <sheetName val="Supues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15">
          <cell r="P15">
            <v>0.24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31"/>
  <sheetViews>
    <sheetView view="pageBreakPreview" zoomScale="80" zoomScaleNormal="70" zoomScaleSheetLayoutView="80" workbookViewId="0">
      <selection activeCell="E6" sqref="E6"/>
    </sheetView>
  </sheetViews>
  <sheetFormatPr baseColWidth="10" defaultRowHeight="12.75" x14ac:dyDescent="0.15"/>
  <cols>
    <col min="1" max="1" width="2.75" style="52" customWidth="1"/>
    <col min="2" max="12" width="15.375" style="52" customWidth="1"/>
    <col min="13" max="14" width="15.25" style="52" customWidth="1"/>
    <col min="15" max="16384" width="11" style="52"/>
  </cols>
  <sheetData>
    <row r="2" spans="2:17" ht="13.5" thickBot="1" x14ac:dyDescent="0.2"/>
    <row r="3" spans="2:17" ht="18.75" customHeight="1" x14ac:dyDescent="0.15">
      <c r="B3" s="227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9"/>
    </row>
    <row r="4" spans="2:17" ht="18.75" customHeight="1" x14ac:dyDescent="0.15">
      <c r="B4" s="23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231"/>
    </row>
    <row r="5" spans="2:17" ht="18.75" customHeight="1" x14ac:dyDescent="0.15">
      <c r="B5" s="23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231"/>
    </row>
    <row r="6" spans="2:17" ht="23.25" customHeight="1" x14ac:dyDescent="0.15">
      <c r="B6" s="23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231"/>
    </row>
    <row r="7" spans="2:17" ht="23.25" customHeight="1" x14ac:dyDescent="0.15">
      <c r="B7" s="23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231"/>
    </row>
    <row r="8" spans="2:17" ht="23.25" customHeight="1" x14ac:dyDescent="0.15">
      <c r="B8" s="230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231"/>
    </row>
    <row r="9" spans="2:17" ht="23.25" customHeight="1" x14ac:dyDescent="0.15">
      <c r="B9" s="23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231"/>
    </row>
    <row r="10" spans="2:17" ht="23.25" customHeight="1" x14ac:dyDescent="0.15">
      <c r="B10" s="230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231"/>
    </row>
    <row r="11" spans="2:17" ht="23.25" customHeight="1" x14ac:dyDescent="0.15">
      <c r="B11" s="23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231"/>
    </row>
    <row r="12" spans="2:17" ht="23.25" customHeight="1" x14ac:dyDescent="0.15">
      <c r="B12" s="23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231"/>
      <c r="O12" s="51"/>
    </row>
    <row r="13" spans="2:17" ht="23.25" customHeight="1" x14ac:dyDescent="0.15">
      <c r="B13" s="23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231"/>
    </row>
    <row r="14" spans="2:17" ht="23.25" customHeight="1" x14ac:dyDescent="0.15">
      <c r="B14" s="23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231"/>
    </row>
    <row r="15" spans="2:17" ht="23.25" customHeight="1" x14ac:dyDescent="0.15">
      <c r="B15" s="23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231"/>
      <c r="P15" s="51"/>
      <c r="Q15" s="51"/>
    </row>
    <row r="16" spans="2:17" ht="23.25" customHeight="1" x14ac:dyDescent="0.15">
      <c r="B16" s="23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231"/>
      <c r="P16" s="51"/>
      <c r="Q16" s="51"/>
    </row>
    <row r="17" spans="2:17" ht="43.5" customHeight="1" x14ac:dyDescent="0.15">
      <c r="B17" s="230"/>
      <c r="C17" s="51"/>
      <c r="D17" s="51"/>
      <c r="E17" s="51"/>
      <c r="F17" s="415" t="s">
        <v>177</v>
      </c>
      <c r="G17" s="415"/>
      <c r="H17" s="415"/>
      <c r="I17" s="415"/>
      <c r="J17" s="415"/>
      <c r="K17" s="51"/>
      <c r="L17" s="51"/>
      <c r="M17" s="51"/>
      <c r="N17" s="231"/>
      <c r="P17" s="51"/>
      <c r="Q17" s="51"/>
    </row>
    <row r="18" spans="2:17" ht="23.25" customHeight="1" x14ac:dyDescent="0.15">
      <c r="B18" s="230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231"/>
      <c r="P18" s="51"/>
      <c r="Q18" s="51"/>
    </row>
    <row r="19" spans="2:17" ht="23.25" customHeight="1" x14ac:dyDescent="0.15">
      <c r="B19" s="230"/>
      <c r="C19" s="51"/>
      <c r="D19" s="51"/>
      <c r="E19" s="51"/>
      <c r="F19" s="51"/>
      <c r="G19" s="51"/>
      <c r="H19" s="55" t="s">
        <v>308</v>
      </c>
      <c r="I19" s="51"/>
      <c r="J19" s="51"/>
      <c r="K19" s="51"/>
      <c r="L19" s="51"/>
      <c r="M19" s="51"/>
      <c r="N19" s="231"/>
      <c r="P19" s="51"/>
      <c r="Q19" s="51"/>
    </row>
    <row r="20" spans="2:17" ht="23.25" customHeight="1" x14ac:dyDescent="0.15">
      <c r="B20" s="23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231"/>
      <c r="P20" s="51"/>
      <c r="Q20" s="51"/>
    </row>
    <row r="21" spans="2:17" ht="23.25" customHeight="1" x14ac:dyDescent="0.15">
      <c r="B21" s="23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231"/>
      <c r="P21" s="51"/>
      <c r="Q21" s="51"/>
    </row>
    <row r="22" spans="2:17" ht="23.25" customHeight="1" x14ac:dyDescent="0.15">
      <c r="B22" s="23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231"/>
      <c r="P22" s="51"/>
      <c r="Q22" s="51"/>
    </row>
    <row r="23" spans="2:17" ht="23.25" customHeight="1" x14ac:dyDescent="0.15">
      <c r="B23" s="23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231"/>
    </row>
    <row r="24" spans="2:17" ht="23.25" customHeight="1" x14ac:dyDescent="0.15">
      <c r="B24" s="23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231"/>
    </row>
    <row r="25" spans="2:17" ht="23.25" customHeight="1" x14ac:dyDescent="0.15">
      <c r="B25" s="230"/>
      <c r="C25" s="55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231"/>
    </row>
    <row r="26" spans="2:17" ht="23.25" customHeight="1" x14ac:dyDescent="0.15">
      <c r="B26" s="23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231"/>
    </row>
    <row r="27" spans="2:17" ht="23.25" customHeight="1" x14ac:dyDescent="0.15">
      <c r="B27" s="23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233"/>
    </row>
    <row r="28" spans="2:17" ht="23.25" customHeight="1" x14ac:dyDescent="0.15">
      <c r="B28" s="23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231"/>
    </row>
    <row r="29" spans="2:17" ht="23.25" customHeight="1" x14ac:dyDescent="0.15">
      <c r="B29" s="230"/>
      <c r="C29" s="54"/>
      <c r="D29" s="54"/>
      <c r="E29" s="51"/>
      <c r="F29" s="51"/>
      <c r="G29" s="51"/>
      <c r="H29" s="51"/>
      <c r="I29" s="51"/>
      <c r="J29" s="51"/>
      <c r="K29" s="51"/>
      <c r="L29" s="51"/>
      <c r="M29" s="51"/>
      <c r="N29" s="231"/>
    </row>
    <row r="30" spans="2:17" ht="23.25" customHeight="1" x14ac:dyDescent="0.15">
      <c r="B30" s="412" t="s">
        <v>176</v>
      </c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4"/>
    </row>
    <row r="31" spans="2:17" ht="23.25" customHeight="1" thickBot="1" x14ac:dyDescent="0.2">
      <c r="B31" s="409"/>
      <c r="C31" s="410"/>
      <c r="D31" s="410"/>
      <c r="E31" s="410"/>
      <c r="F31" s="410"/>
      <c r="G31" s="410"/>
      <c r="H31" s="410"/>
      <c r="I31" s="410"/>
      <c r="J31" s="410"/>
      <c r="K31" s="410"/>
      <c r="L31" s="410"/>
      <c r="M31" s="410"/>
      <c r="N31" s="411"/>
    </row>
  </sheetData>
  <mergeCells count="3">
    <mergeCell ref="B31:N31"/>
    <mergeCell ref="B30:N30"/>
    <mergeCell ref="F17:J17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135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7" zoomScale="75" zoomScaleNormal="70" zoomScaleSheetLayoutView="75" workbookViewId="0">
      <selection activeCell="E20" sqref="E20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3.375" style="4" customWidth="1"/>
    <col min="4" max="6" width="16.5" style="37" customWidth="1"/>
    <col min="7" max="7" width="21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50"/>
      <c r="D3" s="41" t="s">
        <v>61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50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>
        <f>+'Base de Datos'!D306</f>
        <v>0</v>
      </c>
      <c r="E9" s="18">
        <f>+'Base de Datos'!E306</f>
        <v>3350000</v>
      </c>
      <c r="F9" s="18">
        <f>+'Base de Datos'!F306</f>
        <v>77168000</v>
      </c>
      <c r="G9" s="18">
        <f>+'Base de Datos'!G306</f>
        <v>48508000</v>
      </c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8"/>
      <c r="G10" s="18"/>
      <c r="H10" s="44"/>
    </row>
    <row r="11" spans="1:8" s="10" customFormat="1" ht="20.25" customHeight="1" x14ac:dyDescent="0.15">
      <c r="A11" s="7"/>
      <c r="B11" s="20" t="s">
        <v>12</v>
      </c>
      <c r="C11" s="8"/>
      <c r="D11" s="21"/>
      <c r="E11" s="21"/>
      <c r="F11" s="21"/>
      <c r="G11" s="21"/>
      <c r="H11" s="45"/>
    </row>
    <row r="12" spans="1:8" s="10" customFormat="1" ht="20.25" customHeight="1" x14ac:dyDescent="0.15">
      <c r="A12" s="7"/>
      <c r="B12" s="20" t="s">
        <v>13</v>
      </c>
      <c r="C12" s="8"/>
      <c r="D12" s="21">
        <f>+'Base de Datos'!D313</f>
        <v>0</v>
      </c>
      <c r="E12" s="21">
        <f>+'Base de Datos'!E313</f>
        <v>0</v>
      </c>
      <c r="F12" s="21">
        <f>+'Base de Datos'!F313</f>
        <v>-68900000</v>
      </c>
      <c r="G12" s="21">
        <f>+'Base de Datos'!G313</f>
        <v>-73336876</v>
      </c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>
        <f>+'Base de Datos'!E314</f>
        <v>0</v>
      </c>
      <c r="F13" s="21"/>
      <c r="G13" s="21">
        <f>+'Base de Datos'!G314</f>
        <v>30868863</v>
      </c>
      <c r="H13" s="45"/>
    </row>
    <row r="14" spans="1:8" s="10" customFormat="1" ht="20.25" customHeight="1" x14ac:dyDescent="0.15">
      <c r="A14" s="7"/>
      <c r="B14" s="20" t="s">
        <v>15</v>
      </c>
      <c r="C14" s="8"/>
      <c r="D14" s="21"/>
      <c r="E14" s="21"/>
      <c r="F14" s="21"/>
      <c r="G14" s="21"/>
      <c r="H14" s="45"/>
    </row>
    <row r="15" spans="1:8" s="10" customFormat="1" ht="20.25" customHeight="1" x14ac:dyDescent="0.15">
      <c r="A15" s="7"/>
      <c r="B15" s="20" t="s">
        <v>16</v>
      </c>
      <c r="C15" s="8"/>
      <c r="D15" s="21"/>
      <c r="E15" s="21"/>
      <c r="F15" s="21"/>
      <c r="G15" s="21"/>
      <c r="H15" s="45"/>
    </row>
    <row r="16" spans="1:8" s="10" customFormat="1" ht="20.25" customHeight="1" x14ac:dyDescent="0.15">
      <c r="A16" s="7"/>
      <c r="B16" s="20" t="s">
        <v>17</v>
      </c>
      <c r="C16" s="8"/>
      <c r="D16" s="21"/>
      <c r="E16" s="21"/>
      <c r="F16" s="21"/>
      <c r="G16" s="21"/>
      <c r="H16" s="45"/>
    </row>
    <row r="17" spans="1:22" s="10" customFormat="1" ht="20.25" customHeight="1" x14ac:dyDescent="0.15">
      <c r="A17" s="7"/>
      <c r="B17" s="20" t="s">
        <v>18</v>
      </c>
      <c r="C17" s="8"/>
      <c r="D17" s="21"/>
      <c r="E17" s="21"/>
      <c r="F17" s="21"/>
      <c r="G17" s="21"/>
      <c r="H17" s="45"/>
    </row>
    <row r="18" spans="1:22" s="10" customFormat="1" ht="20.25" customHeight="1" x14ac:dyDescent="0.15">
      <c r="A18" s="7"/>
      <c r="B18" s="20" t="s">
        <v>19</v>
      </c>
      <c r="C18" s="8"/>
      <c r="D18" s="21"/>
      <c r="E18" s="21"/>
      <c r="F18" s="21"/>
      <c r="G18" s="21"/>
      <c r="H18" s="45"/>
    </row>
    <row r="19" spans="1:22" s="10" customFormat="1" ht="20.25" customHeight="1" x14ac:dyDescent="0.15">
      <c r="A19" s="7"/>
      <c r="B19" s="20" t="s">
        <v>20</v>
      </c>
      <c r="C19" s="8"/>
      <c r="D19" s="21"/>
      <c r="E19" s="21"/>
      <c r="F19" s="21"/>
      <c r="G19" s="21"/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0</v>
      </c>
      <c r="E20" s="18">
        <f>SUM(E11:E19)</f>
        <v>0</v>
      </c>
      <c r="F20" s="18">
        <f>SUM(F11:F19)</f>
        <v>-68900000</v>
      </c>
      <c r="G20" s="18">
        <f>SUM(G11:G19)</f>
        <v>-42468013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8"/>
      <c r="G21" s="18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0</v>
      </c>
      <c r="E22" s="26">
        <f>+E9+E20</f>
        <v>3350000</v>
      </c>
      <c r="F22" s="26">
        <f>+F9+F20</f>
        <v>8268000</v>
      </c>
      <c r="G22" s="26">
        <f>+G9+G20</f>
        <v>6039987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8"/>
      <c r="G23" s="1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/>
      <c r="E24" s="23"/>
      <c r="F24" s="23"/>
      <c r="G24" s="23"/>
      <c r="H24" s="45"/>
    </row>
    <row r="25" spans="1:22" s="10" customFormat="1" ht="20.25" customHeight="1" x14ac:dyDescent="0.15">
      <c r="A25" s="7"/>
      <c r="B25" s="20" t="s">
        <v>24</v>
      </c>
      <c r="C25" s="8"/>
      <c r="D25" s="23"/>
      <c r="E25" s="23"/>
      <c r="F25" s="23"/>
      <c r="G25" s="23"/>
      <c r="H25" s="45"/>
    </row>
    <row r="26" spans="1:22" s="10" customFormat="1" ht="20.25" customHeight="1" x14ac:dyDescent="0.15">
      <c r="A26" s="7"/>
      <c r="B26" s="20" t="s">
        <v>25</v>
      </c>
      <c r="C26" s="8"/>
      <c r="D26" s="23">
        <f>+'Base de Datos'!D322</f>
        <v>0</v>
      </c>
      <c r="E26" s="23">
        <f>+'Base de Datos'!E322</f>
        <v>0</v>
      </c>
      <c r="F26" s="23">
        <f>+'Base de Datos'!F322</f>
        <v>-650000</v>
      </c>
      <c r="G26" s="23">
        <f>+'Base de Datos'!G322</f>
        <v>-337286</v>
      </c>
      <c r="H26" s="45"/>
    </row>
    <row r="27" spans="1:22" s="10" customFormat="1" ht="20.25" customHeight="1" x14ac:dyDescent="0.15">
      <c r="A27" s="7"/>
      <c r="B27" s="20" t="s">
        <v>26</v>
      </c>
      <c r="C27" s="8"/>
      <c r="D27" s="23"/>
      <c r="E27" s="23"/>
      <c r="F27" s="23"/>
      <c r="G27" s="23"/>
      <c r="H27" s="45"/>
    </row>
    <row r="28" spans="1:22" s="10" customFormat="1" ht="20.25" customHeight="1" x14ac:dyDescent="0.15">
      <c r="A28" s="7"/>
      <c r="B28" s="27" t="s">
        <v>27</v>
      </c>
      <c r="C28" s="111"/>
      <c r="D28" s="23">
        <f>+SUM('Base de Datos'!D323:D359)-D29</f>
        <v>0</v>
      </c>
      <c r="E28" s="23">
        <f>+SUM('Base de Datos'!E323:E359)-E29</f>
        <v>0</v>
      </c>
      <c r="F28" s="23">
        <f>+SUM('Base de Datos'!F323:F359)-F29</f>
        <v>-771000</v>
      </c>
      <c r="G28" s="23">
        <f>+SUM('Base de Datos'!G323:G358)-G29</f>
        <v>-1263776</v>
      </c>
      <c r="H28" s="45"/>
    </row>
    <row r="29" spans="1:22" s="10" customFormat="1" ht="20.25" customHeight="1" x14ac:dyDescent="0.15">
      <c r="A29" s="7"/>
      <c r="B29" s="20" t="s">
        <v>28</v>
      </c>
      <c r="C29" s="8"/>
      <c r="D29" s="23">
        <f>+'Base de Datos'!D344</f>
        <v>0</v>
      </c>
      <c r="E29" s="23">
        <f>+'Base de Datos'!E344</f>
        <v>0</v>
      </c>
      <c r="F29" s="23">
        <f>+'Base de Datos'!F344</f>
        <v>0</v>
      </c>
      <c r="G29" s="23">
        <f>+'Base de Datos'!G344</f>
        <v>-46615</v>
      </c>
      <c r="H29" s="45"/>
    </row>
    <row r="30" spans="1:22" s="10" customFormat="1" ht="20.25" customHeight="1" x14ac:dyDescent="0.15">
      <c r="A30" s="7"/>
      <c r="B30" s="20" t="s">
        <v>29</v>
      </c>
      <c r="C30" s="8"/>
      <c r="D30" s="23"/>
      <c r="E30" s="23"/>
      <c r="F30" s="23"/>
      <c r="G30" s="23"/>
      <c r="H30" s="45"/>
    </row>
    <row r="31" spans="1:22" s="10" customFormat="1" ht="20.25" customHeight="1" x14ac:dyDescent="0.15">
      <c r="A31" s="7"/>
      <c r="B31" s="17" t="s">
        <v>30</v>
      </c>
      <c r="C31" s="109"/>
      <c r="D31" s="28">
        <f>SUM(D24:D30)</f>
        <v>0</v>
      </c>
      <c r="E31" s="28">
        <f>SUM(E24:E30)</f>
        <v>0</v>
      </c>
      <c r="F31" s="28">
        <f>SUM(F24:F30)</f>
        <v>-1421000</v>
      </c>
      <c r="G31" s="28">
        <f>SUM(G24:G30)</f>
        <v>-1647677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8"/>
      <c r="G32" s="1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1"/>
      <c r="G33" s="21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1"/>
      <c r="G34" s="21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1"/>
      <c r="G35" s="21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1"/>
      <c r="G36" s="21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29">
        <f>SUM(F33:F36)</f>
        <v>0</v>
      </c>
      <c r="G37" s="2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8"/>
      <c r="G38" s="18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+D22+D31+D37</f>
        <v>0</v>
      </c>
      <c r="E39" s="26">
        <f>+E22+E31+E37</f>
        <v>3350000</v>
      </c>
      <c r="F39" s="26">
        <f>+F22+F31+F37</f>
        <v>6847000</v>
      </c>
      <c r="G39" s="26">
        <f>+G22+G31+G37</f>
        <v>4392310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8"/>
      <c r="G40" s="1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>
        <v>0</v>
      </c>
      <c r="E41" s="23">
        <v>0</v>
      </c>
      <c r="F41" s="23">
        <v>0</v>
      </c>
      <c r="G41" s="23">
        <v>0</v>
      </c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8"/>
      <c r="G42" s="1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+D39-D41</f>
        <v>0</v>
      </c>
      <c r="E43" s="26">
        <f>+E39-E41</f>
        <v>3350000</v>
      </c>
      <c r="F43" s="26">
        <f>+F39-F41</f>
        <v>6847000</v>
      </c>
      <c r="G43" s="26">
        <f>+G39-G41</f>
        <v>4392310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8"/>
      <c r="G44" s="1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1"/>
      <c r="G45" s="21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1"/>
      <c r="G46" s="21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1"/>
      <c r="G47" s="21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1"/>
      <c r="G48" s="21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1"/>
      <c r="G49" s="21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/>
      <c r="F50" s="21"/>
      <c r="G50" s="21">
        <f>+'Base de Datos'!G359</f>
        <v>-1741862</v>
      </c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0</v>
      </c>
      <c r="F51" s="18">
        <f>SUM(F45:F50)</f>
        <v>0</v>
      </c>
      <c r="G51" s="18">
        <f>SUM(G45:G50)</f>
        <v>-1741862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8"/>
      <c r="G52" s="18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0</v>
      </c>
      <c r="E53" s="18">
        <f>+E43+E51</f>
        <v>3350000</v>
      </c>
      <c r="F53" s="18">
        <f>+F43+F51</f>
        <v>6847000</v>
      </c>
      <c r="G53" s="18">
        <f>+G43+G51</f>
        <v>2650448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8"/>
      <c r="G54" s="18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0</v>
      </c>
      <c r="E55" s="32">
        <f>IF(E53&gt;0,E53*(1-[1]Supuestos!$P$15),E53)</f>
        <v>2546000</v>
      </c>
      <c r="F55" s="32">
        <f>IF(F53&gt;0,F53*(1-[1]Supuestos!$P$15),F53)</f>
        <v>5203720</v>
      </c>
      <c r="G55" s="32">
        <f>IF(G53&gt;0,G53*(1-[1]Supuestos!$P$15),G53)</f>
        <v>2014340.48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D6:E6"/>
    <mergeCell ref="F6:G6"/>
    <mergeCell ref="B57:H57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19" zoomScale="75" zoomScaleNormal="70" zoomScaleSheetLayoutView="75" workbookViewId="0">
      <selection activeCell="G61" sqref="G61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4.25" style="4" customWidth="1"/>
    <col min="4" max="7" width="16.5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50"/>
      <c r="D3" s="41" t="s">
        <v>56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50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>
        <f>+'Base de Datos'!D53</f>
        <v>0</v>
      </c>
      <c r="E9" s="18">
        <f>+'Base de Datos'!E53</f>
        <v>0</v>
      </c>
      <c r="F9" s="18">
        <f>+'Base de Datos'!F53</f>
        <v>28761233</v>
      </c>
      <c r="G9" s="18">
        <f>+'Base de Datos'!G53</f>
        <v>0</v>
      </c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8"/>
      <c r="G10" s="18"/>
      <c r="H10" s="44"/>
    </row>
    <row r="11" spans="1:8" s="10" customFormat="1" ht="20.25" customHeight="1" x14ac:dyDescent="0.15">
      <c r="A11" s="7"/>
      <c r="B11" s="20" t="s">
        <v>12</v>
      </c>
      <c r="C11" s="8"/>
      <c r="D11" s="21"/>
      <c r="E11" s="21"/>
      <c r="F11" s="21"/>
      <c r="G11" s="21"/>
      <c r="H11" s="45"/>
    </row>
    <row r="12" spans="1:8" s="10" customFormat="1" ht="20.25" customHeight="1" x14ac:dyDescent="0.15">
      <c r="A12" s="7"/>
      <c r="B12" s="20" t="s">
        <v>13</v>
      </c>
      <c r="C12" s="8"/>
      <c r="D12" s="21">
        <f>+SUM('Base de Datos'!D59:D60)</f>
        <v>0</v>
      </c>
      <c r="E12" s="21">
        <f>+SUM('Base de Datos'!E59:E60)</f>
        <v>0</v>
      </c>
      <c r="F12" s="21">
        <f>+SUM('Base de Datos'!F59:F60)</f>
        <v>-26146575</v>
      </c>
      <c r="G12" s="21">
        <f>+SUM('Base de Datos'!G59:G60)</f>
        <v>0</v>
      </c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/>
      <c r="F13" s="21"/>
      <c r="G13" s="21"/>
      <c r="H13" s="45"/>
    </row>
    <row r="14" spans="1:8" s="10" customFormat="1" ht="20.25" customHeight="1" x14ac:dyDescent="0.15">
      <c r="A14" s="7"/>
      <c r="B14" s="20" t="s">
        <v>15</v>
      </c>
      <c r="C14" s="8"/>
      <c r="D14" s="21"/>
      <c r="E14" s="21"/>
      <c r="F14" s="21"/>
      <c r="G14" s="21"/>
      <c r="H14" s="45"/>
    </row>
    <row r="15" spans="1:8" s="10" customFormat="1" ht="20.25" customHeight="1" x14ac:dyDescent="0.15">
      <c r="A15" s="7"/>
      <c r="B15" s="20" t="s">
        <v>16</v>
      </c>
      <c r="C15" s="8"/>
      <c r="D15" s="21"/>
      <c r="E15" s="21"/>
      <c r="F15" s="21"/>
      <c r="G15" s="21"/>
      <c r="H15" s="45"/>
    </row>
    <row r="16" spans="1:8" s="10" customFormat="1" ht="20.25" customHeight="1" x14ac:dyDescent="0.15">
      <c r="A16" s="7"/>
      <c r="B16" s="20" t="s">
        <v>17</v>
      </c>
      <c r="C16" s="8"/>
      <c r="D16" s="21"/>
      <c r="E16" s="21"/>
      <c r="F16" s="21"/>
      <c r="G16" s="21"/>
      <c r="H16" s="45"/>
    </row>
    <row r="17" spans="1:22" s="10" customFormat="1" ht="20.25" customHeight="1" x14ac:dyDescent="0.15">
      <c r="A17" s="7"/>
      <c r="B17" s="20" t="s">
        <v>18</v>
      </c>
      <c r="C17" s="8"/>
      <c r="D17" s="21"/>
      <c r="E17" s="21"/>
      <c r="F17" s="21"/>
      <c r="G17" s="21"/>
      <c r="H17" s="45"/>
    </row>
    <row r="18" spans="1:22" s="10" customFormat="1" ht="20.25" customHeight="1" x14ac:dyDescent="0.15">
      <c r="A18" s="7"/>
      <c r="B18" s="20" t="s">
        <v>19</v>
      </c>
      <c r="C18" s="8"/>
      <c r="D18" s="21"/>
      <c r="E18" s="21"/>
      <c r="F18" s="21"/>
      <c r="G18" s="21"/>
      <c r="H18" s="45"/>
    </row>
    <row r="19" spans="1:22" s="10" customFormat="1" ht="20.25" customHeight="1" x14ac:dyDescent="0.15">
      <c r="A19" s="7"/>
      <c r="B19" s="20" t="s">
        <v>20</v>
      </c>
      <c r="C19" s="8"/>
      <c r="D19" s="21"/>
      <c r="E19" s="21"/>
      <c r="F19" s="21"/>
      <c r="G19" s="21"/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0</v>
      </c>
      <c r="E20" s="18">
        <f>SUM(E11:E19)</f>
        <v>0</v>
      </c>
      <c r="F20" s="18">
        <f>SUM(F11:F19)</f>
        <v>-26146575</v>
      </c>
      <c r="G20" s="18">
        <f>SUM(G11:G19)</f>
        <v>0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8"/>
      <c r="G21" s="18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0</v>
      </c>
      <c r="E22" s="26">
        <f>+E9+E20</f>
        <v>0</v>
      </c>
      <c r="F22" s="26">
        <f>+F9+F20</f>
        <v>2614658</v>
      </c>
      <c r="G22" s="26">
        <f>+G9+G20</f>
        <v>0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8"/>
      <c r="G23" s="1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/>
      <c r="E24" s="23"/>
      <c r="F24" s="23"/>
      <c r="G24" s="23"/>
      <c r="H24" s="45"/>
    </row>
    <row r="25" spans="1:22" s="10" customFormat="1" ht="20.25" customHeight="1" x14ac:dyDescent="0.15">
      <c r="A25" s="7"/>
      <c r="B25" s="20" t="s">
        <v>24</v>
      </c>
      <c r="C25" s="8"/>
      <c r="D25" s="23"/>
      <c r="E25" s="23"/>
      <c r="F25" s="23"/>
      <c r="G25" s="23"/>
      <c r="H25" s="45"/>
    </row>
    <row r="26" spans="1:22" s="10" customFormat="1" ht="20.25" customHeight="1" x14ac:dyDescent="0.15">
      <c r="A26" s="7"/>
      <c r="B26" s="20" t="s">
        <v>25</v>
      </c>
      <c r="C26" s="8"/>
      <c r="D26" s="23">
        <f>+'Base de Datos'!D67</f>
        <v>0</v>
      </c>
      <c r="E26" s="23">
        <f>+'Base de Datos'!E67</f>
        <v>0</v>
      </c>
      <c r="F26" s="23">
        <f>+'Base de Datos'!F67</f>
        <v>-200000</v>
      </c>
      <c r="G26" s="23">
        <f>+'Base de Datos'!G67</f>
        <v>-133615</v>
      </c>
      <c r="H26" s="45"/>
    </row>
    <row r="27" spans="1:22" s="10" customFormat="1" ht="20.25" customHeight="1" x14ac:dyDescent="0.15">
      <c r="A27" s="7"/>
      <c r="B27" s="20" t="s">
        <v>26</v>
      </c>
      <c r="C27" s="8"/>
      <c r="D27" s="23"/>
      <c r="E27" s="23"/>
      <c r="F27" s="23"/>
      <c r="G27" s="23"/>
      <c r="H27" s="45"/>
    </row>
    <row r="28" spans="1:22" s="10" customFormat="1" ht="20.25" customHeight="1" x14ac:dyDescent="0.15">
      <c r="A28" s="7"/>
      <c r="B28" s="27" t="s">
        <v>27</v>
      </c>
      <c r="C28" s="111"/>
      <c r="D28" s="23">
        <f>+SUM('Base de Datos'!D67:D76)</f>
        <v>-20000</v>
      </c>
      <c r="E28" s="23">
        <f>+SUM('Base de Datos'!E67:E76)</f>
        <v>0</v>
      </c>
      <c r="F28" s="23">
        <f>+SUM('Base de Datos'!F68:F76)</f>
        <v>-1078000</v>
      </c>
      <c r="G28" s="23">
        <f>+SUM('Base de Datos'!G68:G76)</f>
        <v>-715853</v>
      </c>
      <c r="H28" s="45"/>
    </row>
    <row r="29" spans="1:22" s="10" customFormat="1" ht="20.25" customHeight="1" x14ac:dyDescent="0.15">
      <c r="A29" s="7"/>
      <c r="B29" s="20" t="s">
        <v>28</v>
      </c>
      <c r="C29" s="8"/>
      <c r="D29" s="23"/>
      <c r="E29" s="23"/>
      <c r="F29" s="23"/>
      <c r="G29" s="23"/>
      <c r="H29" s="45"/>
    </row>
    <row r="30" spans="1:22" s="10" customFormat="1" ht="20.25" customHeight="1" x14ac:dyDescent="0.15">
      <c r="A30" s="7"/>
      <c r="B30" s="20" t="s">
        <v>29</v>
      </c>
      <c r="C30" s="8"/>
      <c r="D30" s="23"/>
      <c r="E30" s="23"/>
      <c r="F30" s="23"/>
      <c r="G30" s="23"/>
      <c r="H30" s="45"/>
    </row>
    <row r="31" spans="1:22" s="10" customFormat="1" ht="20.25" customHeight="1" x14ac:dyDescent="0.15">
      <c r="A31" s="7"/>
      <c r="B31" s="17" t="s">
        <v>30</v>
      </c>
      <c r="C31" s="109"/>
      <c r="D31" s="28">
        <f>SUM(D24:D30)</f>
        <v>-20000</v>
      </c>
      <c r="E31" s="28">
        <f>SUM(E24:E30)</f>
        <v>0</v>
      </c>
      <c r="F31" s="28">
        <f>SUM(F24:F30)</f>
        <v>-1278000</v>
      </c>
      <c r="G31" s="28">
        <f>SUM(G24:G30)</f>
        <v>-849468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8"/>
      <c r="G32" s="1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1"/>
      <c r="G33" s="21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1"/>
      <c r="G34" s="21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1"/>
      <c r="G35" s="21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1"/>
      <c r="G36" s="21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29">
        <f>SUM(F33:F36)</f>
        <v>0</v>
      </c>
      <c r="G37" s="2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8"/>
      <c r="G38" s="18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+D22+D31+D37</f>
        <v>-20000</v>
      </c>
      <c r="E39" s="26">
        <f>+E22+E31+E37</f>
        <v>0</v>
      </c>
      <c r="F39" s="26">
        <f>+F22+F31+F37</f>
        <v>1336658</v>
      </c>
      <c r="G39" s="26">
        <f>+G22+G31+G37</f>
        <v>-849468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8"/>
      <c r="G40" s="1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/>
      <c r="E41" s="23"/>
      <c r="F41" s="23"/>
      <c r="G41" s="23"/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8"/>
      <c r="G42" s="1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+D39-D41</f>
        <v>-20000</v>
      </c>
      <c r="E43" s="26">
        <f>+E39-E41</f>
        <v>0</v>
      </c>
      <c r="F43" s="26">
        <f>+F39-F41</f>
        <v>1336658</v>
      </c>
      <c r="G43" s="26">
        <f>+G39-G41</f>
        <v>-849468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8"/>
      <c r="G44" s="1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1"/>
      <c r="G45" s="21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1"/>
      <c r="G46" s="21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1"/>
      <c r="G47" s="21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1"/>
      <c r="G48" s="21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1"/>
      <c r="G49" s="21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/>
      <c r="F50" s="21"/>
      <c r="G50" s="23">
        <f>+'Base de Datos'!G77</f>
        <v>-2483836</v>
      </c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0</v>
      </c>
      <c r="F51" s="18">
        <f>SUM(F45:F50)</f>
        <v>0</v>
      </c>
      <c r="G51" s="18">
        <f>SUM(G45:G50)</f>
        <v>-2483836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8"/>
      <c r="G52" s="18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-20000</v>
      </c>
      <c r="E53" s="18">
        <f>+E43+E51</f>
        <v>0</v>
      </c>
      <c r="F53" s="18">
        <f>+F43+F51</f>
        <v>1336658</v>
      </c>
      <c r="G53" s="18">
        <f>+G43+G51</f>
        <v>-3333304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8"/>
      <c r="G54" s="18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-20000</v>
      </c>
      <c r="E55" s="32">
        <f>IF(E53&gt;0,E53*(1-[1]Supuestos!$P$15),E53)</f>
        <v>0</v>
      </c>
      <c r="F55" s="32">
        <f>IF(F53&gt;0,F53*(1-[1]Supuestos!$P$15),F53)</f>
        <v>1015860.08</v>
      </c>
      <c r="G55" s="32">
        <f>IF(G53&gt;0,G53*(1-[1]Supuestos!$P$15),G53)</f>
        <v>-3333304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B57:H57"/>
    <mergeCell ref="D6:E6"/>
    <mergeCell ref="F6:G6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31" zoomScale="75" zoomScaleNormal="70" zoomScaleSheetLayoutView="75" workbookViewId="0">
      <selection activeCell="E15" sqref="E15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4.875" style="4" customWidth="1"/>
    <col min="4" max="7" width="16.5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50"/>
      <c r="D3" s="41" t="s">
        <v>63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50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/>
      <c r="E9" s="18"/>
      <c r="F9" s="18"/>
      <c r="G9" s="18"/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8"/>
      <c r="G10" s="18"/>
      <c r="H10" s="44"/>
    </row>
    <row r="11" spans="1:8" s="10" customFormat="1" ht="20.25" customHeight="1" x14ac:dyDescent="0.15">
      <c r="A11" s="7"/>
      <c r="B11" s="20" t="s">
        <v>12</v>
      </c>
      <c r="C11" s="8"/>
      <c r="D11" s="21"/>
      <c r="E11" s="21"/>
      <c r="F11" s="21"/>
      <c r="G11" s="21"/>
      <c r="H11" s="45"/>
    </row>
    <row r="12" spans="1:8" s="10" customFormat="1" ht="20.25" customHeight="1" x14ac:dyDescent="0.15">
      <c r="A12" s="7"/>
      <c r="B12" s="20" t="s">
        <v>13</v>
      </c>
      <c r="C12" s="8"/>
      <c r="D12" s="21"/>
      <c r="E12" s="21"/>
      <c r="F12" s="21"/>
      <c r="G12" s="21"/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/>
      <c r="F13" s="21"/>
      <c r="G13" s="21"/>
      <c r="H13" s="45"/>
    </row>
    <row r="14" spans="1:8" s="10" customFormat="1" ht="20.25" customHeight="1" x14ac:dyDescent="0.15">
      <c r="A14" s="7"/>
      <c r="B14" s="20" t="s">
        <v>15</v>
      </c>
      <c r="C14" s="8"/>
      <c r="D14" s="21">
        <f>+SUM('Base de Datos'!D140:D141)</f>
        <v>-12096490</v>
      </c>
      <c r="E14" s="21">
        <f>+SUM('Base de Datos'!E140:E141)</f>
        <v>-9106611</v>
      </c>
      <c r="F14" s="21">
        <f>+SUM('Base de Datos'!F140:F141)</f>
        <v>-151629060</v>
      </c>
      <c r="G14" s="21">
        <f>+SUM('Base de Datos'!G140:G141)</f>
        <v>-160505283</v>
      </c>
      <c r="H14" s="45"/>
    </row>
    <row r="15" spans="1:8" s="10" customFormat="1" ht="20.25" customHeight="1" x14ac:dyDescent="0.15">
      <c r="A15" s="7"/>
      <c r="B15" s="20" t="s">
        <v>16</v>
      </c>
      <c r="C15" s="8"/>
      <c r="D15" s="21">
        <f>+SUM('Base de Datos'!D142:D159)</f>
        <v>-14618591</v>
      </c>
      <c r="E15" s="21">
        <f>+SUM('Base de Datos'!E142:E159)</f>
        <v>-13787603</v>
      </c>
      <c r="F15" s="21">
        <f>+SUM('Base de Datos'!F142:F159)</f>
        <v>-147558719</v>
      </c>
      <c r="G15" s="21">
        <f>+SUM('Base de Datos'!G142:G159)</f>
        <v>-135663875</v>
      </c>
      <c r="H15" s="45"/>
    </row>
    <row r="16" spans="1:8" s="10" customFormat="1" ht="20.25" customHeight="1" x14ac:dyDescent="0.15">
      <c r="A16" s="7"/>
      <c r="B16" s="20" t="s">
        <v>17</v>
      </c>
      <c r="C16" s="8"/>
      <c r="D16" s="21"/>
      <c r="E16" s="21"/>
      <c r="F16" s="21"/>
      <c r="G16" s="21"/>
      <c r="H16" s="45"/>
    </row>
    <row r="17" spans="1:22" s="10" customFormat="1" ht="20.25" customHeight="1" x14ac:dyDescent="0.15">
      <c r="A17" s="7"/>
      <c r="B17" s="20" t="s">
        <v>18</v>
      </c>
      <c r="C17" s="8"/>
      <c r="D17" s="21"/>
      <c r="E17" s="21"/>
      <c r="F17" s="21"/>
      <c r="G17" s="21"/>
      <c r="H17" s="45"/>
    </row>
    <row r="18" spans="1:22" s="10" customFormat="1" ht="20.25" customHeight="1" x14ac:dyDescent="0.15">
      <c r="A18" s="7"/>
      <c r="B18" s="20" t="s">
        <v>19</v>
      </c>
      <c r="C18" s="8"/>
      <c r="D18" s="21"/>
      <c r="E18" s="21"/>
      <c r="F18" s="21"/>
      <c r="G18" s="21"/>
      <c r="H18" s="45"/>
    </row>
    <row r="19" spans="1:22" s="10" customFormat="1" ht="20.25" customHeight="1" x14ac:dyDescent="0.15">
      <c r="A19" s="7"/>
      <c r="B19" s="20" t="s">
        <v>20</v>
      </c>
      <c r="C19" s="8"/>
      <c r="D19" s="21"/>
      <c r="E19" s="21"/>
      <c r="F19" s="21"/>
      <c r="G19" s="21"/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-26715081</v>
      </c>
      <c r="E20" s="18">
        <f>SUM(E11:E19)</f>
        <v>-22894214</v>
      </c>
      <c r="F20" s="18">
        <f>SUM(F11:F19)</f>
        <v>-299187779</v>
      </c>
      <c r="G20" s="18">
        <f>SUM(G11:G19)</f>
        <v>-296169158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8"/>
      <c r="G21" s="18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-26715081</v>
      </c>
      <c r="E22" s="26">
        <f>+E9+E20</f>
        <v>-22894214</v>
      </c>
      <c r="F22" s="26">
        <f>+F9+F20</f>
        <v>-299187779</v>
      </c>
      <c r="G22" s="26">
        <f>+G9+G20</f>
        <v>-296169158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8"/>
      <c r="G23" s="1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/>
      <c r="E24" s="23"/>
      <c r="F24" s="23"/>
      <c r="G24" s="23"/>
      <c r="H24" s="45"/>
    </row>
    <row r="25" spans="1:22" s="10" customFormat="1" ht="20.25" customHeight="1" x14ac:dyDescent="0.15">
      <c r="A25" s="7"/>
      <c r="B25" s="20" t="s">
        <v>24</v>
      </c>
      <c r="C25" s="8"/>
      <c r="D25" s="23"/>
      <c r="E25" s="23"/>
      <c r="F25" s="23"/>
      <c r="G25" s="23"/>
      <c r="H25" s="45"/>
    </row>
    <row r="26" spans="1:22" s="10" customFormat="1" ht="20.25" customHeight="1" x14ac:dyDescent="0.15">
      <c r="A26" s="7"/>
      <c r="B26" s="20" t="s">
        <v>25</v>
      </c>
      <c r="C26" s="8"/>
      <c r="D26" s="23"/>
      <c r="E26" s="23"/>
      <c r="F26" s="23"/>
      <c r="G26" s="23"/>
      <c r="H26" s="45"/>
    </row>
    <row r="27" spans="1:22" s="10" customFormat="1" ht="20.25" customHeight="1" x14ac:dyDescent="0.15">
      <c r="A27" s="7"/>
      <c r="B27" s="20" t="s">
        <v>26</v>
      </c>
      <c r="C27" s="8"/>
      <c r="D27" s="23"/>
      <c r="E27" s="23"/>
      <c r="F27" s="23"/>
      <c r="G27" s="23"/>
      <c r="H27" s="45"/>
    </row>
    <row r="28" spans="1:22" s="10" customFormat="1" ht="20.25" customHeight="1" x14ac:dyDescent="0.15">
      <c r="A28" s="7"/>
      <c r="B28" s="27" t="s">
        <v>27</v>
      </c>
      <c r="C28" s="111"/>
      <c r="D28" s="23"/>
      <c r="E28" s="23"/>
      <c r="F28" s="23"/>
      <c r="G28" s="23"/>
      <c r="H28" s="45"/>
    </row>
    <row r="29" spans="1:22" s="10" customFormat="1" ht="20.25" customHeight="1" x14ac:dyDescent="0.15">
      <c r="A29" s="7"/>
      <c r="B29" s="20" t="s">
        <v>28</v>
      </c>
      <c r="C29" s="8"/>
      <c r="D29" s="23"/>
      <c r="E29" s="23"/>
      <c r="F29" s="23"/>
      <c r="G29" s="23"/>
      <c r="H29" s="45"/>
    </row>
    <row r="30" spans="1:22" s="10" customFormat="1" ht="20.25" customHeight="1" x14ac:dyDescent="0.15">
      <c r="A30" s="7"/>
      <c r="B30" s="20" t="s">
        <v>29</v>
      </c>
      <c r="C30" s="8"/>
      <c r="D30" s="23"/>
      <c r="E30" s="23"/>
      <c r="F30" s="23"/>
      <c r="G30" s="23"/>
      <c r="H30" s="45"/>
    </row>
    <row r="31" spans="1:22" s="10" customFormat="1" ht="20.25" customHeight="1" x14ac:dyDescent="0.15">
      <c r="A31" s="7"/>
      <c r="B31" s="17" t="s">
        <v>30</v>
      </c>
      <c r="C31" s="109"/>
      <c r="D31" s="28">
        <f>SUM(D24:D30)</f>
        <v>0</v>
      </c>
      <c r="E31" s="28">
        <f>SUM(E24:E30)</f>
        <v>0</v>
      </c>
      <c r="F31" s="28">
        <f>SUM(F24:F30)</f>
        <v>0</v>
      </c>
      <c r="G31" s="28">
        <f>SUM(G24:G30)</f>
        <v>0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8"/>
      <c r="G32" s="1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1"/>
      <c r="G33" s="21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1"/>
      <c r="G34" s="21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1"/>
      <c r="G35" s="21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1"/>
      <c r="G36" s="21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29">
        <f>SUM(F33:F36)</f>
        <v>0</v>
      </c>
      <c r="G37" s="2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8"/>
      <c r="G38" s="18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+D22+D31+D37</f>
        <v>-26715081</v>
      </c>
      <c r="E39" s="26">
        <f>+E22+E31+E37</f>
        <v>-22894214</v>
      </c>
      <c r="F39" s="26">
        <f>+F22+F31+F37</f>
        <v>-299187779</v>
      </c>
      <c r="G39" s="26">
        <f>+G22+G31+G37</f>
        <v>-296169158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8"/>
      <c r="G40" s="1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>
        <v>0</v>
      </c>
      <c r="E41" s="23">
        <v>0</v>
      </c>
      <c r="F41" s="23">
        <v>0</v>
      </c>
      <c r="G41" s="23">
        <v>0</v>
      </c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8"/>
      <c r="G42" s="1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+D39-D41</f>
        <v>-26715081</v>
      </c>
      <c r="E43" s="26">
        <f>+E39-E41</f>
        <v>-22894214</v>
      </c>
      <c r="F43" s="26">
        <f>+F39-F41</f>
        <v>-299187779</v>
      </c>
      <c r="G43" s="26">
        <f>+G39-G41</f>
        <v>-296169158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8"/>
      <c r="G44" s="1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1"/>
      <c r="G45" s="21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1"/>
      <c r="G46" s="21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1"/>
      <c r="G47" s="21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1"/>
      <c r="G48" s="21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1"/>
      <c r="G49" s="21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/>
      <c r="F50" s="21"/>
      <c r="G50" s="21"/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0</v>
      </c>
      <c r="F51" s="18">
        <f>SUM(F45:F50)</f>
        <v>0</v>
      </c>
      <c r="G51" s="18">
        <f>SUM(G45:G50)</f>
        <v>0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8"/>
      <c r="G52" s="18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-26715081</v>
      </c>
      <c r="E53" s="18">
        <f>+E43+E51</f>
        <v>-22894214</v>
      </c>
      <c r="F53" s="18">
        <f>+F43+F51</f>
        <v>-299187779</v>
      </c>
      <c r="G53" s="18">
        <f>+G43+G51</f>
        <v>-296169158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8"/>
      <c r="G54" s="18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-26715081</v>
      </c>
      <c r="E55" s="32">
        <f>IF(E53&gt;0,E53*(1-[1]Supuestos!$P$15),E53)</f>
        <v>-22894214</v>
      </c>
      <c r="F55" s="32">
        <f>IF(F53&gt;0,F53*(1-[1]Supuestos!$P$15),F53)</f>
        <v>-299187779</v>
      </c>
      <c r="G55" s="32">
        <f>IF(G53&gt;0,G53*(1-[1]Supuestos!$P$15),G53)</f>
        <v>-296169158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D6:E6"/>
    <mergeCell ref="F6:G6"/>
    <mergeCell ref="B57:H57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1" zoomScale="75" zoomScaleNormal="70" zoomScaleSheetLayoutView="75" workbookViewId="0">
      <selection activeCell="E35" sqref="E35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4.125" style="4" customWidth="1"/>
    <col min="4" max="7" width="16.5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50"/>
      <c r="D3" s="41" t="s">
        <v>64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50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>
        <f>+'Base de Datos'!D414</f>
        <v>0</v>
      </c>
      <c r="E9" s="18">
        <f>+'Base de Datos'!E414</f>
        <v>0</v>
      </c>
      <c r="F9" s="18">
        <f>+'Base de Datos'!F414</f>
        <v>424553460</v>
      </c>
      <c r="G9" s="18">
        <f>+'Base de Datos'!G414</f>
        <v>420058002</v>
      </c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8"/>
      <c r="G10" s="18"/>
      <c r="H10" s="44"/>
    </row>
    <row r="11" spans="1:8" s="10" customFormat="1" ht="20.25" customHeight="1" x14ac:dyDescent="0.15">
      <c r="A11" s="7"/>
      <c r="B11" s="20" t="s">
        <v>12</v>
      </c>
      <c r="C11" s="8"/>
      <c r="D11" s="21">
        <f>+'Base de Datos'!D419</f>
        <v>0</v>
      </c>
      <c r="E11" s="21">
        <f>+'Base de Datos'!E419</f>
        <v>0</v>
      </c>
      <c r="F11" s="21">
        <f>+'Base de Datos'!F419</f>
        <v>0</v>
      </c>
      <c r="G11" s="21">
        <f>+'Base de Datos'!G419</f>
        <v>-4501437</v>
      </c>
      <c r="H11" s="45"/>
    </row>
    <row r="12" spans="1:8" s="10" customFormat="1" ht="20.25" customHeight="1" x14ac:dyDescent="0.15">
      <c r="A12" s="7"/>
      <c r="B12" s="20" t="s">
        <v>13</v>
      </c>
      <c r="C12" s="8"/>
      <c r="D12" s="21"/>
      <c r="E12" s="21"/>
      <c r="F12" s="21"/>
      <c r="G12" s="21"/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/>
      <c r="F13" s="21"/>
      <c r="G13" s="21"/>
      <c r="H13" s="45"/>
    </row>
    <row r="14" spans="1:8" s="10" customFormat="1" ht="20.25" customHeight="1" x14ac:dyDescent="0.15">
      <c r="A14" s="7"/>
      <c r="B14" s="20" t="s">
        <v>15</v>
      </c>
      <c r="C14" s="8"/>
      <c r="D14" s="21"/>
      <c r="E14" s="21"/>
      <c r="F14" s="21"/>
      <c r="G14" s="21"/>
      <c r="H14" s="45"/>
    </row>
    <row r="15" spans="1:8" s="10" customFormat="1" ht="20.25" customHeight="1" x14ac:dyDescent="0.15">
      <c r="A15" s="7"/>
      <c r="B15" s="20" t="s">
        <v>16</v>
      </c>
      <c r="C15" s="8"/>
      <c r="D15" s="21"/>
      <c r="E15" s="21"/>
      <c r="F15" s="21"/>
      <c r="G15" s="21"/>
      <c r="H15" s="45"/>
    </row>
    <row r="16" spans="1:8" s="10" customFormat="1" ht="20.25" customHeight="1" x14ac:dyDescent="0.15">
      <c r="A16" s="7"/>
      <c r="B16" s="20" t="s">
        <v>17</v>
      </c>
      <c r="C16" s="8"/>
      <c r="D16" s="21">
        <f>+SUM('Base de Datos'!D427:D428)</f>
        <v>-5559153</v>
      </c>
      <c r="E16" s="21">
        <f>+SUM('Base de Datos'!E427:E428)</f>
        <v>-10492498</v>
      </c>
      <c r="F16" s="21">
        <f>+SUM('Base de Datos'!F427:F428)</f>
        <v>-54610364</v>
      </c>
      <c r="G16" s="21">
        <f>+SUM('Base de Datos'!G427:G428)</f>
        <v>-89760650</v>
      </c>
      <c r="H16" s="45"/>
    </row>
    <row r="17" spans="1:22" s="10" customFormat="1" ht="20.25" customHeight="1" x14ac:dyDescent="0.15">
      <c r="A17" s="7"/>
      <c r="B17" s="20" t="s">
        <v>18</v>
      </c>
      <c r="C17" s="8"/>
      <c r="D17" s="21">
        <f>+SUM('Base de Datos'!D429:D448)</f>
        <v>-3767187</v>
      </c>
      <c r="E17" s="21">
        <f>+SUM('Base de Datos'!E429:E448)</f>
        <v>-3667484</v>
      </c>
      <c r="F17" s="21">
        <f>+SUM('Base de Datos'!F429:F448)</f>
        <v>-323201065</v>
      </c>
      <c r="G17" s="21">
        <f>+SUM('Base de Datos'!G429:G448)</f>
        <v>-329883791</v>
      </c>
      <c r="H17" s="45"/>
    </row>
    <row r="18" spans="1:22" s="10" customFormat="1" ht="20.25" customHeight="1" x14ac:dyDescent="0.15">
      <c r="A18" s="7"/>
      <c r="B18" s="20" t="s">
        <v>19</v>
      </c>
      <c r="C18" s="8"/>
      <c r="D18" s="21"/>
      <c r="E18" s="21"/>
      <c r="F18" s="21"/>
      <c r="G18" s="21"/>
      <c r="H18" s="45"/>
    </row>
    <row r="19" spans="1:22" s="10" customFormat="1" ht="20.25" customHeight="1" x14ac:dyDescent="0.15">
      <c r="A19" s="7"/>
      <c r="B19" s="20" t="s">
        <v>20</v>
      </c>
      <c r="C19" s="8"/>
      <c r="D19" s="21"/>
      <c r="E19" s="21"/>
      <c r="F19" s="21"/>
      <c r="G19" s="21"/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-9326340</v>
      </c>
      <c r="E20" s="18">
        <f>SUM(E11:E19)</f>
        <v>-14159982</v>
      </c>
      <c r="F20" s="18">
        <f>SUM(F11:F19)</f>
        <v>-377811429</v>
      </c>
      <c r="G20" s="18">
        <f>SUM(G11:G19)</f>
        <v>-424145878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8"/>
      <c r="G21" s="18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-9326340</v>
      </c>
      <c r="E22" s="26">
        <f>+E9+E20</f>
        <v>-14159982</v>
      </c>
      <c r="F22" s="26">
        <f>+F9+F20</f>
        <v>46742031</v>
      </c>
      <c r="G22" s="26">
        <f>+G9+G20</f>
        <v>-4087876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8"/>
      <c r="G23" s="1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/>
      <c r="E24" s="23"/>
      <c r="F24" s="23"/>
      <c r="G24" s="23"/>
      <c r="H24" s="45"/>
    </row>
    <row r="25" spans="1:22" s="10" customFormat="1" ht="20.25" customHeight="1" x14ac:dyDescent="0.15">
      <c r="A25" s="7"/>
      <c r="B25" s="20" t="s">
        <v>24</v>
      </c>
      <c r="C25" s="8"/>
      <c r="D25" s="23"/>
      <c r="E25" s="23"/>
      <c r="F25" s="23"/>
      <c r="G25" s="23"/>
      <c r="H25" s="45"/>
    </row>
    <row r="26" spans="1:22" s="10" customFormat="1" ht="20.25" customHeight="1" x14ac:dyDescent="0.15">
      <c r="A26" s="7"/>
      <c r="B26" s="20" t="s">
        <v>25</v>
      </c>
      <c r="C26" s="8"/>
      <c r="D26" s="23"/>
      <c r="E26" s="23"/>
      <c r="F26" s="23"/>
      <c r="G26" s="23"/>
      <c r="H26" s="45"/>
    </row>
    <row r="27" spans="1:22" s="10" customFormat="1" ht="20.25" customHeight="1" x14ac:dyDescent="0.15">
      <c r="A27" s="7"/>
      <c r="B27" s="20" t="s">
        <v>26</v>
      </c>
      <c r="C27" s="8"/>
      <c r="D27" s="23"/>
      <c r="E27" s="23"/>
      <c r="F27" s="23"/>
      <c r="G27" s="23"/>
      <c r="H27" s="45"/>
    </row>
    <row r="28" spans="1:22" s="10" customFormat="1" ht="20.25" customHeight="1" x14ac:dyDescent="0.15">
      <c r="A28" s="7"/>
      <c r="B28" s="27" t="s">
        <v>27</v>
      </c>
      <c r="C28" s="111"/>
      <c r="D28" s="23"/>
      <c r="E28" s="23"/>
      <c r="F28" s="23"/>
      <c r="G28" s="23"/>
      <c r="H28" s="45"/>
    </row>
    <row r="29" spans="1:22" s="10" customFormat="1" ht="20.25" customHeight="1" x14ac:dyDescent="0.15">
      <c r="A29" s="7"/>
      <c r="B29" s="20" t="s">
        <v>28</v>
      </c>
      <c r="C29" s="8"/>
      <c r="D29" s="23"/>
      <c r="E29" s="23"/>
      <c r="F29" s="23"/>
      <c r="G29" s="23"/>
      <c r="H29" s="45"/>
    </row>
    <row r="30" spans="1:22" s="10" customFormat="1" ht="20.25" customHeight="1" x14ac:dyDescent="0.15">
      <c r="A30" s="7"/>
      <c r="B30" s="20" t="s">
        <v>29</v>
      </c>
      <c r="C30" s="8"/>
      <c r="D30" s="23"/>
      <c r="E30" s="23"/>
      <c r="F30" s="23"/>
      <c r="G30" s="23"/>
      <c r="H30" s="45"/>
    </row>
    <row r="31" spans="1:22" s="10" customFormat="1" ht="20.25" customHeight="1" x14ac:dyDescent="0.15">
      <c r="A31" s="7"/>
      <c r="B31" s="17" t="s">
        <v>30</v>
      </c>
      <c r="C31" s="109"/>
      <c r="D31" s="28">
        <f>SUM(D24:D30)</f>
        <v>0</v>
      </c>
      <c r="E31" s="28">
        <f>SUM(E24:E30)</f>
        <v>0</v>
      </c>
      <c r="F31" s="28">
        <f>SUM(F24:F30)</f>
        <v>0</v>
      </c>
      <c r="G31" s="28">
        <f>SUM(G24:G30)</f>
        <v>0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8"/>
      <c r="G32" s="1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1"/>
      <c r="G33" s="21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1"/>
      <c r="G34" s="21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1"/>
      <c r="G35" s="21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1"/>
      <c r="G36" s="21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29">
        <f>SUM(F33:F36)</f>
        <v>0</v>
      </c>
      <c r="G37" s="2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8"/>
      <c r="G38" s="18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+D22-D31-D37</f>
        <v>-9326340</v>
      </c>
      <c r="E39" s="26">
        <f>+E22-E31-E37</f>
        <v>-14159982</v>
      </c>
      <c r="F39" s="26">
        <f>+F22-F31-F37</f>
        <v>46742031</v>
      </c>
      <c r="G39" s="26">
        <f>+G22-G31-G37</f>
        <v>-4087876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8"/>
      <c r="G40" s="1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/>
      <c r="E41" s="23"/>
      <c r="F41" s="23"/>
      <c r="G41" s="23"/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8"/>
      <c r="G42" s="1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+D39-D41</f>
        <v>-9326340</v>
      </c>
      <c r="E43" s="26">
        <f>+E39-E41</f>
        <v>-14159982</v>
      </c>
      <c r="F43" s="26">
        <f>+F39-F41</f>
        <v>46742031</v>
      </c>
      <c r="G43" s="26">
        <f>+G39-G41</f>
        <v>-4087876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8"/>
      <c r="G44" s="1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1"/>
      <c r="G45" s="21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1"/>
      <c r="G46" s="21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1"/>
      <c r="G47" s="21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1"/>
      <c r="G48" s="21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1"/>
      <c r="G49" s="21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/>
      <c r="F50" s="21"/>
      <c r="G50" s="21"/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0</v>
      </c>
      <c r="F51" s="18">
        <f>SUM(F45:F50)</f>
        <v>0</v>
      </c>
      <c r="G51" s="18">
        <f>SUM(G45:G50)</f>
        <v>0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8"/>
      <c r="G52" s="18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-9326340</v>
      </c>
      <c r="E53" s="18">
        <f>+E43+E51</f>
        <v>-14159982</v>
      </c>
      <c r="F53" s="18">
        <f>+F43+F51</f>
        <v>46742031</v>
      </c>
      <c r="G53" s="18">
        <f>+G43+G51</f>
        <v>-4087876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8"/>
      <c r="G54" s="18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-9326340</v>
      </c>
      <c r="E55" s="32">
        <f>IF(E53&gt;0,E53*(1-[1]Supuestos!$P$15),E53)</f>
        <v>-14159982</v>
      </c>
      <c r="F55" s="32">
        <f>IF(F53&gt;0,F53*(1-[1]Supuestos!$P$15),F53)</f>
        <v>35523943.560000002</v>
      </c>
      <c r="G55" s="32">
        <f>IF(G53&gt;0,G53*(1-[1]Supuestos!$P$15),G53)</f>
        <v>-4087876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D6:E6"/>
    <mergeCell ref="F6:G6"/>
    <mergeCell ref="B57:H57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1" zoomScale="70" zoomScaleNormal="70" zoomScaleSheetLayoutView="70" workbookViewId="0">
      <selection activeCell="F45" sqref="F45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11" style="4" customWidth="1"/>
    <col min="4" max="7" width="16.5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113"/>
      <c r="D3" s="41" t="s">
        <v>65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113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>
        <f>+'Base de Datos'!D458</f>
        <v>0</v>
      </c>
      <c r="E9" s="18">
        <f>+'Base de Datos'!E458</f>
        <v>2446950</v>
      </c>
      <c r="F9" s="18">
        <f>+'Base de Datos'!F458</f>
        <v>0</v>
      </c>
      <c r="G9" s="18">
        <f>+'Base de Datos'!G458</f>
        <v>169478594</v>
      </c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8"/>
      <c r="G10" s="18"/>
      <c r="H10" s="44"/>
    </row>
    <row r="11" spans="1:8" s="10" customFormat="1" ht="20.25" customHeight="1" x14ac:dyDescent="0.15">
      <c r="A11" s="7"/>
      <c r="B11" s="20" t="s">
        <v>12</v>
      </c>
      <c r="C11" s="8"/>
      <c r="D11" s="21">
        <f>+'Base de Datos'!D463</f>
        <v>0</v>
      </c>
      <c r="E11" s="21">
        <f>+'Base de Datos'!E463</f>
        <v>0</v>
      </c>
      <c r="F11" s="21">
        <f>+'Base de Datos'!F463</f>
        <v>0</v>
      </c>
      <c r="G11" s="21">
        <f>+'Base de Datos'!G463</f>
        <v>0</v>
      </c>
      <c r="H11" s="45"/>
    </row>
    <row r="12" spans="1:8" s="10" customFormat="1" ht="20.25" customHeight="1" x14ac:dyDescent="0.15">
      <c r="A12" s="7"/>
      <c r="B12" s="20" t="s">
        <v>13</v>
      </c>
      <c r="C12" s="8"/>
      <c r="D12" s="21"/>
      <c r="E12" s="21"/>
      <c r="F12" s="21"/>
      <c r="G12" s="21"/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/>
      <c r="F13" s="21"/>
      <c r="G13" s="21"/>
      <c r="H13" s="45"/>
    </row>
    <row r="14" spans="1:8" s="10" customFormat="1" ht="20.25" customHeight="1" x14ac:dyDescent="0.15">
      <c r="A14" s="7"/>
      <c r="B14" s="20" t="s">
        <v>15</v>
      </c>
      <c r="C14" s="8"/>
      <c r="D14" s="21">
        <f>+'Base de Datos'!D471</f>
        <v>0</v>
      </c>
      <c r="E14" s="21">
        <f>+'Base de Datos'!E471</f>
        <v>-3827098</v>
      </c>
      <c r="F14" s="21">
        <f>+'Base de Datos'!F471</f>
        <v>0</v>
      </c>
      <c r="G14" s="21">
        <f>+'Base de Datos'!G471</f>
        <v>-58325297</v>
      </c>
      <c r="H14" s="45"/>
    </row>
    <row r="15" spans="1:8" s="10" customFormat="1" ht="20.25" customHeight="1" x14ac:dyDescent="0.15">
      <c r="A15" s="7"/>
      <c r="B15" s="20" t="s">
        <v>16</v>
      </c>
      <c r="C15" s="8"/>
      <c r="D15" s="21">
        <f>SUM('Base de Datos'!D472:D482)</f>
        <v>0</v>
      </c>
      <c r="E15" s="21">
        <f>SUM('Base de Datos'!E472:E482)</f>
        <v>-394240</v>
      </c>
      <c r="F15" s="21">
        <f>SUM('Base de Datos'!F472:F482)</f>
        <v>0</v>
      </c>
      <c r="G15" s="21">
        <f>SUM('Base de Datos'!G472:G482)</f>
        <v>-68074933</v>
      </c>
      <c r="H15" s="45"/>
    </row>
    <row r="16" spans="1:8" s="10" customFormat="1" ht="20.25" customHeight="1" x14ac:dyDescent="0.15">
      <c r="A16" s="7"/>
      <c r="B16" s="20" t="s">
        <v>17</v>
      </c>
      <c r="C16" s="8"/>
      <c r="D16" s="21"/>
      <c r="E16" s="21"/>
      <c r="F16" s="21"/>
      <c r="G16" s="21"/>
      <c r="H16" s="45"/>
    </row>
    <row r="17" spans="1:22" s="10" customFormat="1" ht="20.25" customHeight="1" x14ac:dyDescent="0.15">
      <c r="A17" s="7"/>
      <c r="B17" s="20" t="s">
        <v>18</v>
      </c>
      <c r="C17" s="8"/>
      <c r="D17" s="21"/>
      <c r="E17" s="21"/>
      <c r="F17" s="21"/>
      <c r="G17" s="21"/>
      <c r="H17" s="45"/>
    </row>
    <row r="18" spans="1:22" s="10" customFormat="1" ht="20.25" customHeight="1" x14ac:dyDescent="0.15">
      <c r="A18" s="7"/>
      <c r="B18" s="20" t="s">
        <v>19</v>
      </c>
      <c r="C18" s="8"/>
      <c r="D18" s="21"/>
      <c r="E18" s="21"/>
      <c r="F18" s="21"/>
      <c r="G18" s="21"/>
      <c r="H18" s="45"/>
    </row>
    <row r="19" spans="1:22" s="10" customFormat="1" ht="20.25" customHeight="1" x14ac:dyDescent="0.15">
      <c r="A19" s="7"/>
      <c r="B19" s="20" t="s">
        <v>20</v>
      </c>
      <c r="C19" s="8"/>
      <c r="D19" s="21"/>
      <c r="E19" s="21"/>
      <c r="F19" s="21"/>
      <c r="G19" s="21"/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0</v>
      </c>
      <c r="E20" s="18">
        <f>SUM(E11:E19)</f>
        <v>-4221338</v>
      </c>
      <c r="F20" s="18">
        <f>SUM(F11:F19)</f>
        <v>0</v>
      </c>
      <c r="G20" s="18">
        <f>SUM(G11:G19)</f>
        <v>-126400230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8"/>
      <c r="G21" s="18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0</v>
      </c>
      <c r="E22" s="26">
        <f>+E9+E20</f>
        <v>-1774388</v>
      </c>
      <c r="F22" s="26">
        <f>+F9+F20</f>
        <v>0</v>
      </c>
      <c r="G22" s="26">
        <f>+G9+G20</f>
        <v>43078364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8"/>
      <c r="G23" s="1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/>
      <c r="E24" s="23"/>
      <c r="F24" s="23"/>
      <c r="G24" s="23"/>
      <c r="H24" s="45"/>
    </row>
    <row r="25" spans="1:22" s="10" customFormat="1" ht="20.25" customHeight="1" x14ac:dyDescent="0.15">
      <c r="A25" s="7"/>
      <c r="B25" s="20" t="s">
        <v>24</v>
      </c>
      <c r="C25" s="8"/>
      <c r="D25" s="23"/>
      <c r="E25" s="23"/>
      <c r="F25" s="23"/>
      <c r="G25" s="23"/>
      <c r="H25" s="45"/>
    </row>
    <row r="26" spans="1:22" s="10" customFormat="1" ht="20.25" customHeight="1" x14ac:dyDescent="0.15">
      <c r="A26" s="7"/>
      <c r="B26" s="20" t="s">
        <v>25</v>
      </c>
      <c r="C26" s="8"/>
      <c r="D26" s="23"/>
      <c r="E26" s="23"/>
      <c r="F26" s="23"/>
      <c r="G26" s="23"/>
      <c r="H26" s="45"/>
    </row>
    <row r="27" spans="1:22" s="10" customFormat="1" ht="20.25" customHeight="1" x14ac:dyDescent="0.15">
      <c r="A27" s="7"/>
      <c r="B27" s="20" t="s">
        <v>26</v>
      </c>
      <c r="C27" s="8"/>
      <c r="D27" s="23"/>
      <c r="E27" s="23"/>
      <c r="F27" s="23"/>
      <c r="G27" s="23"/>
      <c r="H27" s="45"/>
    </row>
    <row r="28" spans="1:22" s="10" customFormat="1" ht="20.25" customHeight="1" x14ac:dyDescent="0.15">
      <c r="A28" s="7"/>
      <c r="B28" s="27" t="s">
        <v>27</v>
      </c>
      <c r="C28" s="111"/>
      <c r="D28" s="23"/>
      <c r="E28" s="23"/>
      <c r="F28" s="23"/>
      <c r="G28" s="23"/>
      <c r="H28" s="45"/>
    </row>
    <row r="29" spans="1:22" s="10" customFormat="1" ht="20.25" customHeight="1" x14ac:dyDescent="0.15">
      <c r="A29" s="7"/>
      <c r="B29" s="20" t="s">
        <v>28</v>
      </c>
      <c r="C29" s="8"/>
      <c r="D29" s="23"/>
      <c r="E29" s="23"/>
      <c r="F29" s="23"/>
      <c r="G29" s="23"/>
      <c r="H29" s="45"/>
    </row>
    <row r="30" spans="1:22" s="10" customFormat="1" ht="20.25" customHeight="1" x14ac:dyDescent="0.15">
      <c r="A30" s="7"/>
      <c r="B30" s="20" t="s">
        <v>29</v>
      </c>
      <c r="C30" s="8"/>
      <c r="D30" s="23"/>
      <c r="E30" s="23"/>
      <c r="F30" s="23"/>
      <c r="G30" s="23"/>
      <c r="H30" s="45"/>
    </row>
    <row r="31" spans="1:22" s="10" customFormat="1" ht="20.25" customHeight="1" x14ac:dyDescent="0.15">
      <c r="A31" s="7"/>
      <c r="B31" s="17" t="s">
        <v>30</v>
      </c>
      <c r="C31" s="109"/>
      <c r="D31" s="28">
        <f>SUM(D24:D30)</f>
        <v>0</v>
      </c>
      <c r="E31" s="28">
        <f>SUM(E24:E30)</f>
        <v>0</v>
      </c>
      <c r="F31" s="28">
        <f>SUM(F24:F30)</f>
        <v>0</v>
      </c>
      <c r="G31" s="28">
        <f>SUM(G24:G30)</f>
        <v>0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8"/>
      <c r="G32" s="1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1"/>
      <c r="G33" s="21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1"/>
      <c r="G34" s="21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1"/>
      <c r="G35" s="21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1"/>
      <c r="G36" s="21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29">
        <f>SUM(F33:F36)</f>
        <v>0</v>
      </c>
      <c r="G37" s="2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8"/>
      <c r="G38" s="18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+D22+D31+D37</f>
        <v>0</v>
      </c>
      <c r="E39" s="26">
        <f>+E22+E31+E37</f>
        <v>-1774388</v>
      </c>
      <c r="F39" s="26">
        <f>+F22+F31+F37</f>
        <v>0</v>
      </c>
      <c r="G39" s="26">
        <f>+G22+G31+G37</f>
        <v>43078364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8"/>
      <c r="G40" s="1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>
        <v>0</v>
      </c>
      <c r="E41" s="23">
        <v>0</v>
      </c>
      <c r="F41" s="23">
        <v>0</v>
      </c>
      <c r="G41" s="23">
        <v>0</v>
      </c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8"/>
      <c r="G42" s="1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+D39-D41</f>
        <v>0</v>
      </c>
      <c r="E43" s="26">
        <f>+E39-E41</f>
        <v>-1774388</v>
      </c>
      <c r="F43" s="26">
        <f>+F39-F41</f>
        <v>0</v>
      </c>
      <c r="G43" s="26">
        <f>+G39-G41</f>
        <v>43078364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8"/>
      <c r="G44" s="1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1"/>
      <c r="G45" s="21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1"/>
      <c r="G46" s="21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1"/>
      <c r="G47" s="21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1"/>
      <c r="G48" s="21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1"/>
      <c r="G49" s="21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/>
      <c r="F50" s="21"/>
      <c r="G50" s="21"/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0</v>
      </c>
      <c r="F51" s="18">
        <f>SUM(F45:F50)</f>
        <v>0</v>
      </c>
      <c r="G51" s="18">
        <f>SUM(G45:G50)</f>
        <v>0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8"/>
      <c r="G52" s="18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0</v>
      </c>
      <c r="E53" s="18">
        <f>+E43+E51</f>
        <v>-1774388</v>
      </c>
      <c r="F53" s="18">
        <f>+F43+F51</f>
        <v>0</v>
      </c>
      <c r="G53" s="18">
        <f>+G43+G51</f>
        <v>43078364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8"/>
      <c r="G54" s="18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0</v>
      </c>
      <c r="E55" s="32">
        <f>IF(E53&gt;0,E53*(1-[1]Supuestos!$P$15),E53)</f>
        <v>-1774388</v>
      </c>
      <c r="F55" s="32">
        <f>IF(F53&gt;0,F53*(1-[1]Supuestos!$P$15),F53)</f>
        <v>0</v>
      </c>
      <c r="G55" s="32">
        <f>IF(G53&gt;0,G53*(1-[1]Supuestos!$P$15),G53)</f>
        <v>32739556.640000001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D6:E6"/>
    <mergeCell ref="F6:G6"/>
    <mergeCell ref="B57:H57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84"/>
  <sheetViews>
    <sheetView topLeftCell="A202" zoomScale="90" zoomScaleNormal="90" workbookViewId="0">
      <selection activeCell="G259" sqref="G259"/>
    </sheetView>
  </sheetViews>
  <sheetFormatPr baseColWidth="10" defaultRowHeight="15.75" customHeight="1" x14ac:dyDescent="0.2"/>
  <cols>
    <col min="1" max="1" width="2.25" style="63" customWidth="1"/>
    <col min="2" max="2" width="21.875" style="63" customWidth="1"/>
    <col min="3" max="3" width="11" style="63"/>
    <col min="4" max="4" width="15.25" style="64" customWidth="1"/>
    <col min="5" max="5" width="16.125" style="64" customWidth="1"/>
    <col min="6" max="6" width="14.25" style="63" customWidth="1"/>
    <col min="7" max="7" width="18.5" style="63" customWidth="1"/>
    <col min="8" max="8" width="11.25" style="63" bestFit="1" customWidth="1"/>
    <col min="9" max="16384" width="11" style="63"/>
  </cols>
  <sheetData>
    <row r="2" spans="2:7" ht="15.75" customHeight="1" x14ac:dyDescent="0.2">
      <c r="B2" s="62" t="s">
        <v>51</v>
      </c>
    </row>
    <row r="4" spans="2:7" ht="15.75" customHeight="1" x14ac:dyDescent="0.2">
      <c r="B4" s="438" t="s">
        <v>166</v>
      </c>
      <c r="C4" s="438"/>
      <c r="D4" s="438"/>
      <c r="E4" s="438"/>
      <c r="F4" s="438"/>
      <c r="G4" s="438"/>
    </row>
    <row r="5" spans="2:7" ht="15.75" customHeight="1" x14ac:dyDescent="0.2">
      <c r="B5" s="65" t="s">
        <v>52</v>
      </c>
      <c r="C5" s="65" t="str">
        <f>+Portada!$H$19</f>
        <v>Octubre de 2016</v>
      </c>
      <c r="D5" s="65"/>
      <c r="E5" s="65"/>
      <c r="F5" s="65"/>
      <c r="G5" s="65"/>
    </row>
    <row r="6" spans="2:7" ht="15.75" customHeight="1" thickBot="1" x14ac:dyDescent="0.25">
      <c r="B6" s="66"/>
      <c r="C6" s="67"/>
      <c r="D6" s="67"/>
      <c r="E6" s="67"/>
      <c r="F6" s="68"/>
      <c r="G6" s="68"/>
    </row>
    <row r="7" spans="2:7" ht="15.75" customHeight="1" thickBot="1" x14ac:dyDescent="0.25">
      <c r="B7" s="66"/>
      <c r="C7" s="67"/>
      <c r="D7" s="439" t="s">
        <v>48</v>
      </c>
      <c r="E7" s="440"/>
      <c r="F7" s="441" t="s">
        <v>53</v>
      </c>
      <c r="G7" s="442"/>
    </row>
    <row r="8" spans="2:7" ht="15.75" customHeight="1" thickBot="1" x14ac:dyDescent="0.25">
      <c r="B8" s="69" t="s">
        <v>66</v>
      </c>
      <c r="C8" s="70" t="s">
        <v>67</v>
      </c>
      <c r="D8" s="71" t="s">
        <v>49</v>
      </c>
      <c r="E8" s="72" t="s">
        <v>50</v>
      </c>
      <c r="F8" s="71" t="s">
        <v>49</v>
      </c>
      <c r="G8" s="72" t="s">
        <v>50</v>
      </c>
    </row>
    <row r="9" spans="2:7" ht="15.75" customHeight="1" x14ac:dyDescent="0.2">
      <c r="B9" s="73"/>
      <c r="C9" s="74"/>
      <c r="D9" s="75"/>
      <c r="E9" s="76"/>
      <c r="F9" s="75"/>
      <c r="G9" s="78"/>
    </row>
    <row r="10" spans="2:7" ht="15.75" customHeight="1" x14ac:dyDescent="0.2">
      <c r="B10" s="73" t="s">
        <v>68</v>
      </c>
      <c r="C10" s="74" t="s">
        <v>69</v>
      </c>
      <c r="D10" s="79"/>
      <c r="E10" s="78"/>
      <c r="F10" s="79"/>
      <c r="G10" s="77"/>
    </row>
    <row r="11" spans="2:7" ht="15.75" customHeight="1" x14ac:dyDescent="0.2">
      <c r="B11" s="73"/>
      <c r="C11" s="74"/>
      <c r="D11" s="75"/>
      <c r="E11" s="80"/>
      <c r="F11" s="75"/>
      <c r="G11" s="78"/>
    </row>
    <row r="12" spans="2:7" ht="15.75" customHeight="1" x14ac:dyDescent="0.2">
      <c r="B12" s="73" t="s">
        <v>70</v>
      </c>
      <c r="C12" s="74" t="s">
        <v>71</v>
      </c>
      <c r="D12" s="75">
        <f>+D14+D22</f>
        <v>-24598762</v>
      </c>
      <c r="E12" s="78">
        <f>+E14+E22</f>
        <v>-12720428</v>
      </c>
      <c r="F12" s="75">
        <f>+F14+F22</f>
        <v>-259957679</v>
      </c>
      <c r="G12" s="78">
        <f>+G14+G22</f>
        <v>-201751544</v>
      </c>
    </row>
    <row r="13" spans="2:7" ht="15.75" customHeight="1" x14ac:dyDescent="0.2">
      <c r="B13" s="73"/>
      <c r="C13" s="74"/>
      <c r="D13" s="75"/>
      <c r="E13" s="80"/>
      <c r="F13" s="75"/>
      <c r="G13" s="78"/>
    </row>
    <row r="14" spans="2:7" ht="15.75" customHeight="1" x14ac:dyDescent="0.2">
      <c r="B14" s="81" t="s">
        <v>72</v>
      </c>
      <c r="C14" s="82" t="s">
        <v>73</v>
      </c>
      <c r="D14" s="83">
        <f>+SUM(D15:D20)</f>
        <v>0</v>
      </c>
      <c r="E14" s="84">
        <f>+SUM(E15:E20)</f>
        <v>0</v>
      </c>
      <c r="F14" s="83">
        <f>+SUM(F15:F20)</f>
        <v>0</v>
      </c>
      <c r="G14" s="84">
        <f>+SUM(G15:G20)</f>
        <v>0</v>
      </c>
    </row>
    <row r="15" spans="2:7" ht="15.75" customHeight="1" x14ac:dyDescent="0.2">
      <c r="B15" s="85" t="s">
        <v>12</v>
      </c>
      <c r="C15" s="86" t="s">
        <v>74</v>
      </c>
      <c r="D15" s="87"/>
      <c r="E15" s="88"/>
      <c r="F15" s="87"/>
      <c r="G15" s="88"/>
    </row>
    <row r="16" spans="2:7" ht="15.75" customHeight="1" x14ac:dyDescent="0.2">
      <c r="B16" s="85" t="s">
        <v>75</v>
      </c>
      <c r="C16" s="86" t="s">
        <v>76</v>
      </c>
      <c r="D16" s="89"/>
      <c r="E16" s="90"/>
      <c r="F16" s="89"/>
      <c r="G16" s="90"/>
    </row>
    <row r="17" spans="2:7" ht="15.75" customHeight="1" x14ac:dyDescent="0.2">
      <c r="B17" s="85" t="s">
        <v>77</v>
      </c>
      <c r="C17" s="86" t="s">
        <v>78</v>
      </c>
      <c r="D17" s="89"/>
      <c r="E17" s="90"/>
      <c r="F17" s="89"/>
      <c r="G17" s="90"/>
    </row>
    <row r="18" spans="2:7" ht="15.75" customHeight="1" x14ac:dyDescent="0.2">
      <c r="B18" s="85" t="s">
        <v>79</v>
      </c>
      <c r="C18" s="86" t="s">
        <v>80</v>
      </c>
      <c r="D18" s="89"/>
      <c r="E18" s="90"/>
      <c r="F18" s="89"/>
      <c r="G18" s="90"/>
    </row>
    <row r="19" spans="2:7" ht="15.75" customHeight="1" x14ac:dyDescent="0.2">
      <c r="B19" s="85" t="s">
        <v>26</v>
      </c>
      <c r="C19" s="86" t="s">
        <v>81</v>
      </c>
      <c r="D19" s="89"/>
      <c r="E19" s="90"/>
      <c r="F19" s="89"/>
      <c r="G19" s="90"/>
    </row>
    <row r="20" spans="2:7" ht="15.75" customHeight="1" x14ac:dyDescent="0.2">
      <c r="B20" s="85" t="s">
        <v>82</v>
      </c>
      <c r="C20" s="86" t="s">
        <v>81</v>
      </c>
      <c r="D20" s="89"/>
      <c r="E20" s="90"/>
      <c r="F20" s="89"/>
      <c r="G20" s="90"/>
    </row>
    <row r="21" spans="2:7" ht="15.75" customHeight="1" x14ac:dyDescent="0.2">
      <c r="B21" s="73"/>
      <c r="C21" s="74"/>
      <c r="D21" s="75"/>
      <c r="E21" s="80"/>
      <c r="F21" s="75"/>
      <c r="G21" s="78"/>
    </row>
    <row r="22" spans="2:7" ht="15.75" customHeight="1" x14ac:dyDescent="0.2">
      <c r="B22" s="81" t="s">
        <v>83</v>
      </c>
      <c r="C22" s="82" t="s">
        <v>84</v>
      </c>
      <c r="D22" s="83">
        <f>+SUM(D23:D42)</f>
        <v>-24598762</v>
      </c>
      <c r="E22" s="84">
        <f>+SUM(E23:E43)</f>
        <v>-12720428</v>
      </c>
      <c r="F22" s="83">
        <f>+SUM(F23:F43)</f>
        <v>-259957679</v>
      </c>
      <c r="G22" s="84">
        <f>+SUM(G23:G43)</f>
        <v>-201751544</v>
      </c>
    </row>
    <row r="23" spans="2:7" ht="15.75" customHeight="1" x14ac:dyDescent="0.2">
      <c r="B23" s="85" t="s">
        <v>188</v>
      </c>
      <c r="C23" s="86" t="s">
        <v>187</v>
      </c>
      <c r="D23" s="91">
        <f>+octubre!D17</f>
        <v>-20681387</v>
      </c>
      <c r="E23" s="92">
        <f>+octubre!E17</f>
        <v>-19542171</v>
      </c>
      <c r="F23" s="91">
        <f>+octubre!F17</f>
        <v>-206905090</v>
      </c>
      <c r="G23" s="92">
        <f>+octubre!G17</f>
        <v>-206677008</v>
      </c>
    </row>
    <row r="24" spans="2:7" ht="15.75" customHeight="1" x14ac:dyDescent="0.2">
      <c r="B24" s="85" t="s">
        <v>190</v>
      </c>
      <c r="C24" s="86" t="s">
        <v>189</v>
      </c>
      <c r="D24" s="89">
        <f>+octubre!D18</f>
        <v>0</v>
      </c>
      <c r="E24" s="90">
        <f>+octubre!E18</f>
        <v>0</v>
      </c>
      <c r="F24" s="75">
        <f>+octubre!F18</f>
        <v>0</v>
      </c>
      <c r="G24" s="90">
        <f>+octubre!G18</f>
        <v>2184527</v>
      </c>
    </row>
    <row r="25" spans="2:7" ht="15.75" customHeight="1" x14ac:dyDescent="0.2">
      <c r="B25" s="85" t="s">
        <v>192</v>
      </c>
      <c r="C25" s="86" t="s">
        <v>191</v>
      </c>
      <c r="D25" s="75">
        <f>+octubre!D19</f>
        <v>0</v>
      </c>
      <c r="E25" s="78">
        <f>+octubre!E19</f>
        <v>0</v>
      </c>
      <c r="F25" s="75">
        <f>+octubre!F19</f>
        <v>0</v>
      </c>
      <c r="G25" s="78">
        <f>+octubre!G19</f>
        <v>0</v>
      </c>
    </row>
    <row r="26" spans="2:7" ht="15.75" customHeight="1" x14ac:dyDescent="0.2">
      <c r="B26" s="93" t="s">
        <v>194</v>
      </c>
      <c r="C26" s="86" t="s">
        <v>193</v>
      </c>
      <c r="D26" s="89">
        <f>+octubre!D20</f>
        <v>-100000</v>
      </c>
      <c r="E26" s="90">
        <f>+octubre!E20</f>
        <v>-60563</v>
      </c>
      <c r="F26" s="89">
        <f>+octubre!F20</f>
        <v>-1000000</v>
      </c>
      <c r="G26" s="90">
        <f>+octubre!G20</f>
        <v>-780159</v>
      </c>
    </row>
    <row r="27" spans="2:7" ht="15.75" customHeight="1" x14ac:dyDescent="0.2">
      <c r="B27" s="93" t="s">
        <v>196</v>
      </c>
      <c r="C27" s="86" t="s">
        <v>195</v>
      </c>
      <c r="D27" s="89">
        <f>+octubre!D21</f>
        <v>0</v>
      </c>
      <c r="E27" s="90">
        <f>+octubre!E21</f>
        <v>0</v>
      </c>
      <c r="F27" s="89">
        <f>+octubre!F21</f>
        <v>0</v>
      </c>
      <c r="G27" s="90">
        <f>+octubre!G21</f>
        <v>-673023</v>
      </c>
    </row>
    <row r="28" spans="2:7" ht="15.75" customHeight="1" x14ac:dyDescent="0.2">
      <c r="B28" s="93" t="s">
        <v>198</v>
      </c>
      <c r="C28" s="86" t="s">
        <v>197</v>
      </c>
      <c r="D28" s="89">
        <f>+octubre!D22</f>
        <v>-166999</v>
      </c>
      <c r="E28" s="94">
        <f>+octubre!E22</f>
        <v>-319440</v>
      </c>
      <c r="F28" s="89">
        <f>+octubre!F22</f>
        <v>-1649918</v>
      </c>
      <c r="G28" s="94">
        <f>+octubre!G22</f>
        <v>-1345810</v>
      </c>
    </row>
    <row r="29" spans="2:7" ht="15.75" customHeight="1" x14ac:dyDescent="0.2">
      <c r="B29" s="93" t="s">
        <v>200</v>
      </c>
      <c r="C29" s="86" t="s">
        <v>199</v>
      </c>
      <c r="D29" s="89">
        <f>+octubre!D23</f>
        <v>0</v>
      </c>
      <c r="E29" s="94">
        <f>+octubre!E23</f>
        <v>-154374</v>
      </c>
      <c r="F29" s="89">
        <f>+octubre!F23</f>
        <v>0</v>
      </c>
      <c r="G29" s="94">
        <f>+octubre!G23</f>
        <v>-695956</v>
      </c>
    </row>
    <row r="30" spans="2:7" ht="15.75" customHeight="1" x14ac:dyDescent="0.2">
      <c r="B30" s="93" t="s">
        <v>202</v>
      </c>
      <c r="C30" s="86" t="s">
        <v>201</v>
      </c>
      <c r="D30" s="89">
        <f>+octubre!D24</f>
        <v>-400000</v>
      </c>
      <c r="E30" s="90">
        <f>+octubre!E24</f>
        <v>-366253</v>
      </c>
      <c r="F30" s="89">
        <f>+octubre!F24</f>
        <v>-3800000</v>
      </c>
      <c r="G30" s="90">
        <f>+octubre!G24</f>
        <v>-2186086</v>
      </c>
    </row>
    <row r="31" spans="2:7" ht="15.75" customHeight="1" x14ac:dyDescent="0.2">
      <c r="B31" s="93" t="s">
        <v>204</v>
      </c>
      <c r="C31" s="86" t="s">
        <v>203</v>
      </c>
      <c r="D31" s="89">
        <f>+octubre!D25</f>
        <v>-250000</v>
      </c>
      <c r="E31" s="90">
        <f>+octubre!E25</f>
        <v>0</v>
      </c>
      <c r="F31" s="89">
        <f>+octubre!F25</f>
        <v>-1250000</v>
      </c>
      <c r="G31" s="90">
        <f>+octubre!G25</f>
        <v>-911319</v>
      </c>
    </row>
    <row r="32" spans="2:7" ht="15.75" customHeight="1" x14ac:dyDescent="0.2">
      <c r="B32" s="93" t="s">
        <v>206</v>
      </c>
      <c r="C32" s="86" t="s">
        <v>205</v>
      </c>
      <c r="D32" s="89">
        <f>+octubre!D26</f>
        <v>0</v>
      </c>
      <c r="E32" s="90">
        <f>+octubre!E26</f>
        <v>0</v>
      </c>
      <c r="F32" s="89">
        <f>+octubre!F26</f>
        <v>0</v>
      </c>
      <c r="G32" s="90">
        <f>+octubre!G26</f>
        <v>-1455743</v>
      </c>
    </row>
    <row r="33" spans="2:7" ht="15.75" customHeight="1" x14ac:dyDescent="0.2">
      <c r="B33" s="93" t="s">
        <v>208</v>
      </c>
      <c r="C33" s="86" t="s">
        <v>207</v>
      </c>
      <c r="D33" s="89">
        <f>+octubre!D27</f>
        <v>-2239997</v>
      </c>
      <c r="E33" s="90">
        <f>+octubre!E27</f>
        <v>963899</v>
      </c>
      <c r="F33" s="89">
        <f>+octubre!F27</f>
        <v>-22388022</v>
      </c>
      <c r="G33" s="90">
        <f>+octubre!G27</f>
        <v>12263830</v>
      </c>
    </row>
    <row r="34" spans="2:7" ht="15.75" customHeight="1" x14ac:dyDescent="0.2">
      <c r="B34" s="93" t="s">
        <v>210</v>
      </c>
      <c r="C34" s="86" t="s">
        <v>209</v>
      </c>
      <c r="D34" s="89">
        <f>+octubre!D28</f>
        <v>0</v>
      </c>
      <c r="E34" s="90">
        <f>+octubre!E28</f>
        <v>-262237</v>
      </c>
      <c r="F34" s="89">
        <f>+octubre!F28</f>
        <v>-10400000</v>
      </c>
      <c r="G34" s="90">
        <f>+octubre!G28</f>
        <v>-13468621</v>
      </c>
    </row>
    <row r="35" spans="2:7" ht="15.75" customHeight="1" x14ac:dyDescent="0.2">
      <c r="B35" s="93" t="s">
        <v>212</v>
      </c>
      <c r="C35" s="86" t="s">
        <v>211</v>
      </c>
      <c r="D35" s="89">
        <f>+octubre!D29</f>
        <v>-154422</v>
      </c>
      <c r="E35" s="90">
        <f>+octubre!E29</f>
        <v>-720736</v>
      </c>
      <c r="F35" s="89">
        <f>+octubre!F29</f>
        <v>-1544220</v>
      </c>
      <c r="G35" s="90">
        <f>+octubre!G29</f>
        <v>-4576355</v>
      </c>
    </row>
    <row r="36" spans="2:7" ht="15.75" customHeight="1" x14ac:dyDescent="0.2">
      <c r="B36" s="93" t="s">
        <v>214</v>
      </c>
      <c r="C36" s="86" t="s">
        <v>213</v>
      </c>
      <c r="D36" s="89">
        <f>+octubre!D31</f>
        <v>-135957</v>
      </c>
      <c r="E36" s="90">
        <f>+octubre!E30</f>
        <v>0</v>
      </c>
      <c r="F36" s="89">
        <f>+octubre!F30</f>
        <v>0</v>
      </c>
      <c r="G36" s="90">
        <f>+octubre!G30</f>
        <v>-60757</v>
      </c>
    </row>
    <row r="37" spans="2:7" ht="15.75" customHeight="1" x14ac:dyDescent="0.2">
      <c r="B37" s="93" t="s">
        <v>216</v>
      </c>
      <c r="C37" s="86" t="s">
        <v>215</v>
      </c>
      <c r="D37" s="89">
        <f>+octubre!D32</f>
        <v>0</v>
      </c>
      <c r="E37" s="90">
        <f>+octubre!E31</f>
        <v>-26224</v>
      </c>
      <c r="F37" s="89">
        <f>+octubre!F31</f>
        <v>-1342187</v>
      </c>
      <c r="G37" s="90">
        <f>+octubre!G31</f>
        <v>-3284812</v>
      </c>
    </row>
    <row r="38" spans="2:7" ht="15.75" customHeight="1" x14ac:dyDescent="0.2">
      <c r="B38" s="93" t="s">
        <v>218</v>
      </c>
      <c r="C38" s="86" t="s">
        <v>217</v>
      </c>
      <c r="D38" s="89">
        <f>+octubre!D33</f>
        <v>-30000</v>
      </c>
      <c r="E38" s="90">
        <f>+octubre!E32</f>
        <v>0</v>
      </c>
      <c r="F38" s="89">
        <f>+octubre!F32</f>
        <v>-2420000</v>
      </c>
      <c r="G38" s="90">
        <f>+octubre!G32</f>
        <v>-5863931</v>
      </c>
    </row>
    <row r="39" spans="2:7" ht="15.75" customHeight="1" x14ac:dyDescent="0.2">
      <c r="B39" s="93" t="s">
        <v>220</v>
      </c>
      <c r="C39" s="86" t="s">
        <v>219</v>
      </c>
      <c r="D39" s="89">
        <f>+octubre!D34</f>
        <v>0</v>
      </c>
      <c r="E39" s="90">
        <f>+octubre!E33</f>
        <v>0</v>
      </c>
      <c r="F39" s="89">
        <f>+octubre!F33</f>
        <v>-300000</v>
      </c>
      <c r="G39" s="90">
        <f>+octubre!G33</f>
        <v>-174600</v>
      </c>
    </row>
    <row r="40" spans="2:7" ht="15.75" customHeight="1" x14ac:dyDescent="0.2">
      <c r="B40" s="93" t="s">
        <v>222</v>
      </c>
      <c r="C40" s="86" t="s">
        <v>221</v>
      </c>
      <c r="D40" s="89">
        <f>+octubre!D35</f>
        <v>-220000</v>
      </c>
      <c r="E40" s="90">
        <f>+octubre!E34</f>
        <v>-464344</v>
      </c>
      <c r="F40" s="89">
        <f>+octubre!F34</f>
        <v>0</v>
      </c>
      <c r="G40" s="90">
        <f>+octubre!G34</f>
        <v>-1440064</v>
      </c>
    </row>
    <row r="41" spans="2:7" ht="15.75" customHeight="1" x14ac:dyDescent="0.2">
      <c r="B41" s="93" t="s">
        <v>224</v>
      </c>
      <c r="C41" s="86" t="s">
        <v>223</v>
      </c>
      <c r="D41" s="89">
        <f>+octubre!D36</f>
        <v>-220000</v>
      </c>
      <c r="E41" s="90">
        <f>+octubre!E35</f>
        <v>-1411060</v>
      </c>
      <c r="F41" s="89">
        <f>+octubre!F35</f>
        <v>-4338242</v>
      </c>
      <c r="G41" s="90">
        <f>+octubre!G35</f>
        <v>-5976535</v>
      </c>
    </row>
    <row r="42" spans="2:7" ht="15.75" customHeight="1" x14ac:dyDescent="0.2">
      <c r="B42" s="85" t="s">
        <v>226</v>
      </c>
      <c r="C42" s="86" t="s">
        <v>225</v>
      </c>
      <c r="D42" s="89">
        <f>+octubre!D37</f>
        <v>0</v>
      </c>
      <c r="E42" s="90">
        <f>+octubre!E36</f>
        <v>-85216</v>
      </c>
      <c r="F42" s="89">
        <f>+octubre!F36</f>
        <v>-2620000</v>
      </c>
      <c r="G42" s="90">
        <f>+octubre!G36</f>
        <v>-1191264</v>
      </c>
    </row>
    <row r="43" spans="2:7" ht="15.75" customHeight="1" x14ac:dyDescent="0.2">
      <c r="B43" s="85" t="s">
        <v>234</v>
      </c>
      <c r="C43" s="86"/>
      <c r="D43" s="89">
        <f>+octubre!D40</f>
        <v>0</v>
      </c>
      <c r="E43" s="89">
        <f>+octubre!E40</f>
        <v>9728291</v>
      </c>
      <c r="F43" s="89">
        <f>+octubre!F40</f>
        <v>0</v>
      </c>
      <c r="G43" s="89">
        <f>+octubre!G40</f>
        <v>34562142</v>
      </c>
    </row>
    <row r="44" spans="2:7" ht="15.75" customHeight="1" thickBot="1" x14ac:dyDescent="0.25">
      <c r="B44" s="95" t="s">
        <v>164</v>
      </c>
      <c r="C44" s="96"/>
      <c r="D44" s="97">
        <f>+D10+D12</f>
        <v>-24598762</v>
      </c>
      <c r="E44" s="98">
        <f>+E10+E12</f>
        <v>-12720428</v>
      </c>
      <c r="F44" s="97">
        <f>+F10+F12</f>
        <v>-259957679</v>
      </c>
      <c r="G44" s="98">
        <f>+G10+G12</f>
        <v>-201751544</v>
      </c>
    </row>
    <row r="47" spans="2:7" ht="15.75" customHeight="1" x14ac:dyDescent="0.2">
      <c r="B47" s="438" t="s">
        <v>165</v>
      </c>
      <c r="C47" s="438"/>
      <c r="D47" s="438"/>
      <c r="E47" s="438"/>
      <c r="F47" s="438"/>
      <c r="G47" s="438"/>
    </row>
    <row r="48" spans="2:7" ht="15.75" customHeight="1" x14ac:dyDescent="0.2">
      <c r="B48" s="65" t="s">
        <v>52</v>
      </c>
      <c r="C48" s="234" t="str">
        <f>+Portada!$H$19</f>
        <v>Octubre de 2016</v>
      </c>
      <c r="D48" s="65"/>
      <c r="E48" s="65"/>
      <c r="F48" s="65"/>
      <c r="G48" s="65"/>
    </row>
    <row r="49" spans="2:7" ht="15.75" customHeight="1" thickBot="1" x14ac:dyDescent="0.25">
      <c r="B49" s="66"/>
      <c r="C49" s="67"/>
      <c r="D49" s="67"/>
      <c r="E49" s="67"/>
      <c r="F49" s="68"/>
      <c r="G49" s="68"/>
    </row>
    <row r="50" spans="2:7" ht="15.75" customHeight="1" thickBot="1" x14ac:dyDescent="0.25">
      <c r="B50" s="66"/>
      <c r="C50" s="67"/>
      <c r="D50" s="439" t="s">
        <v>48</v>
      </c>
      <c r="E50" s="440"/>
      <c r="F50" s="441" t="s">
        <v>53</v>
      </c>
      <c r="G50" s="442"/>
    </row>
    <row r="51" spans="2:7" ht="15.75" customHeight="1" thickBot="1" x14ac:dyDescent="0.25">
      <c r="B51" s="69" t="s">
        <v>66</v>
      </c>
      <c r="C51" s="70" t="s">
        <v>67</v>
      </c>
      <c r="D51" s="71" t="s">
        <v>49</v>
      </c>
      <c r="E51" s="72" t="s">
        <v>50</v>
      </c>
      <c r="F51" s="71" t="s">
        <v>49</v>
      </c>
      <c r="G51" s="72" t="s">
        <v>50</v>
      </c>
    </row>
    <row r="52" spans="2:7" ht="15.75" customHeight="1" x14ac:dyDescent="0.2">
      <c r="B52" s="73"/>
      <c r="C52" s="74"/>
      <c r="D52" s="75"/>
      <c r="E52" s="76"/>
      <c r="F52" s="75"/>
      <c r="G52" s="78"/>
    </row>
    <row r="53" spans="2:7" ht="15.75" customHeight="1" x14ac:dyDescent="0.2">
      <c r="B53" s="73" t="s">
        <v>68</v>
      </c>
      <c r="C53" s="74" t="s">
        <v>69</v>
      </c>
      <c r="D53" s="79">
        <f>+octubre!D54</f>
        <v>0</v>
      </c>
      <c r="E53" s="79">
        <f>+octubre!E54</f>
        <v>0</v>
      </c>
      <c r="F53" s="79">
        <f>+octubre!F54</f>
        <v>28761233</v>
      </c>
      <c r="G53" s="79">
        <f>+octubre!G54</f>
        <v>0</v>
      </c>
    </row>
    <row r="54" spans="2:7" ht="15.75" customHeight="1" x14ac:dyDescent="0.2">
      <c r="B54" s="73"/>
      <c r="C54" s="74"/>
      <c r="D54" s="75"/>
      <c r="E54" s="80"/>
      <c r="F54" s="75"/>
      <c r="G54" s="78"/>
    </row>
    <row r="55" spans="2:7" ht="15.75" customHeight="1" x14ac:dyDescent="0.2">
      <c r="B55" s="73" t="s">
        <v>70</v>
      </c>
      <c r="C55" s="74" t="s">
        <v>71</v>
      </c>
      <c r="D55" s="75">
        <f>+D57+D65</f>
        <v>-20000</v>
      </c>
      <c r="E55" s="78">
        <f>+E57+E65</f>
        <v>0</v>
      </c>
      <c r="F55" s="75">
        <f>+F57+F65</f>
        <v>-27424575</v>
      </c>
      <c r="G55" s="78">
        <f>+G57+G65</f>
        <v>-3333304</v>
      </c>
    </row>
    <row r="56" spans="2:7" ht="15.75" customHeight="1" x14ac:dyDescent="0.2">
      <c r="B56" s="73"/>
      <c r="C56" s="74"/>
      <c r="D56" s="75"/>
      <c r="E56" s="80"/>
      <c r="F56" s="75"/>
      <c r="G56" s="78"/>
    </row>
    <row r="57" spans="2:7" ht="15.75" customHeight="1" x14ac:dyDescent="0.2">
      <c r="B57" s="81" t="s">
        <v>72</v>
      </c>
      <c r="C57" s="82" t="s">
        <v>73</v>
      </c>
      <c r="D57" s="83">
        <f>+SUM(D58:D63)</f>
        <v>0</v>
      </c>
      <c r="E57" s="84">
        <f>+SUM(E58:E63)</f>
        <v>0</v>
      </c>
      <c r="F57" s="83">
        <f>+SUM(F58:F63)</f>
        <v>-26146575</v>
      </c>
      <c r="G57" s="84">
        <f>+SUM(G58:G63)</f>
        <v>0</v>
      </c>
    </row>
    <row r="58" spans="2:7" ht="15.75" customHeight="1" x14ac:dyDescent="0.2">
      <c r="B58" s="85" t="s">
        <v>12</v>
      </c>
      <c r="C58" s="86" t="s">
        <v>74</v>
      </c>
      <c r="D58" s="87"/>
      <c r="E58" s="88"/>
      <c r="F58" s="87"/>
      <c r="G58" s="88"/>
    </row>
    <row r="59" spans="2:7" ht="15.75" customHeight="1" x14ac:dyDescent="0.2">
      <c r="B59" s="85" t="s">
        <v>75</v>
      </c>
      <c r="C59" s="86" t="s">
        <v>76</v>
      </c>
      <c r="D59" s="89"/>
      <c r="E59" s="90"/>
      <c r="F59" s="89"/>
      <c r="G59" s="90"/>
    </row>
    <row r="60" spans="2:7" ht="15.75" customHeight="1" x14ac:dyDescent="0.2">
      <c r="B60" s="85" t="s">
        <v>77</v>
      </c>
      <c r="C60" s="86" t="s">
        <v>78</v>
      </c>
      <c r="D60" s="89">
        <f>+octubre!D42</f>
        <v>0</v>
      </c>
      <c r="E60" s="89">
        <f>+octubre!E42</f>
        <v>0</v>
      </c>
      <c r="F60" s="89">
        <f>+octubre!F42</f>
        <v>-26146575</v>
      </c>
      <c r="G60" s="89">
        <f>+octubre!G42</f>
        <v>0</v>
      </c>
    </row>
    <row r="61" spans="2:7" ht="15.75" customHeight="1" x14ac:dyDescent="0.2">
      <c r="B61" s="85" t="s">
        <v>79</v>
      </c>
      <c r="C61" s="86" t="s">
        <v>80</v>
      </c>
      <c r="D61" s="89"/>
      <c r="E61" s="90"/>
      <c r="F61" s="89"/>
      <c r="G61" s="90"/>
    </row>
    <row r="62" spans="2:7" ht="15.75" customHeight="1" x14ac:dyDescent="0.2">
      <c r="B62" s="85" t="s">
        <v>26</v>
      </c>
      <c r="C62" s="86" t="s">
        <v>81</v>
      </c>
      <c r="D62" s="89"/>
      <c r="E62" s="90"/>
      <c r="F62" s="89"/>
      <c r="G62" s="90"/>
    </row>
    <row r="63" spans="2:7" ht="15.75" customHeight="1" x14ac:dyDescent="0.2">
      <c r="B63" s="85" t="s">
        <v>82</v>
      </c>
      <c r="C63" s="86" t="s">
        <v>81</v>
      </c>
      <c r="D63" s="89"/>
      <c r="E63" s="90"/>
      <c r="F63" s="89"/>
      <c r="G63" s="90"/>
    </row>
    <row r="64" spans="2:7" ht="15.75" customHeight="1" x14ac:dyDescent="0.2">
      <c r="B64" s="73"/>
      <c r="C64" s="74"/>
      <c r="D64" s="75"/>
      <c r="E64" s="80"/>
      <c r="F64" s="75"/>
      <c r="G64" s="78"/>
    </row>
    <row r="65" spans="2:7" ht="15.75" customHeight="1" x14ac:dyDescent="0.2">
      <c r="B65" s="81" t="s">
        <v>83</v>
      </c>
      <c r="C65" s="82" t="s">
        <v>84</v>
      </c>
      <c r="D65" s="83">
        <f>+SUM(D66:D76)</f>
        <v>-20000</v>
      </c>
      <c r="E65" s="84">
        <f>+SUM(E66:E76)</f>
        <v>0</v>
      </c>
      <c r="F65" s="83">
        <f>+SUM(F66:F76)</f>
        <v>-1278000</v>
      </c>
      <c r="G65" s="84">
        <f>+SUM(G66:G77)</f>
        <v>-3333304</v>
      </c>
    </row>
    <row r="66" spans="2:7" ht="15.75" customHeight="1" x14ac:dyDescent="0.2">
      <c r="B66" s="85"/>
      <c r="C66" s="86"/>
      <c r="D66" s="91">
        <f>+octubre!D42</f>
        <v>0</v>
      </c>
      <c r="E66" s="91">
        <f>+octubre!E42</f>
        <v>0</v>
      </c>
      <c r="F66" s="91">
        <v>0</v>
      </c>
      <c r="G66" s="91">
        <f>+octubre!G42</f>
        <v>0</v>
      </c>
    </row>
    <row r="67" spans="2:7" ht="15.75" customHeight="1" x14ac:dyDescent="0.2">
      <c r="B67" s="85" t="s">
        <v>192</v>
      </c>
      <c r="C67" s="86" t="s">
        <v>191</v>
      </c>
      <c r="D67" s="91">
        <f>+octubre!D43</f>
        <v>0</v>
      </c>
      <c r="E67" s="91">
        <f>+octubre!E43</f>
        <v>0</v>
      </c>
      <c r="F67" s="91">
        <f>+octubre!F43</f>
        <v>-200000</v>
      </c>
      <c r="G67" s="91">
        <f>+octubre!G43</f>
        <v>-133615</v>
      </c>
    </row>
    <row r="68" spans="2:7" ht="15.75" customHeight="1" x14ac:dyDescent="0.2">
      <c r="B68" s="85" t="s">
        <v>194</v>
      </c>
      <c r="C68" s="86" t="s">
        <v>193</v>
      </c>
      <c r="D68" s="91">
        <f>+octubre!D44</f>
        <v>0</v>
      </c>
      <c r="E68" s="91">
        <f>+octubre!E44</f>
        <v>0</v>
      </c>
      <c r="F68" s="91">
        <f>+octubre!F44</f>
        <v>0</v>
      </c>
      <c r="G68" s="91">
        <f>+octubre!G44</f>
        <v>-67263</v>
      </c>
    </row>
    <row r="69" spans="2:7" ht="15.75" customHeight="1" x14ac:dyDescent="0.2">
      <c r="B69" s="85" t="s">
        <v>295</v>
      </c>
      <c r="C69" s="86" t="s">
        <v>249</v>
      </c>
      <c r="D69" s="91">
        <f>+octubre!D45</f>
        <v>0</v>
      </c>
      <c r="E69" s="91">
        <f>+octubre!E45</f>
        <v>0</v>
      </c>
      <c r="F69" s="91">
        <f>+octubre!F45</f>
        <v>0</v>
      </c>
      <c r="G69" s="91">
        <f>+octubre!G45</f>
        <v>-45634</v>
      </c>
    </row>
    <row r="70" spans="2:7" ht="15.75" customHeight="1" x14ac:dyDescent="0.2">
      <c r="B70" s="93" t="s">
        <v>200</v>
      </c>
      <c r="C70" s="86" t="s">
        <v>199</v>
      </c>
      <c r="D70" s="91">
        <f>+octubre!D46</f>
        <v>0</v>
      </c>
      <c r="E70" s="91">
        <f>+octubre!E46</f>
        <v>0</v>
      </c>
      <c r="F70" s="91">
        <f>+octubre!F46</f>
        <v>0</v>
      </c>
      <c r="G70" s="91">
        <f>+octubre!G46</f>
        <v>-71100</v>
      </c>
    </row>
    <row r="71" spans="2:7" ht="15.75" customHeight="1" x14ac:dyDescent="0.2">
      <c r="B71" s="93" t="s">
        <v>202</v>
      </c>
      <c r="C71" s="86" t="s">
        <v>201</v>
      </c>
      <c r="D71" s="91">
        <f>+octubre!D47</f>
        <v>0</v>
      </c>
      <c r="E71" s="91">
        <f>+octubre!E47</f>
        <v>0</v>
      </c>
      <c r="F71" s="91">
        <f>+octubre!F47</f>
        <v>0</v>
      </c>
      <c r="G71" s="91">
        <f>+octubre!G47</f>
        <v>-82881</v>
      </c>
    </row>
    <row r="72" spans="2:7" ht="15.75" customHeight="1" x14ac:dyDescent="0.2">
      <c r="B72" s="93" t="s">
        <v>240</v>
      </c>
      <c r="C72" s="86" t="s">
        <v>239</v>
      </c>
      <c r="D72" s="91">
        <f>+octubre!D48</f>
        <v>0</v>
      </c>
      <c r="E72" s="91">
        <f>+octubre!E48</f>
        <v>0</v>
      </c>
      <c r="F72" s="91">
        <f>+octubre!F48</f>
        <v>-878000</v>
      </c>
      <c r="G72" s="91">
        <f>+octubre!G48</f>
        <v>-193160</v>
      </c>
    </row>
    <row r="73" spans="2:7" ht="15.75" customHeight="1" x14ac:dyDescent="0.2">
      <c r="B73" s="93" t="s">
        <v>210</v>
      </c>
      <c r="C73" s="86" t="s">
        <v>209</v>
      </c>
      <c r="D73" s="91">
        <f>+octubre!D49</f>
        <v>-15000</v>
      </c>
      <c r="E73" s="91">
        <f>+octubre!E49</f>
        <v>0</v>
      </c>
      <c r="F73" s="91">
        <f>+octubre!F49</f>
        <v>-150000</v>
      </c>
      <c r="G73" s="91">
        <f>+octubre!G49</f>
        <v>-255815</v>
      </c>
    </row>
    <row r="74" spans="2:7" ht="15.75" customHeight="1" x14ac:dyDescent="0.2">
      <c r="B74" s="93" t="s">
        <v>216</v>
      </c>
      <c r="C74" s="86" t="s">
        <v>215</v>
      </c>
      <c r="D74" s="91">
        <f>+octubre!D50</f>
        <v>0</v>
      </c>
      <c r="E74" s="91">
        <f>+octubre!E50</f>
        <v>0</v>
      </c>
      <c r="F74" s="91">
        <v>0</v>
      </c>
      <c r="G74" s="91">
        <f>+octubre!G50</f>
        <v>0</v>
      </c>
    </row>
    <row r="75" spans="2:7" ht="15.75" customHeight="1" x14ac:dyDescent="0.2">
      <c r="B75" s="93" t="s">
        <v>220</v>
      </c>
      <c r="C75" s="86" t="s">
        <v>219</v>
      </c>
      <c r="D75" s="91">
        <f>+octubre!D51</f>
        <v>0</v>
      </c>
      <c r="E75" s="91">
        <f>+octubre!E51</f>
        <v>0</v>
      </c>
      <c r="F75" s="91">
        <f>+octubre!F51</f>
        <v>0</v>
      </c>
      <c r="G75" s="91">
        <f>+octubre!G51</f>
        <v>0</v>
      </c>
    </row>
    <row r="76" spans="2:7" ht="15.75" customHeight="1" x14ac:dyDescent="0.2">
      <c r="B76" s="93" t="s">
        <v>226</v>
      </c>
      <c r="C76" s="86" t="s">
        <v>225</v>
      </c>
      <c r="D76" s="91">
        <f>+octubre!D52</f>
        <v>-5000</v>
      </c>
      <c r="E76" s="91">
        <f>+octubre!E52</f>
        <v>0</v>
      </c>
      <c r="F76" s="91">
        <f>+octubre!F52</f>
        <v>-50000</v>
      </c>
      <c r="G76" s="91">
        <f>+octubre!G52</f>
        <v>0</v>
      </c>
    </row>
    <row r="77" spans="2:7" ht="15.75" customHeight="1" x14ac:dyDescent="0.2">
      <c r="B77" s="93" t="s">
        <v>234</v>
      </c>
      <c r="C77" s="86" t="s">
        <v>233</v>
      </c>
      <c r="D77" s="89">
        <v>0</v>
      </c>
      <c r="E77" s="94">
        <v>0</v>
      </c>
      <c r="F77" s="89">
        <v>0</v>
      </c>
      <c r="G77" s="94">
        <f>+octubre!G53</f>
        <v>-2483836</v>
      </c>
    </row>
    <row r="78" spans="2:7" ht="15.75" customHeight="1" thickBot="1" x14ac:dyDescent="0.25">
      <c r="B78" s="95" t="s">
        <v>164</v>
      </c>
      <c r="C78" s="96"/>
      <c r="D78" s="97">
        <f>+D53+D55</f>
        <v>-20000</v>
      </c>
      <c r="E78" s="98">
        <f>+E53+E55</f>
        <v>0</v>
      </c>
      <c r="F78" s="97">
        <f>+F53+F55</f>
        <v>1336658</v>
      </c>
      <c r="G78" s="98">
        <f>+G53+G55</f>
        <v>-3333304</v>
      </c>
    </row>
    <row r="81" spans="2:7" ht="15.75" customHeight="1" x14ac:dyDescent="0.2">
      <c r="B81" s="438" t="s">
        <v>167</v>
      </c>
      <c r="C81" s="438"/>
      <c r="D81" s="438"/>
      <c r="E81" s="438"/>
      <c r="F81" s="438"/>
      <c r="G81" s="438"/>
    </row>
    <row r="82" spans="2:7" ht="15.75" customHeight="1" x14ac:dyDescent="0.2">
      <c r="B82" s="65" t="s">
        <v>52</v>
      </c>
      <c r="C82" s="234" t="str">
        <f>+Portada!$H$19</f>
        <v>Octubre de 2016</v>
      </c>
      <c r="D82" s="65"/>
      <c r="E82" s="65"/>
      <c r="F82" s="65"/>
      <c r="G82" s="65"/>
    </row>
    <row r="83" spans="2:7" ht="15.75" customHeight="1" thickBot="1" x14ac:dyDescent="0.25">
      <c r="B83" s="66"/>
      <c r="C83" s="67"/>
      <c r="D83" s="67"/>
      <c r="E83" s="67"/>
      <c r="F83" s="68"/>
      <c r="G83" s="68"/>
    </row>
    <row r="84" spans="2:7" ht="15.75" customHeight="1" thickBot="1" x14ac:dyDescent="0.25">
      <c r="B84" s="66"/>
      <c r="C84" s="67"/>
      <c r="D84" s="439" t="s">
        <v>48</v>
      </c>
      <c r="E84" s="440"/>
      <c r="F84" s="441" t="s">
        <v>53</v>
      </c>
      <c r="G84" s="442"/>
    </row>
    <row r="85" spans="2:7" ht="15.75" customHeight="1" thickBot="1" x14ac:dyDescent="0.25">
      <c r="B85" s="69" t="s">
        <v>66</v>
      </c>
      <c r="C85" s="70" t="s">
        <v>67</v>
      </c>
      <c r="D85" s="71" t="s">
        <v>49</v>
      </c>
      <c r="E85" s="72" t="s">
        <v>50</v>
      </c>
      <c r="F85" s="71" t="s">
        <v>49</v>
      </c>
      <c r="G85" s="72" t="s">
        <v>50</v>
      </c>
    </row>
    <row r="86" spans="2:7" ht="15.75" customHeight="1" x14ac:dyDescent="0.2">
      <c r="B86" s="73"/>
      <c r="C86" s="74"/>
      <c r="D86" s="75"/>
      <c r="E86" s="76"/>
      <c r="F86" s="75"/>
      <c r="G86" s="78"/>
    </row>
    <row r="87" spans="2:7" ht="15.75" customHeight="1" x14ac:dyDescent="0.2">
      <c r="B87" s="73" t="s">
        <v>68</v>
      </c>
      <c r="C87" s="74" t="s">
        <v>69</v>
      </c>
      <c r="D87" s="79"/>
      <c r="E87" s="78"/>
      <c r="F87" s="79"/>
      <c r="G87" s="77"/>
    </row>
    <row r="88" spans="2:7" ht="15.75" customHeight="1" x14ac:dyDescent="0.2">
      <c r="B88" s="73"/>
      <c r="C88" s="74"/>
      <c r="D88" s="75"/>
      <c r="E88" s="80"/>
      <c r="F88" s="75"/>
      <c r="G88" s="78"/>
    </row>
    <row r="89" spans="2:7" ht="15.75" customHeight="1" x14ac:dyDescent="0.2">
      <c r="B89" s="73" t="s">
        <v>70</v>
      </c>
      <c r="C89" s="74" t="s">
        <v>71</v>
      </c>
      <c r="D89" s="78">
        <f>+D91+D99</f>
        <v>-11038186</v>
      </c>
      <c r="E89" s="78">
        <f>+E91+E99</f>
        <v>-10741241</v>
      </c>
      <c r="F89" s="75">
        <f>+F91+F99</f>
        <v>-114296440</v>
      </c>
      <c r="G89" s="75">
        <f>+G91+G99</f>
        <v>-136295556</v>
      </c>
    </row>
    <row r="90" spans="2:7" ht="15.75" customHeight="1" x14ac:dyDescent="0.2">
      <c r="B90" s="73"/>
      <c r="C90" s="74"/>
      <c r="D90" s="75"/>
      <c r="E90" s="80"/>
      <c r="F90" s="75"/>
      <c r="G90" s="78"/>
    </row>
    <row r="91" spans="2:7" ht="15.75" customHeight="1" x14ac:dyDescent="0.2">
      <c r="B91" s="81" t="s">
        <v>72</v>
      </c>
      <c r="C91" s="82" t="s">
        <v>73</v>
      </c>
      <c r="D91" s="83">
        <f>+SUM(D92:D97)</f>
        <v>0</v>
      </c>
      <c r="E91" s="84">
        <f>+SUM(E92:E97)</f>
        <v>0</v>
      </c>
      <c r="F91" s="83">
        <f>+SUM(F92:F97)</f>
        <v>0</v>
      </c>
      <c r="G91" s="84">
        <f>+SUM(G92:G97)</f>
        <v>0</v>
      </c>
    </row>
    <row r="92" spans="2:7" ht="15.75" customHeight="1" x14ac:dyDescent="0.2">
      <c r="B92" s="85" t="s">
        <v>12</v>
      </c>
      <c r="C92" s="86" t="s">
        <v>74</v>
      </c>
      <c r="D92" s="87"/>
      <c r="E92" s="88"/>
      <c r="F92" s="87"/>
      <c r="G92" s="88"/>
    </row>
    <row r="93" spans="2:7" ht="15.75" customHeight="1" x14ac:dyDescent="0.2">
      <c r="B93" s="85" t="s">
        <v>75</v>
      </c>
      <c r="C93" s="86" t="s">
        <v>76</v>
      </c>
      <c r="D93" s="89"/>
      <c r="E93" s="90"/>
      <c r="F93" s="89"/>
      <c r="G93" s="90"/>
    </row>
    <row r="94" spans="2:7" ht="15.75" customHeight="1" x14ac:dyDescent="0.2">
      <c r="B94" s="85" t="s">
        <v>77</v>
      </c>
      <c r="C94" s="86" t="s">
        <v>78</v>
      </c>
      <c r="D94" s="89"/>
      <c r="E94" s="90"/>
      <c r="F94" s="89"/>
      <c r="G94" s="90"/>
    </row>
    <row r="95" spans="2:7" ht="15.75" customHeight="1" x14ac:dyDescent="0.2">
      <c r="B95" s="85" t="s">
        <v>79</v>
      </c>
      <c r="C95" s="86" t="s">
        <v>80</v>
      </c>
      <c r="D95" s="89"/>
      <c r="E95" s="90"/>
      <c r="F95" s="89"/>
      <c r="G95" s="90"/>
    </row>
    <row r="96" spans="2:7" ht="15.75" customHeight="1" x14ac:dyDescent="0.2">
      <c r="B96" s="85" t="s">
        <v>26</v>
      </c>
      <c r="C96" s="86" t="s">
        <v>81</v>
      </c>
      <c r="D96" s="89"/>
      <c r="E96" s="90"/>
      <c r="F96" s="89"/>
      <c r="G96" s="90"/>
    </row>
    <row r="97" spans="2:7" ht="15.75" customHeight="1" x14ac:dyDescent="0.2">
      <c r="B97" s="85" t="s">
        <v>82</v>
      </c>
      <c r="C97" s="86" t="s">
        <v>81</v>
      </c>
      <c r="D97" s="89"/>
      <c r="E97" s="90"/>
      <c r="F97" s="89"/>
      <c r="G97" s="90"/>
    </row>
    <row r="98" spans="2:7" ht="15.75" customHeight="1" x14ac:dyDescent="0.2">
      <c r="B98" s="73"/>
      <c r="C98" s="74"/>
      <c r="D98" s="75"/>
      <c r="E98" s="80"/>
      <c r="F98" s="75"/>
      <c r="G98" s="78"/>
    </row>
    <row r="99" spans="2:7" ht="15.75" customHeight="1" x14ac:dyDescent="0.2">
      <c r="B99" s="81" t="s">
        <v>83</v>
      </c>
      <c r="C99" s="82" t="s">
        <v>84</v>
      </c>
      <c r="D99" s="84">
        <f>+SUM(D100:D117)</f>
        <v>-11038186</v>
      </c>
      <c r="E99" s="84">
        <f>+SUM(E100:E117)</f>
        <v>-10741241</v>
      </c>
      <c r="F99" s="83">
        <f>+SUM(F100:F117)</f>
        <v>-114296440</v>
      </c>
      <c r="G99" s="83">
        <f>+SUM(G100:G117)</f>
        <v>-136295556</v>
      </c>
    </row>
    <row r="100" spans="2:7" ht="15.75" customHeight="1" x14ac:dyDescent="0.2">
      <c r="B100" s="85" t="s">
        <v>188</v>
      </c>
      <c r="C100" s="86" t="s">
        <v>187</v>
      </c>
      <c r="D100" s="89">
        <f>+octubre!D56</f>
        <v>-7406604</v>
      </c>
      <c r="E100" s="89">
        <f>+octubre!E56</f>
        <v>-6873538</v>
      </c>
      <c r="F100" s="89">
        <f>+octubre!F56</f>
        <v>-74378040</v>
      </c>
      <c r="G100" s="89">
        <f>+octubre!G56</f>
        <v>-111822333</v>
      </c>
    </row>
    <row r="101" spans="2:7" ht="15.75" customHeight="1" x14ac:dyDescent="0.2">
      <c r="B101" s="85" t="s">
        <v>190</v>
      </c>
      <c r="C101" s="86" t="s">
        <v>189</v>
      </c>
      <c r="D101" s="89">
        <f>+octubre!D57</f>
        <v>0</v>
      </c>
      <c r="E101" s="89">
        <f>+octubre!E57</f>
        <v>0</v>
      </c>
      <c r="F101" s="89">
        <f>+octubre!F57</f>
        <v>0</v>
      </c>
      <c r="G101" s="89">
        <f>+octubre!G57</f>
        <v>1432186</v>
      </c>
    </row>
    <row r="102" spans="2:7" ht="15.75" customHeight="1" x14ac:dyDescent="0.2">
      <c r="B102" s="93" t="s">
        <v>194</v>
      </c>
      <c r="C102" s="86" t="s">
        <v>193</v>
      </c>
      <c r="D102" s="89">
        <f>+octubre!D58</f>
        <v>-350000</v>
      </c>
      <c r="E102" s="89">
        <f>+octubre!E58</f>
        <v>-213490</v>
      </c>
      <c r="F102" s="89">
        <f>+octubre!F58</f>
        <v>-3500000</v>
      </c>
      <c r="G102" s="89">
        <f>+octubre!G58</f>
        <v>-3336920</v>
      </c>
    </row>
    <row r="103" spans="2:7" ht="15.75" customHeight="1" x14ac:dyDescent="0.2">
      <c r="B103" s="93" t="s">
        <v>198</v>
      </c>
      <c r="C103" s="86" t="s">
        <v>197</v>
      </c>
      <c r="D103" s="89">
        <f>+octubre!D59</f>
        <v>0</v>
      </c>
      <c r="E103" s="89">
        <f>+octubre!E59</f>
        <v>0</v>
      </c>
      <c r="F103" s="89">
        <f>+octubre!F59</f>
        <v>0</v>
      </c>
      <c r="G103" s="89">
        <f>+octubre!G59</f>
        <v>-97094</v>
      </c>
    </row>
    <row r="104" spans="2:7" ht="15.75" customHeight="1" x14ac:dyDescent="0.2">
      <c r="B104" s="93" t="s">
        <v>200</v>
      </c>
      <c r="C104" s="86" t="s">
        <v>199</v>
      </c>
      <c r="D104" s="89">
        <f>+octubre!D60</f>
        <v>-210000</v>
      </c>
      <c r="E104" s="89">
        <f>+octubre!E60</f>
        <v>-196941</v>
      </c>
      <c r="F104" s="89">
        <f>+octubre!F60</f>
        <v>-2100000</v>
      </c>
      <c r="G104" s="89">
        <f>+octubre!G60</f>
        <v>-1623481</v>
      </c>
    </row>
    <row r="105" spans="2:7" ht="15.75" customHeight="1" x14ac:dyDescent="0.2">
      <c r="B105" s="93" t="s">
        <v>202</v>
      </c>
      <c r="C105" s="86" t="s">
        <v>201</v>
      </c>
      <c r="D105" s="89">
        <f>+octubre!D61</f>
        <v>-1400000</v>
      </c>
      <c r="E105" s="89">
        <f>+octubre!E61</f>
        <v>-1711253</v>
      </c>
      <c r="F105" s="89">
        <f>+octubre!F61</f>
        <v>-14000000</v>
      </c>
      <c r="G105" s="89">
        <f>+octubre!G61</f>
        <v>-8528145</v>
      </c>
    </row>
    <row r="106" spans="2:7" ht="15.75" customHeight="1" x14ac:dyDescent="0.2">
      <c r="B106" s="93" t="s">
        <v>204</v>
      </c>
      <c r="C106" s="86" t="s">
        <v>203</v>
      </c>
      <c r="D106" s="89">
        <f>+octubre!D62</f>
        <v>-540000</v>
      </c>
      <c r="E106" s="89">
        <f>+octubre!E62</f>
        <v>-373993</v>
      </c>
      <c r="F106" s="89">
        <f>+octubre!F62</f>
        <v>-5400000</v>
      </c>
      <c r="G106" s="89">
        <f>+octubre!G62</f>
        <v>-2843586</v>
      </c>
    </row>
    <row r="107" spans="2:7" ht="15.75" customHeight="1" x14ac:dyDescent="0.2">
      <c r="B107" s="93" t="s">
        <v>206</v>
      </c>
      <c r="C107" s="86" t="s">
        <v>205</v>
      </c>
      <c r="D107" s="89">
        <f>+octubre!D63</f>
        <v>0</v>
      </c>
      <c r="E107" s="89">
        <f>+octubre!E63</f>
        <v>0</v>
      </c>
      <c r="F107" s="89">
        <f>+octubre!F63</f>
        <v>0</v>
      </c>
      <c r="G107" s="89">
        <f>+octubre!G63</f>
        <v>-135000</v>
      </c>
    </row>
    <row r="108" spans="2:7" ht="15.75" customHeight="1" x14ac:dyDescent="0.2">
      <c r="B108" s="93" t="s">
        <v>210</v>
      </c>
      <c r="C108" s="86" t="s">
        <v>209</v>
      </c>
      <c r="D108" s="89">
        <f>+octubre!D64</f>
        <v>-230000</v>
      </c>
      <c r="E108" s="89">
        <f>+octubre!E64</f>
        <v>-29500</v>
      </c>
      <c r="F108" s="89">
        <f>+octubre!F64</f>
        <v>-2300000</v>
      </c>
      <c r="G108" s="89">
        <f>+octubre!G64</f>
        <v>-671238</v>
      </c>
    </row>
    <row r="109" spans="2:7" ht="15.75" customHeight="1" x14ac:dyDescent="0.2">
      <c r="B109" s="93" t="s">
        <v>246</v>
      </c>
      <c r="C109" s="86" t="s">
        <v>245</v>
      </c>
      <c r="D109" s="89">
        <f>+octubre!D65</f>
        <v>0</v>
      </c>
      <c r="E109" s="89">
        <f>+octubre!E65</f>
        <v>-20853</v>
      </c>
      <c r="F109" s="89">
        <f>+octubre!F65</f>
        <v>0</v>
      </c>
      <c r="G109" s="89">
        <f>+octubre!G65</f>
        <v>-20853</v>
      </c>
    </row>
    <row r="110" spans="2:7" ht="15.75" customHeight="1" x14ac:dyDescent="0.2">
      <c r="B110" s="93" t="s">
        <v>248</v>
      </c>
      <c r="C110" s="86" t="s">
        <v>247</v>
      </c>
      <c r="D110" s="89">
        <f>+octubre!D66</f>
        <v>0</v>
      </c>
      <c r="E110" s="89">
        <f>+octubre!E66</f>
        <v>0</v>
      </c>
      <c r="F110" s="89">
        <f>+octubre!F66</f>
        <v>0</v>
      </c>
      <c r="G110" s="89">
        <f>+octubre!G66</f>
        <v>0</v>
      </c>
    </row>
    <row r="111" spans="2:7" ht="15.75" customHeight="1" x14ac:dyDescent="0.2">
      <c r="B111" s="93" t="s">
        <v>286</v>
      </c>
      <c r="C111" s="86" t="s">
        <v>285</v>
      </c>
      <c r="D111" s="89">
        <f>+octubre!D67</f>
        <v>0</v>
      </c>
      <c r="E111" s="89">
        <f>+octubre!E67</f>
        <v>0</v>
      </c>
      <c r="F111" s="89">
        <f>+octubre!F67</f>
        <v>0</v>
      </c>
      <c r="G111" s="89">
        <f>+octubre!G67</f>
        <v>0</v>
      </c>
    </row>
    <row r="112" spans="2:7" ht="15.75" customHeight="1" x14ac:dyDescent="0.2">
      <c r="B112" s="93" t="s">
        <v>212</v>
      </c>
      <c r="C112" s="86" t="s">
        <v>211</v>
      </c>
      <c r="D112" s="89">
        <f>+octubre!D68</f>
        <v>-137882</v>
      </c>
      <c r="E112" s="89">
        <f>+octubre!E68</f>
        <v>-56305</v>
      </c>
      <c r="F112" s="89">
        <f>+octubre!F68</f>
        <v>-1371400</v>
      </c>
      <c r="G112" s="89">
        <f>+octubre!G68</f>
        <v>-827551</v>
      </c>
    </row>
    <row r="113" spans="2:7" ht="15.75" customHeight="1" x14ac:dyDescent="0.2">
      <c r="B113" s="93" t="s">
        <v>214</v>
      </c>
      <c r="C113" s="86" t="s">
        <v>213</v>
      </c>
      <c r="D113" s="89">
        <f>+octubre!D69</f>
        <v>-53000</v>
      </c>
      <c r="E113" s="89">
        <f>+octubre!E69</f>
        <v>0</v>
      </c>
      <c r="F113" s="89">
        <f>+octubre!F69</f>
        <v>-530000</v>
      </c>
      <c r="G113" s="89">
        <f>+octubre!G69</f>
        <v>-7000</v>
      </c>
    </row>
    <row r="114" spans="2:7" ht="15.75" customHeight="1" x14ac:dyDescent="0.2">
      <c r="B114" s="93" t="s">
        <v>216</v>
      </c>
      <c r="C114" s="86" t="s">
        <v>215</v>
      </c>
      <c r="D114" s="89">
        <f>+octubre!D70</f>
        <v>-50000</v>
      </c>
      <c r="E114" s="89">
        <f>+octubre!E70</f>
        <v>0</v>
      </c>
      <c r="F114" s="89">
        <f>+octubre!F70</f>
        <v>-500000</v>
      </c>
      <c r="G114" s="89">
        <f>+octubre!G70</f>
        <v>-243577</v>
      </c>
    </row>
    <row r="115" spans="2:7" ht="15.75" customHeight="1" x14ac:dyDescent="0.2">
      <c r="B115" s="93" t="s">
        <v>222</v>
      </c>
      <c r="C115" s="86" t="s">
        <v>221</v>
      </c>
      <c r="D115" s="89">
        <f>+octubre!D71</f>
        <v>-455700</v>
      </c>
      <c r="E115" s="89">
        <f>+octubre!E71</f>
        <v>-1251190</v>
      </c>
      <c r="F115" s="89">
        <f>+octubre!F71</f>
        <v>-8167000</v>
      </c>
      <c r="G115" s="89">
        <f>+octubre!G71</f>
        <v>-7322439</v>
      </c>
    </row>
    <row r="116" spans="2:7" ht="15.75" customHeight="1" x14ac:dyDescent="0.2">
      <c r="B116" s="93" t="s">
        <v>224</v>
      </c>
      <c r="C116" s="86" t="s">
        <v>223</v>
      </c>
      <c r="D116" s="89">
        <f>+octubre!D72</f>
        <v>-140000</v>
      </c>
      <c r="E116" s="89">
        <f>+octubre!E72</f>
        <v>0</v>
      </c>
      <c r="F116" s="89">
        <f>+octubre!F72</f>
        <v>-1400000</v>
      </c>
      <c r="G116" s="89">
        <f>+octubre!G72</f>
        <v>0</v>
      </c>
    </row>
    <row r="117" spans="2:7" ht="15.75" customHeight="1" x14ac:dyDescent="0.2">
      <c r="B117" s="93" t="s">
        <v>226</v>
      </c>
      <c r="C117" s="86" t="s">
        <v>225</v>
      </c>
      <c r="D117" s="89">
        <f>+octubre!D73</f>
        <v>-65000</v>
      </c>
      <c r="E117" s="89">
        <f>+octubre!E73</f>
        <v>-14178</v>
      </c>
      <c r="F117" s="89">
        <f>+octubre!F73</f>
        <v>-650000</v>
      </c>
      <c r="G117" s="89">
        <f>+octubre!G73</f>
        <v>-248525</v>
      </c>
    </row>
    <row r="118" spans="2:7" ht="15.75" customHeight="1" thickBot="1" x14ac:dyDescent="0.25">
      <c r="B118" s="95" t="s">
        <v>164</v>
      </c>
      <c r="C118" s="96"/>
      <c r="D118" s="97">
        <f>+D87+D89</f>
        <v>-11038186</v>
      </c>
      <c r="E118" s="98">
        <f>+E87+E89</f>
        <v>-10741241</v>
      </c>
      <c r="F118" s="97">
        <f>+F87+F89</f>
        <v>-114296440</v>
      </c>
      <c r="G118" s="97">
        <f>+G87+G89</f>
        <v>-136295556</v>
      </c>
    </row>
    <row r="121" spans="2:7" ht="15.75" customHeight="1" x14ac:dyDescent="0.2">
      <c r="B121" s="438" t="s">
        <v>168</v>
      </c>
      <c r="C121" s="438"/>
      <c r="D121" s="438"/>
      <c r="E121" s="438"/>
      <c r="F121" s="438"/>
      <c r="G121" s="438"/>
    </row>
    <row r="122" spans="2:7" ht="15.75" customHeight="1" x14ac:dyDescent="0.2">
      <c r="B122" s="65" t="s">
        <v>52</v>
      </c>
      <c r="C122" s="234" t="str">
        <f>+Portada!$H$19</f>
        <v>Octubre de 2016</v>
      </c>
      <c r="D122" s="65"/>
      <c r="E122" s="65"/>
      <c r="F122" s="65"/>
      <c r="G122" s="65"/>
    </row>
    <row r="123" spans="2:7" ht="15.75" customHeight="1" thickBot="1" x14ac:dyDescent="0.25">
      <c r="B123" s="66"/>
      <c r="C123" s="67"/>
      <c r="D123" s="67"/>
      <c r="E123" s="67"/>
      <c r="F123" s="68"/>
      <c r="G123" s="68"/>
    </row>
    <row r="124" spans="2:7" ht="15.75" customHeight="1" thickBot="1" x14ac:dyDescent="0.25">
      <c r="B124" s="66"/>
      <c r="C124" s="67"/>
      <c r="D124" s="439" t="s">
        <v>48</v>
      </c>
      <c r="E124" s="440"/>
      <c r="F124" s="441" t="s">
        <v>53</v>
      </c>
      <c r="G124" s="442"/>
    </row>
    <row r="125" spans="2:7" ht="15.75" customHeight="1" thickBot="1" x14ac:dyDescent="0.25">
      <c r="B125" s="69" t="s">
        <v>66</v>
      </c>
      <c r="C125" s="70" t="s">
        <v>67</v>
      </c>
      <c r="D125" s="71" t="s">
        <v>49</v>
      </c>
      <c r="E125" s="72" t="s">
        <v>50</v>
      </c>
      <c r="F125" s="71" t="s">
        <v>49</v>
      </c>
      <c r="G125" s="72" t="s">
        <v>50</v>
      </c>
    </row>
    <row r="126" spans="2:7" ht="15.75" customHeight="1" x14ac:dyDescent="0.2">
      <c r="B126" s="73"/>
      <c r="C126" s="74"/>
      <c r="D126" s="75"/>
      <c r="E126" s="76"/>
      <c r="F126" s="75"/>
      <c r="G126" s="78"/>
    </row>
    <row r="127" spans="2:7" ht="15.75" customHeight="1" x14ac:dyDescent="0.2">
      <c r="B127" s="73" t="s">
        <v>68</v>
      </c>
      <c r="C127" s="74" t="s">
        <v>69</v>
      </c>
      <c r="D127" s="79"/>
      <c r="E127" s="78"/>
      <c r="F127" s="79"/>
      <c r="G127" s="77"/>
    </row>
    <row r="128" spans="2:7" ht="15.75" customHeight="1" x14ac:dyDescent="0.2">
      <c r="B128" s="73"/>
      <c r="C128" s="74"/>
      <c r="D128" s="75"/>
      <c r="E128" s="80"/>
      <c r="F128" s="75"/>
      <c r="G128" s="78"/>
    </row>
    <row r="129" spans="2:7" ht="15.75" customHeight="1" x14ac:dyDescent="0.2">
      <c r="B129" s="73" t="s">
        <v>70</v>
      </c>
      <c r="C129" s="74" t="s">
        <v>71</v>
      </c>
      <c r="D129" s="75">
        <f>+D131+D139</f>
        <v>-26715081</v>
      </c>
      <c r="E129" s="78">
        <f>+E131+E139</f>
        <v>-22894214</v>
      </c>
      <c r="F129" s="75">
        <f>+F131+F139</f>
        <v>-299187779</v>
      </c>
      <c r="G129" s="78">
        <f>+G131+G139</f>
        <v>-296169158</v>
      </c>
    </row>
    <row r="130" spans="2:7" ht="15.75" customHeight="1" x14ac:dyDescent="0.2">
      <c r="B130" s="73"/>
      <c r="C130" s="74"/>
      <c r="D130" s="75"/>
      <c r="E130" s="80"/>
      <c r="F130" s="75"/>
      <c r="G130" s="78"/>
    </row>
    <row r="131" spans="2:7" ht="15.75" customHeight="1" x14ac:dyDescent="0.2">
      <c r="B131" s="81" t="s">
        <v>72</v>
      </c>
      <c r="C131" s="82" t="s">
        <v>73</v>
      </c>
      <c r="D131" s="83">
        <f>+SUM(D132:D137)</f>
        <v>0</v>
      </c>
      <c r="E131" s="84">
        <f>+SUM(E132:E137)</f>
        <v>0</v>
      </c>
      <c r="F131" s="83">
        <f>+SUM(F132:F137)</f>
        <v>0</v>
      </c>
      <c r="G131" s="84">
        <f>+SUM(G132:G137)</f>
        <v>0</v>
      </c>
    </row>
    <row r="132" spans="2:7" ht="15.75" customHeight="1" x14ac:dyDescent="0.2">
      <c r="B132" s="85" t="s">
        <v>12</v>
      </c>
      <c r="C132" s="86" t="s">
        <v>74</v>
      </c>
      <c r="D132" s="87"/>
      <c r="E132" s="88"/>
      <c r="F132" s="87"/>
      <c r="G132" s="88"/>
    </row>
    <row r="133" spans="2:7" ht="15.75" customHeight="1" x14ac:dyDescent="0.2">
      <c r="B133" s="85" t="s">
        <v>75</v>
      </c>
      <c r="C133" s="86" t="s">
        <v>76</v>
      </c>
      <c r="D133" s="89"/>
      <c r="E133" s="90"/>
      <c r="F133" s="89"/>
      <c r="G133" s="90"/>
    </row>
    <row r="134" spans="2:7" ht="15.75" customHeight="1" x14ac:dyDescent="0.2">
      <c r="B134" s="85" t="s">
        <v>77</v>
      </c>
      <c r="C134" s="86" t="s">
        <v>78</v>
      </c>
      <c r="D134" s="89"/>
      <c r="E134" s="90"/>
      <c r="F134" s="89"/>
      <c r="G134" s="90"/>
    </row>
    <row r="135" spans="2:7" ht="15.75" customHeight="1" x14ac:dyDescent="0.2">
      <c r="B135" s="85" t="s">
        <v>79</v>
      </c>
      <c r="C135" s="86" t="s">
        <v>80</v>
      </c>
      <c r="D135" s="89"/>
      <c r="E135" s="90"/>
      <c r="F135" s="89"/>
      <c r="G135" s="90"/>
    </row>
    <row r="136" spans="2:7" ht="15.75" customHeight="1" x14ac:dyDescent="0.2">
      <c r="B136" s="85" t="s">
        <v>26</v>
      </c>
      <c r="C136" s="86" t="s">
        <v>81</v>
      </c>
      <c r="D136" s="89"/>
      <c r="E136" s="90"/>
      <c r="F136" s="89"/>
      <c r="G136" s="90"/>
    </row>
    <row r="137" spans="2:7" ht="15.75" customHeight="1" x14ac:dyDescent="0.2">
      <c r="B137" s="85" t="s">
        <v>82</v>
      </c>
      <c r="C137" s="86" t="s">
        <v>81</v>
      </c>
      <c r="D137" s="89"/>
      <c r="E137" s="90"/>
      <c r="F137" s="89"/>
      <c r="G137" s="90"/>
    </row>
    <row r="138" spans="2:7" ht="15.75" customHeight="1" x14ac:dyDescent="0.2">
      <c r="B138" s="73"/>
      <c r="C138" s="74"/>
      <c r="D138" s="75"/>
      <c r="E138" s="80"/>
      <c r="F138" s="75"/>
      <c r="G138" s="78"/>
    </row>
    <row r="139" spans="2:7" ht="15.75" customHeight="1" x14ac:dyDescent="0.2">
      <c r="B139" s="81" t="s">
        <v>83</v>
      </c>
      <c r="C139" s="82" t="s">
        <v>84</v>
      </c>
      <c r="D139" s="83">
        <f>+SUM(D140:D159)</f>
        <v>-26715081</v>
      </c>
      <c r="E139" s="84">
        <f>+SUM(E140:E159)</f>
        <v>-22894214</v>
      </c>
      <c r="F139" s="83">
        <f>+SUM(F140:F159)</f>
        <v>-299187779</v>
      </c>
      <c r="G139" s="84">
        <f>+SUM(G140:G159)</f>
        <v>-296169158</v>
      </c>
    </row>
    <row r="140" spans="2:7" ht="15.75" customHeight="1" x14ac:dyDescent="0.2">
      <c r="B140" s="85" t="s">
        <v>188</v>
      </c>
      <c r="C140" s="86" t="s">
        <v>85</v>
      </c>
      <c r="D140" s="89">
        <f>+octubre!D79</f>
        <v>-12096490</v>
      </c>
      <c r="E140" s="89">
        <f>+octubre!E79</f>
        <v>-9106611</v>
      </c>
      <c r="F140" s="89">
        <f>+octubre!F79</f>
        <v>-151629060</v>
      </c>
      <c r="G140" s="89">
        <f>+octubre!G79</f>
        <v>-158057227</v>
      </c>
    </row>
    <row r="141" spans="2:7" ht="15.75" customHeight="1" x14ac:dyDescent="0.2">
      <c r="B141" s="85" t="s">
        <v>190</v>
      </c>
      <c r="C141" s="86" t="s">
        <v>87</v>
      </c>
      <c r="D141" s="89">
        <f>+octubre!D80</f>
        <v>0</v>
      </c>
      <c r="E141" s="89">
        <f>+octubre!E80</f>
        <v>0</v>
      </c>
      <c r="F141" s="89">
        <f>+octubre!F80</f>
        <v>0</v>
      </c>
      <c r="G141" s="89">
        <f>+octubre!G80</f>
        <v>-2448056</v>
      </c>
    </row>
    <row r="142" spans="2:7" ht="15.75" customHeight="1" x14ac:dyDescent="0.2">
      <c r="B142" s="85" t="s">
        <v>196</v>
      </c>
      <c r="C142" s="86" t="s">
        <v>97</v>
      </c>
      <c r="D142" s="89">
        <f>+octubre!D81</f>
        <v>0</v>
      </c>
      <c r="E142" s="89">
        <f>+octubre!E81</f>
        <v>-2978957</v>
      </c>
      <c r="F142" s="89">
        <f>+octubre!F81</f>
        <v>0</v>
      </c>
      <c r="G142" s="89">
        <f>+octubre!G81</f>
        <v>-2978957</v>
      </c>
    </row>
    <row r="143" spans="2:7" ht="15.75" customHeight="1" x14ac:dyDescent="0.2">
      <c r="B143" s="93" t="s">
        <v>200</v>
      </c>
      <c r="C143" s="86" t="s">
        <v>107</v>
      </c>
      <c r="D143" s="89">
        <f>+octubre!D82</f>
        <v>-380100</v>
      </c>
      <c r="E143" s="89">
        <f>+octubre!E82</f>
        <v>-510554</v>
      </c>
      <c r="F143" s="89">
        <f>+octubre!F82</f>
        <v>-7505900</v>
      </c>
      <c r="G143" s="89">
        <f>+octubre!G82</f>
        <v>-5025511</v>
      </c>
    </row>
    <row r="144" spans="2:7" ht="15.75" customHeight="1" x14ac:dyDescent="0.2">
      <c r="B144" s="93" t="s">
        <v>202</v>
      </c>
      <c r="C144" s="86" t="s">
        <v>111</v>
      </c>
      <c r="D144" s="89">
        <f>+octubre!D83</f>
        <v>-664500</v>
      </c>
      <c r="E144" s="89">
        <f>+octubre!E83</f>
        <v>-892657</v>
      </c>
      <c r="F144" s="89">
        <f>+octubre!F83</f>
        <v>-7660000</v>
      </c>
      <c r="G144" s="89">
        <f>+octubre!G83</f>
        <v>-5105922</v>
      </c>
    </row>
    <row r="145" spans="2:7" ht="15.75" customHeight="1" x14ac:dyDescent="0.2">
      <c r="B145" s="93" t="s">
        <v>204</v>
      </c>
      <c r="C145" s="86" t="s">
        <v>115</v>
      </c>
      <c r="D145" s="89">
        <f>+octubre!D84</f>
        <v>-140000</v>
      </c>
      <c r="E145" s="89">
        <f>+octubre!E84</f>
        <v>-11600</v>
      </c>
      <c r="F145" s="89">
        <f>+octubre!F84</f>
        <v>-2564000</v>
      </c>
      <c r="G145" s="89">
        <f>+octubre!G84</f>
        <v>-3682394</v>
      </c>
    </row>
    <row r="146" spans="2:7" ht="15.75" customHeight="1" x14ac:dyDescent="0.2">
      <c r="B146" s="93" t="s">
        <v>206</v>
      </c>
      <c r="C146" s="86" t="s">
        <v>117</v>
      </c>
      <c r="D146" s="89">
        <f>+octubre!D85</f>
        <v>0</v>
      </c>
      <c r="E146" s="89">
        <f>+octubre!E85</f>
        <v>-229500</v>
      </c>
      <c r="F146" s="89">
        <f>+octubre!F85</f>
        <v>0</v>
      </c>
      <c r="G146" s="89">
        <f>+octubre!G85</f>
        <v>-229500</v>
      </c>
    </row>
    <row r="147" spans="2:7" ht="15.75" customHeight="1" x14ac:dyDescent="0.2">
      <c r="B147" s="93" t="s">
        <v>208</v>
      </c>
      <c r="C147" s="86" t="s">
        <v>121</v>
      </c>
      <c r="D147" s="89">
        <f>+octubre!D86</f>
        <v>0</v>
      </c>
      <c r="E147" s="89">
        <f>+octubre!E86</f>
        <v>-384000</v>
      </c>
      <c r="F147" s="89">
        <f>+octubre!F86</f>
        <v>-4172010</v>
      </c>
      <c r="G147" s="89">
        <f>+octubre!G86</f>
        <v>-8423026</v>
      </c>
    </row>
    <row r="148" spans="2:7" ht="15.75" customHeight="1" x14ac:dyDescent="0.2">
      <c r="B148" s="93" t="s">
        <v>252</v>
      </c>
      <c r="C148" s="86" t="s">
        <v>133</v>
      </c>
      <c r="D148" s="89">
        <f>+octubre!D87</f>
        <v>-443300</v>
      </c>
      <c r="E148" s="89">
        <f>+octubre!E87</f>
        <v>-154836</v>
      </c>
      <c r="F148" s="89">
        <f>+octubre!F87</f>
        <v>-11824200</v>
      </c>
      <c r="G148" s="89">
        <f>+octubre!G87</f>
        <v>-14458780</v>
      </c>
    </row>
    <row r="149" spans="2:7" ht="15.75" customHeight="1" x14ac:dyDescent="0.2">
      <c r="B149" s="93" t="s">
        <v>212</v>
      </c>
      <c r="C149" s="86" t="s">
        <v>137</v>
      </c>
      <c r="D149" s="89">
        <f>+octubre!D88</f>
        <v>-168552</v>
      </c>
      <c r="E149" s="89">
        <f>+octubre!E88</f>
        <v>-424947</v>
      </c>
      <c r="F149" s="89">
        <f>+octubre!F88</f>
        <v>-1683600</v>
      </c>
      <c r="G149" s="89">
        <f>+octubre!G88</f>
        <v>-3324236</v>
      </c>
    </row>
    <row r="150" spans="2:7" ht="15.75" customHeight="1" x14ac:dyDescent="0.2">
      <c r="B150" s="93" t="s">
        <v>254</v>
      </c>
      <c r="C150" s="86" t="s">
        <v>141</v>
      </c>
      <c r="D150" s="89">
        <f>+octubre!D89</f>
        <v>-2313905</v>
      </c>
      <c r="E150" s="89">
        <f>+octubre!E89</f>
        <v>-1644383</v>
      </c>
      <c r="F150" s="89">
        <f>+octubre!F89</f>
        <v>-33001945</v>
      </c>
      <c r="G150" s="89">
        <f>+octubre!G89</f>
        <v>-22514822</v>
      </c>
    </row>
    <row r="151" spans="2:7" ht="15.75" customHeight="1" x14ac:dyDescent="0.2">
      <c r="B151" s="93" t="s">
        <v>214</v>
      </c>
      <c r="C151" s="86" t="s">
        <v>143</v>
      </c>
      <c r="D151" s="89">
        <f>+octubre!D90</f>
        <v>-9500000</v>
      </c>
      <c r="E151" s="89">
        <f>+octubre!E90</f>
        <v>-4533849</v>
      </c>
      <c r="F151" s="89">
        <f>+octubre!F90</f>
        <v>-36750000</v>
      </c>
      <c r="G151" s="89">
        <f>+octubre!G90</f>
        <v>-31413568</v>
      </c>
    </row>
    <row r="152" spans="2:7" ht="15.75" customHeight="1" x14ac:dyDescent="0.2">
      <c r="B152" s="93" t="s">
        <v>216</v>
      </c>
      <c r="C152" s="86" t="s">
        <v>145</v>
      </c>
      <c r="D152" s="89">
        <f>+octubre!D91</f>
        <v>-450699</v>
      </c>
      <c r="E152" s="89">
        <f>+octubre!E91</f>
        <v>-376306</v>
      </c>
      <c r="F152" s="89">
        <f>+octubre!F91</f>
        <v>-6294359</v>
      </c>
      <c r="G152" s="89">
        <f>+octubre!G91</f>
        <v>-7511795</v>
      </c>
    </row>
    <row r="153" spans="2:7" ht="15.75" customHeight="1" x14ac:dyDescent="0.2">
      <c r="B153" s="93" t="s">
        <v>218</v>
      </c>
      <c r="C153" s="86" t="s">
        <v>149</v>
      </c>
      <c r="D153" s="89">
        <f>+octubre!D92</f>
        <v>0</v>
      </c>
      <c r="E153" s="89">
        <f>+octubre!E92</f>
        <v>0</v>
      </c>
      <c r="F153" s="89">
        <f>+octubre!F92</f>
        <v>-17320000</v>
      </c>
      <c r="G153" s="89">
        <f>+octubre!G92</f>
        <v>-16136631</v>
      </c>
    </row>
    <row r="154" spans="2:7" ht="15.75" customHeight="1" x14ac:dyDescent="0.2">
      <c r="B154" s="93" t="s">
        <v>256</v>
      </c>
      <c r="C154" s="86" t="s">
        <v>151</v>
      </c>
      <c r="D154" s="89">
        <f>+octubre!D93</f>
        <v>-80000</v>
      </c>
      <c r="E154" s="89">
        <f>+octubre!E93</f>
        <v>-229963</v>
      </c>
      <c r="F154" s="89">
        <f>+octubre!F93</f>
        <v>-4968000</v>
      </c>
      <c r="G154" s="89">
        <f>+octubre!G93</f>
        <v>-4465009</v>
      </c>
    </row>
    <row r="155" spans="2:7" ht="15.75" customHeight="1" x14ac:dyDescent="0.2">
      <c r="B155" s="93" t="s">
        <v>220</v>
      </c>
      <c r="C155" s="86" t="s">
        <v>115</v>
      </c>
      <c r="D155" s="89">
        <f>+octubre!D94</f>
        <v>-150000</v>
      </c>
      <c r="E155" s="89">
        <f>+octubre!E94</f>
        <v>-467075</v>
      </c>
      <c r="F155" s="89">
        <f>+octubre!F94</f>
        <v>-2940000</v>
      </c>
      <c r="G155" s="89">
        <f>+octubre!G94</f>
        <v>-3194611</v>
      </c>
    </row>
    <row r="156" spans="2:7" ht="15.75" customHeight="1" x14ac:dyDescent="0.2">
      <c r="B156" s="93" t="s">
        <v>222</v>
      </c>
      <c r="C156" s="86" t="s">
        <v>154</v>
      </c>
      <c r="D156" s="89">
        <f>+octubre!D95</f>
        <v>0</v>
      </c>
      <c r="E156" s="89">
        <f>+octubre!E95</f>
        <v>-245000</v>
      </c>
      <c r="F156" s="89">
        <f>+octubre!F95</f>
        <v>0</v>
      </c>
      <c r="G156" s="89">
        <f>+octubre!G95</f>
        <v>-245000</v>
      </c>
    </row>
    <row r="157" spans="2:7" ht="15.75" customHeight="1" x14ac:dyDescent="0.2">
      <c r="B157" s="93" t="s">
        <v>224</v>
      </c>
      <c r="C157" s="86" t="s">
        <v>145</v>
      </c>
      <c r="D157" s="89">
        <f>+octubre!D96</f>
        <v>-247535</v>
      </c>
      <c r="E157" s="89">
        <f>+octubre!E96</f>
        <v>-688126</v>
      </c>
      <c r="F157" s="89">
        <f>+octubre!F96</f>
        <v>-9523705</v>
      </c>
      <c r="G157" s="89">
        <f>+octubre!G96</f>
        <v>-6749694</v>
      </c>
    </row>
    <row r="158" spans="2:7" ht="15.75" customHeight="1" x14ac:dyDescent="0.2">
      <c r="B158" s="93" t="s">
        <v>226</v>
      </c>
      <c r="C158" s="86" t="s">
        <v>162</v>
      </c>
      <c r="D158" s="89">
        <f>+octubre!D97</f>
        <v>-80000</v>
      </c>
      <c r="E158" s="89">
        <f>+octubre!E97</f>
        <v>-15850</v>
      </c>
      <c r="F158" s="89">
        <f>+octubre!F97</f>
        <v>-1351000</v>
      </c>
      <c r="G158" s="89">
        <f>+octubre!G97</f>
        <v>-204419</v>
      </c>
    </row>
    <row r="159" spans="2:7" ht="15.75" customHeight="1" x14ac:dyDescent="0.2">
      <c r="B159" s="93"/>
      <c r="C159" s="86"/>
      <c r="D159" s="89">
        <f>+octubre!D98</f>
        <v>0</v>
      </c>
      <c r="E159" s="89">
        <f>+octubre!E98</f>
        <v>0</v>
      </c>
      <c r="F159" s="89">
        <f>+octubre!F98</f>
        <v>0</v>
      </c>
      <c r="G159" s="89">
        <f>+octubre!G98</f>
        <v>0</v>
      </c>
    </row>
    <row r="160" spans="2:7" ht="15.75" customHeight="1" thickBot="1" x14ac:dyDescent="0.25">
      <c r="B160" s="95" t="s">
        <v>164</v>
      </c>
      <c r="C160" s="96"/>
      <c r="D160" s="97">
        <f>+D127+D129</f>
        <v>-26715081</v>
      </c>
      <c r="E160" s="98">
        <f>+E127+E129</f>
        <v>-22894214</v>
      </c>
      <c r="F160" s="97">
        <f>+F127+F129</f>
        <v>-299187779</v>
      </c>
      <c r="G160" s="98">
        <f>+G127+G129</f>
        <v>-296169158</v>
      </c>
    </row>
    <row r="163" spans="2:7" ht="15.75" customHeight="1" x14ac:dyDescent="0.2">
      <c r="B163" s="438" t="s">
        <v>169</v>
      </c>
      <c r="C163" s="438"/>
      <c r="D163" s="438"/>
      <c r="E163" s="438"/>
      <c r="F163" s="438"/>
      <c r="G163" s="438"/>
    </row>
    <row r="164" spans="2:7" ht="15.75" customHeight="1" x14ac:dyDescent="0.2">
      <c r="B164" s="65" t="s">
        <v>52</v>
      </c>
      <c r="C164" s="234" t="str">
        <f>+Portada!$H$19</f>
        <v>Octubre de 2016</v>
      </c>
      <c r="D164" s="65"/>
      <c r="E164" s="65"/>
      <c r="F164" s="65"/>
      <c r="G164" s="65"/>
    </row>
    <row r="165" spans="2:7" ht="15.75" customHeight="1" thickBot="1" x14ac:dyDescent="0.25">
      <c r="B165" s="66"/>
      <c r="C165" s="67"/>
      <c r="D165" s="67"/>
      <c r="E165" s="67"/>
      <c r="F165" s="68"/>
      <c r="G165" s="68"/>
    </row>
    <row r="166" spans="2:7" ht="15.75" customHeight="1" thickBot="1" x14ac:dyDescent="0.25">
      <c r="B166" s="66"/>
      <c r="C166" s="67"/>
      <c r="D166" s="439" t="s">
        <v>48</v>
      </c>
      <c r="E166" s="440"/>
      <c r="F166" s="441" t="s">
        <v>53</v>
      </c>
      <c r="G166" s="442"/>
    </row>
    <row r="167" spans="2:7" ht="15.75" customHeight="1" thickBot="1" x14ac:dyDescent="0.25">
      <c r="B167" s="69" t="s">
        <v>66</v>
      </c>
      <c r="C167" s="70" t="s">
        <v>67</v>
      </c>
      <c r="D167" s="71" t="s">
        <v>49</v>
      </c>
      <c r="E167" s="72" t="s">
        <v>50</v>
      </c>
      <c r="F167" s="71" t="s">
        <v>49</v>
      </c>
      <c r="G167" s="72" t="s">
        <v>50</v>
      </c>
    </row>
    <row r="168" spans="2:7" ht="15.75" customHeight="1" x14ac:dyDescent="0.2">
      <c r="B168" s="73"/>
      <c r="C168" s="74"/>
      <c r="D168" s="75"/>
      <c r="E168" s="76"/>
      <c r="F168" s="75"/>
      <c r="G168" s="78"/>
    </row>
    <row r="169" spans="2:7" ht="15.75" customHeight="1" x14ac:dyDescent="0.2">
      <c r="B169" s="73" t="s">
        <v>68</v>
      </c>
      <c r="C169" s="74" t="s">
        <v>69</v>
      </c>
      <c r="D169" s="78">
        <f>+octubre!D129+octubre!D130</f>
        <v>0</v>
      </c>
      <c r="E169" s="78">
        <f>+octubre!E129+octubre!E130</f>
        <v>0</v>
      </c>
      <c r="F169" s="78">
        <f>+octubre!F129+octubre!F130</f>
        <v>171275000</v>
      </c>
      <c r="G169" s="78">
        <f>+octubre!G129+octubre!G130</f>
        <v>88672008</v>
      </c>
    </row>
    <row r="170" spans="2:7" ht="15.75" customHeight="1" x14ac:dyDescent="0.2">
      <c r="B170" s="73"/>
      <c r="C170" s="74"/>
      <c r="D170" s="75"/>
      <c r="E170" s="80"/>
      <c r="F170" s="75"/>
      <c r="G170" s="78"/>
    </row>
    <row r="171" spans="2:7" ht="15.75" customHeight="1" x14ac:dyDescent="0.2">
      <c r="B171" s="73" t="s">
        <v>70</v>
      </c>
      <c r="C171" s="74" t="s">
        <v>71</v>
      </c>
      <c r="D171" s="75">
        <f>+D173+D181</f>
        <v>-3587197</v>
      </c>
      <c r="E171" s="78">
        <f>+E173+E181</f>
        <v>-2875458</v>
      </c>
      <c r="F171" s="75">
        <f>+F173+F181</f>
        <v>-130521339</v>
      </c>
      <c r="G171" s="78">
        <f>+G173+G181</f>
        <v>-139167036</v>
      </c>
    </row>
    <row r="172" spans="2:7" ht="15.75" customHeight="1" x14ac:dyDescent="0.2">
      <c r="B172" s="73"/>
      <c r="C172" s="74"/>
      <c r="D172" s="75"/>
      <c r="E172" s="80"/>
      <c r="F172" s="75"/>
      <c r="G172" s="78"/>
    </row>
    <row r="173" spans="2:7" ht="15.75" customHeight="1" x14ac:dyDescent="0.2">
      <c r="B173" s="81" t="s">
        <v>72</v>
      </c>
      <c r="C173" s="82" t="s">
        <v>73</v>
      </c>
      <c r="D173" s="83">
        <f>+SUM(D174:D179)</f>
        <v>-1371399</v>
      </c>
      <c r="E173" s="84">
        <f>+SUM(E174:E179)</f>
        <v>0</v>
      </c>
      <c r="F173" s="83">
        <f>+SUM(F174:F179)</f>
        <v>-97336000</v>
      </c>
      <c r="G173" s="84">
        <f>+SUM(G174:G179)</f>
        <v>-107482405</v>
      </c>
    </row>
    <row r="174" spans="2:7" ht="15.75" customHeight="1" x14ac:dyDescent="0.2">
      <c r="B174" s="85" t="s">
        <v>12</v>
      </c>
      <c r="C174" s="86" t="s">
        <v>74</v>
      </c>
      <c r="D174" s="104">
        <f>+octubre!D104</f>
        <v>-1371399</v>
      </c>
      <c r="E174" s="104">
        <f>+octubre!E104</f>
        <v>0</v>
      </c>
      <c r="F174" s="104">
        <f>+octubre!F104</f>
        <v>-97336000</v>
      </c>
      <c r="G174" s="104">
        <f>+octubre!G104</f>
        <v>-107482405</v>
      </c>
    </row>
    <row r="175" spans="2:7" ht="15.75" customHeight="1" x14ac:dyDescent="0.2">
      <c r="B175" s="85" t="s">
        <v>75</v>
      </c>
      <c r="C175" s="86" t="s">
        <v>76</v>
      </c>
      <c r="D175" s="104"/>
      <c r="E175" s="105"/>
      <c r="F175" s="87"/>
      <c r="G175" s="105"/>
    </row>
    <row r="176" spans="2:7" ht="15.75" customHeight="1" x14ac:dyDescent="0.2">
      <c r="B176" s="85" t="s">
        <v>77</v>
      </c>
      <c r="C176" s="86" t="s">
        <v>78</v>
      </c>
      <c r="D176" s="104"/>
      <c r="E176" s="105"/>
      <c r="F176" s="87"/>
      <c r="G176" s="105"/>
    </row>
    <row r="177" spans="2:7" ht="15.75" customHeight="1" x14ac:dyDescent="0.2">
      <c r="B177" s="85" t="s">
        <v>79</v>
      </c>
      <c r="C177" s="86" t="s">
        <v>80</v>
      </c>
      <c r="D177" s="104"/>
      <c r="E177" s="105"/>
      <c r="F177" s="87"/>
      <c r="G177" s="105"/>
    </row>
    <row r="178" spans="2:7" ht="15.75" customHeight="1" x14ac:dyDescent="0.2">
      <c r="B178" s="85" t="s">
        <v>26</v>
      </c>
      <c r="C178" s="86" t="s">
        <v>81</v>
      </c>
      <c r="D178" s="104"/>
      <c r="E178" s="105"/>
      <c r="F178" s="87"/>
      <c r="G178" s="105"/>
    </row>
    <row r="179" spans="2:7" ht="15.75" customHeight="1" x14ac:dyDescent="0.2">
      <c r="B179" s="85" t="s">
        <v>82</v>
      </c>
      <c r="C179" s="86" t="s">
        <v>81</v>
      </c>
      <c r="D179" s="104"/>
      <c r="E179" s="105"/>
      <c r="F179" s="87"/>
      <c r="G179" s="105"/>
    </row>
    <row r="180" spans="2:7" ht="15.75" customHeight="1" x14ac:dyDescent="0.2">
      <c r="B180" s="73"/>
      <c r="C180" s="74"/>
      <c r="D180" s="75"/>
      <c r="E180" s="80"/>
      <c r="F180" s="75"/>
      <c r="G180" s="105"/>
    </row>
    <row r="181" spans="2:7" ht="15.75" customHeight="1" x14ac:dyDescent="0.2">
      <c r="B181" s="81" t="s">
        <v>83</v>
      </c>
      <c r="C181" s="82" t="s">
        <v>84</v>
      </c>
      <c r="D181" s="83">
        <f>+SUM(D182:D203)</f>
        <v>-2215798</v>
      </c>
      <c r="E181" s="84">
        <f>+SUM(E182:E203)</f>
        <v>-2875458</v>
      </c>
      <c r="F181" s="83">
        <f>+SUM(F182:F203)</f>
        <v>-33185339</v>
      </c>
      <c r="G181" s="84">
        <f>+SUM(G182:G204)</f>
        <v>-31684631</v>
      </c>
    </row>
    <row r="182" spans="2:7" ht="15.75" customHeight="1" x14ac:dyDescent="0.2">
      <c r="B182" s="85" t="s">
        <v>188</v>
      </c>
      <c r="C182" s="86" t="s">
        <v>187</v>
      </c>
      <c r="D182" s="91">
        <f>+octubre!D105</f>
        <v>0</v>
      </c>
      <c r="E182" s="91">
        <f>+octubre!E105</f>
        <v>-1981146</v>
      </c>
      <c r="F182" s="91">
        <f>+octubre!F105</f>
        <v>-13471943</v>
      </c>
      <c r="G182" s="91">
        <f>+octubre!G105</f>
        <v>-17825028</v>
      </c>
    </row>
    <row r="183" spans="2:7" ht="15.75" customHeight="1" x14ac:dyDescent="0.2">
      <c r="B183" s="85" t="s">
        <v>190</v>
      </c>
      <c r="C183" s="86" t="s">
        <v>189</v>
      </c>
      <c r="D183" s="91">
        <f>+octubre!D106</f>
        <v>0</v>
      </c>
      <c r="E183" s="91">
        <f>+octubre!E106</f>
        <v>0</v>
      </c>
      <c r="F183" s="91">
        <f>+octubre!F106</f>
        <v>0</v>
      </c>
      <c r="G183" s="91">
        <f>+octubre!G106</f>
        <v>2598700</v>
      </c>
    </row>
    <row r="184" spans="2:7" ht="15.75" customHeight="1" x14ac:dyDescent="0.2">
      <c r="B184" s="85" t="s">
        <v>244</v>
      </c>
      <c r="C184" s="86" t="s">
        <v>243</v>
      </c>
      <c r="D184" s="91">
        <f>+octubre!D107</f>
        <v>-630000</v>
      </c>
      <c r="E184" s="91">
        <f>+octubre!E107</f>
        <v>0</v>
      </c>
      <c r="F184" s="91">
        <f>+octubre!F107</f>
        <v>-1400000</v>
      </c>
      <c r="G184" s="91">
        <f>+octubre!G107</f>
        <v>-2439101</v>
      </c>
    </row>
    <row r="185" spans="2:7" ht="15.75" customHeight="1" x14ac:dyDescent="0.2">
      <c r="B185" s="93" t="s">
        <v>192</v>
      </c>
      <c r="C185" s="86" t="s">
        <v>191</v>
      </c>
      <c r="D185" s="91">
        <f>+octubre!D108</f>
        <v>-18099</v>
      </c>
      <c r="E185" s="91">
        <f>+octubre!E108</f>
        <v>0</v>
      </c>
      <c r="F185" s="91">
        <f>+octubre!F108</f>
        <v>-4200000</v>
      </c>
      <c r="G185" s="91">
        <f>+octubre!G108</f>
        <v>-3351400</v>
      </c>
    </row>
    <row r="186" spans="2:7" ht="15.75" customHeight="1" x14ac:dyDescent="0.2">
      <c r="B186" s="93" t="s">
        <v>194</v>
      </c>
      <c r="C186" s="86" t="s">
        <v>193</v>
      </c>
      <c r="D186" s="91">
        <f>+octubre!D109</f>
        <v>0</v>
      </c>
      <c r="E186" s="91">
        <f>+octubre!E109</f>
        <v>-2870</v>
      </c>
      <c r="F186" s="91">
        <f>+octubre!F109</f>
        <v>-72396</v>
      </c>
      <c r="G186" s="91">
        <f>+octubre!G109</f>
        <v>-38989</v>
      </c>
    </row>
    <row r="187" spans="2:7" ht="15.75" customHeight="1" x14ac:dyDescent="0.2">
      <c r="B187" s="93" t="s">
        <v>196</v>
      </c>
      <c r="C187" s="86" t="s">
        <v>195</v>
      </c>
      <c r="D187" s="91">
        <f>+octubre!D110</f>
        <v>0</v>
      </c>
      <c r="E187" s="91">
        <f>+octubre!E110</f>
        <v>-500010</v>
      </c>
      <c r="F187" s="91">
        <f>+octubre!F110</f>
        <v>-1000000</v>
      </c>
      <c r="G187" s="91">
        <f>+octubre!G110</f>
        <v>-1339188</v>
      </c>
    </row>
    <row r="188" spans="2:7" ht="15.75" customHeight="1" x14ac:dyDescent="0.2">
      <c r="B188" s="93" t="s">
        <v>198</v>
      </c>
      <c r="C188" s="86" t="s">
        <v>197</v>
      </c>
      <c r="D188" s="91">
        <f>+octubre!D111</f>
        <v>0</v>
      </c>
      <c r="E188" s="91">
        <f>+octubre!E111</f>
        <v>513000</v>
      </c>
      <c r="F188" s="91">
        <f>+octubre!F111</f>
        <v>-688254</v>
      </c>
      <c r="G188" s="91">
        <f>+octubre!G111</f>
        <v>-1134461</v>
      </c>
    </row>
    <row r="189" spans="2:7" ht="15.75" customHeight="1" x14ac:dyDescent="0.2">
      <c r="B189" s="93" t="s">
        <v>260</v>
      </c>
      <c r="C189" s="86" t="s">
        <v>259</v>
      </c>
      <c r="D189" s="91">
        <f>+octubre!D112</f>
        <v>0</v>
      </c>
      <c r="E189" s="91">
        <f>+octubre!E112</f>
        <v>0</v>
      </c>
      <c r="F189" s="91">
        <f>+octubre!F112</f>
        <v>-2442000</v>
      </c>
      <c r="G189" s="91">
        <f>+octubre!G112</f>
        <v>-4174594</v>
      </c>
    </row>
    <row r="190" spans="2:7" ht="15.75" customHeight="1" x14ac:dyDescent="0.2">
      <c r="B190" s="93" t="s">
        <v>250</v>
      </c>
      <c r="C190" s="86" t="s">
        <v>249</v>
      </c>
      <c r="D190" s="91">
        <f>+octubre!D113</f>
        <v>-80169</v>
      </c>
      <c r="E190" s="91">
        <f>+octubre!E113</f>
        <v>0</v>
      </c>
      <c r="F190" s="91">
        <f>+octubre!F113</f>
        <v>-3582622</v>
      </c>
      <c r="G190" s="91">
        <f>+octubre!G113</f>
        <v>-899950</v>
      </c>
    </row>
    <row r="191" spans="2:7" ht="15.75" customHeight="1" x14ac:dyDescent="0.2">
      <c r="B191" s="93" t="s">
        <v>200</v>
      </c>
      <c r="C191" s="86" t="s">
        <v>199</v>
      </c>
      <c r="D191" s="91">
        <f>+octubre!D114</f>
        <v>-14915</v>
      </c>
      <c r="E191" s="91">
        <f>+octubre!E114</f>
        <v>-138399</v>
      </c>
      <c r="F191" s="91">
        <f>+octubre!F114</f>
        <v>-652805</v>
      </c>
      <c r="G191" s="91">
        <f>+octubre!G114</f>
        <v>-1002629</v>
      </c>
    </row>
    <row r="192" spans="2:7" ht="15.75" customHeight="1" x14ac:dyDescent="0.2">
      <c r="B192" s="93" t="s">
        <v>202</v>
      </c>
      <c r="C192" s="86" t="s">
        <v>201</v>
      </c>
      <c r="D192" s="91">
        <f>+octubre!D115</f>
        <v>-160862</v>
      </c>
      <c r="E192" s="91">
        <f>+octubre!E115</f>
        <v>-486708</v>
      </c>
      <c r="F192" s="91">
        <f>+octubre!F115</f>
        <v>-116005</v>
      </c>
      <c r="G192" s="91">
        <f>+octubre!G115</f>
        <v>-2598492</v>
      </c>
    </row>
    <row r="193" spans="2:7" ht="15.75" customHeight="1" x14ac:dyDescent="0.2">
      <c r="B193" s="93" t="s">
        <v>204</v>
      </c>
      <c r="C193" s="86" t="s">
        <v>203</v>
      </c>
      <c r="D193" s="91">
        <f>+octubre!D116</f>
        <v>0</v>
      </c>
      <c r="E193" s="91">
        <f>+octubre!E116</f>
        <v>-275102</v>
      </c>
      <c r="F193" s="91">
        <f>+octubre!F116</f>
        <v>-1608620</v>
      </c>
      <c r="G193" s="91">
        <f>+octubre!G116</f>
        <v>-2498537</v>
      </c>
    </row>
    <row r="194" spans="2:7" ht="15.75" customHeight="1" x14ac:dyDescent="0.2">
      <c r="B194" s="93" t="s">
        <v>206</v>
      </c>
      <c r="C194" s="86" t="s">
        <v>205</v>
      </c>
      <c r="D194" s="91">
        <f>+octubre!D117</f>
        <v>0</v>
      </c>
      <c r="E194" s="91">
        <f>+octubre!E117</f>
        <v>0</v>
      </c>
      <c r="F194" s="91">
        <f>+octubre!F117</f>
        <v>-218060</v>
      </c>
      <c r="G194" s="91">
        <f>+octubre!G117</f>
        <v>-59896</v>
      </c>
    </row>
    <row r="195" spans="2:7" ht="15.75" customHeight="1" x14ac:dyDescent="0.2">
      <c r="B195" s="93" t="s">
        <v>240</v>
      </c>
      <c r="C195" s="86" t="s">
        <v>239</v>
      </c>
      <c r="D195" s="91">
        <f>+octubre!D118</f>
        <v>0</v>
      </c>
      <c r="E195" s="91">
        <f>+octubre!E118</f>
        <v>0</v>
      </c>
      <c r="F195" s="91">
        <f>+octubre!F118</f>
        <v>-750000</v>
      </c>
      <c r="G195" s="91">
        <f>+octubre!G118</f>
        <v>-516550</v>
      </c>
    </row>
    <row r="196" spans="2:7" ht="15.75" customHeight="1" x14ac:dyDescent="0.2">
      <c r="B196" s="93" t="s">
        <v>208</v>
      </c>
      <c r="C196" s="86" t="s">
        <v>207</v>
      </c>
      <c r="D196" s="91">
        <f>+octubre!D119</f>
        <v>-27257</v>
      </c>
      <c r="E196" s="91">
        <f>+octubre!E119</f>
        <v>0</v>
      </c>
      <c r="F196" s="91">
        <f>+octubre!F119</f>
        <v>-54515</v>
      </c>
      <c r="G196" s="91">
        <f>+octubre!G119</f>
        <v>0</v>
      </c>
    </row>
    <row r="197" spans="2:7" ht="15.75" customHeight="1" x14ac:dyDescent="0.2">
      <c r="B197" s="93" t="s">
        <v>210</v>
      </c>
      <c r="C197" s="86" t="s">
        <v>209</v>
      </c>
      <c r="D197" s="91">
        <f>+octubre!D120</f>
        <v>-34980</v>
      </c>
      <c r="E197" s="91">
        <f>+octubre!E120</f>
        <v>0</v>
      </c>
      <c r="F197" s="91">
        <f>+octubre!F120</f>
        <v>-109028</v>
      </c>
      <c r="G197" s="91">
        <f>+octubre!G120</f>
        <v>-7314</v>
      </c>
    </row>
    <row r="198" spans="2:7" ht="15.75" customHeight="1" x14ac:dyDescent="0.2">
      <c r="B198" s="93" t="s">
        <v>212</v>
      </c>
      <c r="C198" s="86" t="s">
        <v>211</v>
      </c>
      <c r="D198" s="91">
        <f>+octubre!D121</f>
        <v>-1207539</v>
      </c>
      <c r="E198" s="91">
        <f>+octubre!E121</f>
        <v>-1377</v>
      </c>
      <c r="F198" s="91">
        <f>+octubre!F121</f>
        <v>-350534</v>
      </c>
      <c r="G198" s="91">
        <f>+octubre!G121</f>
        <v>-405969</v>
      </c>
    </row>
    <row r="199" spans="2:7" ht="15.75" customHeight="1" x14ac:dyDescent="0.2">
      <c r="B199" s="93" t="s">
        <v>214</v>
      </c>
      <c r="C199" s="86" t="s">
        <v>213</v>
      </c>
      <c r="D199" s="91">
        <f>+octubre!D122</f>
        <v>0</v>
      </c>
      <c r="E199" s="91">
        <f>+octubre!E122</f>
        <v>0</v>
      </c>
      <c r="F199" s="91">
        <f>+octubre!F122</f>
        <v>-2206882</v>
      </c>
      <c r="G199" s="91">
        <f>+octubre!G122</f>
        <v>-794022</v>
      </c>
    </row>
    <row r="200" spans="2:7" ht="15.75" customHeight="1" x14ac:dyDescent="0.2">
      <c r="B200" s="93" t="s">
        <v>216</v>
      </c>
      <c r="C200" s="86" t="s">
        <v>215</v>
      </c>
      <c r="D200" s="91">
        <f>+octubre!D123</f>
        <v>0</v>
      </c>
      <c r="E200" s="91">
        <f>+octubre!E123</f>
        <v>0</v>
      </c>
      <c r="F200" s="91">
        <f>+octubre!F123</f>
        <v>0</v>
      </c>
      <c r="G200" s="91">
        <f>+octubre!G123</f>
        <v>-11761</v>
      </c>
    </row>
    <row r="201" spans="2:7" ht="15.75" customHeight="1" x14ac:dyDescent="0.2">
      <c r="B201" s="85" t="s">
        <v>256</v>
      </c>
      <c r="C201" s="86" t="s">
        <v>255</v>
      </c>
      <c r="D201" s="91">
        <f>+octubre!D124</f>
        <v>-2726</v>
      </c>
      <c r="E201" s="91">
        <f>+octubre!E124</f>
        <v>0</v>
      </c>
      <c r="F201" s="91">
        <f>+octubre!F124</f>
        <v>-38160</v>
      </c>
      <c r="G201" s="91">
        <f>+octubre!G124</f>
        <v>-48850</v>
      </c>
    </row>
    <row r="202" spans="2:7" ht="15.75" customHeight="1" x14ac:dyDescent="0.2">
      <c r="B202" s="85" t="s">
        <v>220</v>
      </c>
      <c r="C202" s="86" t="s">
        <v>219</v>
      </c>
      <c r="D202" s="91">
        <f>+octubre!D125</f>
        <v>-39251</v>
      </c>
      <c r="E202" s="91">
        <f>+octubre!E125</f>
        <v>-1538</v>
      </c>
      <c r="F202" s="91">
        <f>+octubre!F125</f>
        <v>-27260</v>
      </c>
      <c r="G202" s="91">
        <f>+octubre!G125</f>
        <v>-3523</v>
      </c>
    </row>
    <row r="203" spans="2:7" ht="15.75" customHeight="1" x14ac:dyDescent="0.2">
      <c r="B203" s="85" t="s">
        <v>226</v>
      </c>
      <c r="C203" s="86" t="s">
        <v>225</v>
      </c>
      <c r="D203" s="91">
        <f>+octubre!D126</f>
        <v>0</v>
      </c>
      <c r="E203" s="91">
        <f>+octubre!E126</f>
        <v>-1308</v>
      </c>
      <c r="F203" s="91">
        <f>+octubre!F126</f>
        <v>-196255</v>
      </c>
      <c r="G203" s="91">
        <f>+octubre!G126</f>
        <v>-29926</v>
      </c>
    </row>
    <row r="204" spans="2:7" ht="15.75" customHeight="1" x14ac:dyDescent="0.2">
      <c r="B204" s="85" t="s">
        <v>234</v>
      </c>
      <c r="C204" s="86" t="s">
        <v>233</v>
      </c>
      <c r="D204" s="89">
        <f>+octubre!D128</f>
        <v>0</v>
      </c>
      <c r="E204" s="89">
        <f>+octubre!E128</f>
        <v>0</v>
      </c>
      <c r="F204" s="89">
        <f>+octubre!F128</f>
        <v>0</v>
      </c>
      <c r="G204" s="89">
        <f>+octubre!G128</f>
        <v>4896849</v>
      </c>
    </row>
    <row r="205" spans="2:7" ht="15.75" customHeight="1" thickBot="1" x14ac:dyDescent="0.25">
      <c r="B205" s="95" t="s">
        <v>164</v>
      </c>
      <c r="C205" s="96"/>
      <c r="D205" s="97">
        <f>+D169+D171</f>
        <v>-3587197</v>
      </c>
      <c r="E205" s="98">
        <f>+E169+E171</f>
        <v>-2875458</v>
      </c>
      <c r="F205" s="97">
        <f>+F169+F171</f>
        <v>40753661</v>
      </c>
      <c r="G205" s="98">
        <f>+G169+G171</f>
        <v>-50495028</v>
      </c>
    </row>
    <row r="208" spans="2:7" ht="15.75" customHeight="1" x14ac:dyDescent="0.2">
      <c r="B208" s="438" t="s">
        <v>170</v>
      </c>
      <c r="C208" s="438"/>
      <c r="D208" s="438"/>
      <c r="E208" s="438"/>
      <c r="F208" s="438"/>
      <c r="G208" s="438"/>
    </row>
    <row r="209" spans="2:7" ht="15.75" customHeight="1" x14ac:dyDescent="0.2">
      <c r="B209" s="65" t="s">
        <v>52</v>
      </c>
      <c r="C209" s="234" t="str">
        <f>+Portada!$H$19</f>
        <v>Octubre de 2016</v>
      </c>
      <c r="D209" s="65"/>
      <c r="E209" s="65"/>
      <c r="F209" s="65"/>
      <c r="G209" s="65"/>
    </row>
    <row r="210" spans="2:7" ht="15.75" customHeight="1" thickBot="1" x14ac:dyDescent="0.25">
      <c r="B210" s="66"/>
      <c r="C210" s="67"/>
      <c r="D210" s="67"/>
      <c r="E210" s="67"/>
      <c r="F210" s="68"/>
      <c r="G210" s="68"/>
    </row>
    <row r="211" spans="2:7" ht="15.75" customHeight="1" thickBot="1" x14ac:dyDescent="0.25">
      <c r="B211" s="66"/>
      <c r="C211" s="67"/>
      <c r="D211" s="439" t="s">
        <v>48</v>
      </c>
      <c r="E211" s="440"/>
      <c r="F211" s="441" t="s">
        <v>53</v>
      </c>
      <c r="G211" s="442"/>
    </row>
    <row r="212" spans="2:7" ht="15.75" customHeight="1" thickBot="1" x14ac:dyDescent="0.25">
      <c r="B212" s="69" t="s">
        <v>66</v>
      </c>
      <c r="C212" s="70" t="s">
        <v>67</v>
      </c>
      <c r="D212" s="71" t="s">
        <v>49</v>
      </c>
      <c r="E212" s="72" t="s">
        <v>50</v>
      </c>
      <c r="F212" s="71" t="s">
        <v>49</v>
      </c>
      <c r="G212" s="72" t="s">
        <v>50</v>
      </c>
    </row>
    <row r="213" spans="2:7" ht="15.75" customHeight="1" x14ac:dyDescent="0.2">
      <c r="B213" s="73"/>
      <c r="C213" s="74"/>
      <c r="D213" s="75"/>
      <c r="E213" s="76"/>
      <c r="F213" s="75"/>
      <c r="G213" s="78"/>
    </row>
    <row r="214" spans="2:7" ht="15.75" customHeight="1" x14ac:dyDescent="0.2">
      <c r="B214" s="73" t="s">
        <v>68</v>
      </c>
      <c r="C214" s="74" t="s">
        <v>69</v>
      </c>
      <c r="D214" s="78">
        <f>+octubre!D166+octubre!D167</f>
        <v>119350000</v>
      </c>
      <c r="E214" s="78">
        <f>+octubre!E166+octubre!E167</f>
        <v>132119</v>
      </c>
      <c r="F214" s="78">
        <f>+octubre!F166+octubre!F167</f>
        <v>238700000</v>
      </c>
      <c r="G214" s="78">
        <f>+octubre!G166+octubre!G167</f>
        <v>261881529</v>
      </c>
    </row>
    <row r="215" spans="2:7" ht="15.75" customHeight="1" x14ac:dyDescent="0.2">
      <c r="B215" s="73"/>
      <c r="C215" s="74"/>
      <c r="D215" s="75"/>
      <c r="E215" s="80"/>
      <c r="F215" s="75"/>
      <c r="G215" s="78"/>
    </row>
    <row r="216" spans="2:7" ht="15.75" customHeight="1" x14ac:dyDescent="0.2">
      <c r="B216" s="73" t="s">
        <v>70</v>
      </c>
      <c r="C216" s="74" t="s">
        <v>71</v>
      </c>
      <c r="D216" s="75">
        <f>+D218+D226</f>
        <v>-17564100</v>
      </c>
      <c r="E216" s="78">
        <f>+E218+E226</f>
        <v>4708146</v>
      </c>
      <c r="F216" s="75">
        <f>+F218+F226</f>
        <v>-279519291</v>
      </c>
      <c r="G216" s="78">
        <f>+G218+G226</f>
        <v>-297263760</v>
      </c>
    </row>
    <row r="217" spans="2:7" ht="15.75" customHeight="1" x14ac:dyDescent="0.2">
      <c r="B217" s="73"/>
      <c r="C217" s="74"/>
      <c r="D217" s="75"/>
      <c r="E217" s="80"/>
      <c r="F217" s="75"/>
      <c r="G217" s="78"/>
    </row>
    <row r="218" spans="2:7" ht="15.75" customHeight="1" x14ac:dyDescent="0.2">
      <c r="B218" s="81" t="s">
        <v>72</v>
      </c>
      <c r="C218" s="82" t="s">
        <v>73</v>
      </c>
      <c r="D218" s="83">
        <f>+SUM(D219:D224)</f>
        <v>0</v>
      </c>
      <c r="E218" s="84">
        <f>+SUM(E219:E224)</f>
        <v>-3921198</v>
      </c>
      <c r="F218" s="83">
        <f>+SUM(F219:F224)</f>
        <v>-161060000</v>
      </c>
      <c r="G218" s="84">
        <f>+SUM(G219:G224)</f>
        <v>-175377216</v>
      </c>
    </row>
    <row r="219" spans="2:7" ht="15.75" customHeight="1" x14ac:dyDescent="0.2">
      <c r="B219" s="85" t="s">
        <v>12</v>
      </c>
      <c r="C219" s="86" t="s">
        <v>74</v>
      </c>
      <c r="D219" s="87">
        <f>+octubre!D134</f>
        <v>0</v>
      </c>
      <c r="E219" s="87">
        <f>+octubre!E134</f>
        <v>0</v>
      </c>
      <c r="F219" s="87">
        <f>+octubre!F134</f>
        <v>-97300000</v>
      </c>
      <c r="G219" s="87">
        <f>+octubre!G134</f>
        <v>-96984821</v>
      </c>
    </row>
    <row r="220" spans="2:7" ht="15.75" customHeight="1" x14ac:dyDescent="0.2">
      <c r="B220" s="85" t="s">
        <v>75</v>
      </c>
      <c r="C220" s="86" t="s">
        <v>76</v>
      </c>
      <c r="D220" s="87">
        <f>+octubre!D135</f>
        <v>0</v>
      </c>
      <c r="E220" s="87">
        <f>+octubre!E135</f>
        <v>0</v>
      </c>
      <c r="F220" s="87">
        <f>+octubre!F135</f>
        <v>-25168000</v>
      </c>
      <c r="G220" s="87">
        <f>+octubre!G135</f>
        <v>-17429848</v>
      </c>
    </row>
    <row r="221" spans="2:7" ht="15.75" customHeight="1" x14ac:dyDescent="0.2">
      <c r="B221" s="85" t="s">
        <v>77</v>
      </c>
      <c r="C221" s="86" t="s">
        <v>78</v>
      </c>
      <c r="D221" s="87">
        <f>+octubre!D136</f>
        <v>0</v>
      </c>
      <c r="E221" s="87">
        <f>+octubre!E136</f>
        <v>0</v>
      </c>
      <c r="F221" s="87">
        <f>+octubre!F136</f>
        <v>0</v>
      </c>
      <c r="G221" s="87">
        <f>+octubre!G136</f>
        <v>-49019848</v>
      </c>
    </row>
    <row r="222" spans="2:7" ht="15.75" customHeight="1" x14ac:dyDescent="0.2">
      <c r="B222" s="85" t="s">
        <v>14</v>
      </c>
      <c r="C222" s="86" t="s">
        <v>80</v>
      </c>
      <c r="D222" s="87">
        <f>+octubre!D137</f>
        <v>0</v>
      </c>
      <c r="E222" s="87">
        <f>+octubre!E158</f>
        <v>0</v>
      </c>
      <c r="F222" s="87">
        <v>0</v>
      </c>
      <c r="G222" s="87">
        <f>+octubre!G158</f>
        <v>22222209</v>
      </c>
    </row>
    <row r="223" spans="2:7" ht="15.75" customHeight="1" x14ac:dyDescent="0.2">
      <c r="B223" s="85" t="s">
        <v>26</v>
      </c>
      <c r="C223" s="86" t="s">
        <v>81</v>
      </c>
      <c r="D223" s="90">
        <f>+octubre!D137</f>
        <v>0</v>
      </c>
      <c r="E223" s="90">
        <f>+octubre!E137</f>
        <v>0</v>
      </c>
      <c r="F223" s="90">
        <f>+octubre!F137</f>
        <v>-38592000</v>
      </c>
      <c r="G223" s="90">
        <f>+octubre!G137</f>
        <v>-30243710</v>
      </c>
    </row>
    <row r="224" spans="2:7" ht="15.75" customHeight="1" x14ac:dyDescent="0.2">
      <c r="B224" s="85" t="s">
        <v>82</v>
      </c>
      <c r="C224" s="86" t="s">
        <v>311</v>
      </c>
      <c r="D224" s="90">
        <f>+octubre!D162</f>
        <v>0</v>
      </c>
      <c r="E224" s="90">
        <f>+octubre!E162</f>
        <v>-3921198</v>
      </c>
      <c r="F224" s="90">
        <f>+octubre!F162</f>
        <v>0</v>
      </c>
      <c r="G224" s="90">
        <f>+octubre!G162</f>
        <v>-3921198</v>
      </c>
    </row>
    <row r="225" spans="2:7" ht="15.75" customHeight="1" x14ac:dyDescent="0.2">
      <c r="B225" s="73"/>
      <c r="C225" s="74"/>
      <c r="D225" s="75"/>
      <c r="E225" s="80"/>
      <c r="F225" s="75"/>
      <c r="G225" s="78"/>
    </row>
    <row r="226" spans="2:7" ht="15.75" customHeight="1" x14ac:dyDescent="0.2">
      <c r="B226" s="81" t="s">
        <v>83</v>
      </c>
      <c r="C226" s="82" t="s">
        <v>84</v>
      </c>
      <c r="D226" s="83">
        <f>+SUM(D227:D249)</f>
        <v>-17564100</v>
      </c>
      <c r="E226" s="84">
        <f>+SUM(E227:E250)</f>
        <v>8629344</v>
      </c>
      <c r="F226" s="83">
        <f>+SUM(F227:F250)</f>
        <v>-118459291</v>
      </c>
      <c r="G226" s="84">
        <f>+SUM(G227:G251)</f>
        <v>-121886544</v>
      </c>
    </row>
    <row r="227" spans="2:7" ht="15.75" customHeight="1" x14ac:dyDescent="0.2">
      <c r="B227" s="85" t="s">
        <v>188</v>
      </c>
      <c r="C227" s="86" t="s">
        <v>187</v>
      </c>
      <c r="D227" s="91">
        <f>+octubre!D138</f>
        <v>-1246726</v>
      </c>
      <c r="E227" s="91">
        <f>+octubre!E138</f>
        <v>-1799385</v>
      </c>
      <c r="F227" s="91">
        <f>+octubre!F138</f>
        <v>-12247220</v>
      </c>
      <c r="G227" s="91">
        <f>+octubre!G138</f>
        <v>-16281852</v>
      </c>
    </row>
    <row r="228" spans="2:7" ht="15.75" customHeight="1" x14ac:dyDescent="0.2">
      <c r="B228" s="85" t="s">
        <v>190</v>
      </c>
      <c r="C228" s="86" t="s">
        <v>189</v>
      </c>
      <c r="D228" s="91">
        <f>+octubre!D139</f>
        <v>0</v>
      </c>
      <c r="E228" s="91">
        <f>+octubre!E139</f>
        <v>0</v>
      </c>
      <c r="F228" s="91">
        <f>+octubre!F139</f>
        <v>0</v>
      </c>
      <c r="G228" s="91">
        <f>+octubre!G139</f>
        <v>88588</v>
      </c>
    </row>
    <row r="229" spans="2:7" ht="15.75" customHeight="1" x14ac:dyDescent="0.2">
      <c r="B229" s="85" t="s">
        <v>244</v>
      </c>
      <c r="C229" s="86" t="s">
        <v>243</v>
      </c>
      <c r="D229" s="91">
        <f>+octubre!D140</f>
        <v>-2300000</v>
      </c>
      <c r="E229" s="91">
        <f>+octubre!E140</f>
        <v>-2369313</v>
      </c>
      <c r="F229" s="91">
        <f>+octubre!F140</f>
        <v>-6900000</v>
      </c>
      <c r="G229" s="91">
        <f>+octubre!G140</f>
        <v>-3367465</v>
      </c>
    </row>
    <row r="230" spans="2:7" ht="15.75" customHeight="1" x14ac:dyDescent="0.2">
      <c r="B230" s="93" t="s">
        <v>192</v>
      </c>
      <c r="C230" s="86" t="s">
        <v>191</v>
      </c>
      <c r="D230" s="91">
        <f>+octubre!D141</f>
        <v>0</v>
      </c>
      <c r="E230" s="91">
        <f>+octubre!E141</f>
        <v>0</v>
      </c>
      <c r="F230" s="91">
        <f>+octubre!F141</f>
        <v>-4000000</v>
      </c>
      <c r="G230" s="91">
        <f>+octubre!G141</f>
        <v>-7426851</v>
      </c>
    </row>
    <row r="231" spans="2:7" ht="15.75" customHeight="1" x14ac:dyDescent="0.2">
      <c r="B231" s="93" t="s">
        <v>194</v>
      </c>
      <c r="C231" s="86" t="s">
        <v>193</v>
      </c>
      <c r="D231" s="91">
        <f>+octubre!D142</f>
        <v>-16454</v>
      </c>
      <c r="E231" s="91">
        <f>+octubre!E142</f>
        <v>-2607</v>
      </c>
      <c r="F231" s="91">
        <f>+octubre!F142</f>
        <v>-65816</v>
      </c>
      <c r="G231" s="91">
        <f>+octubre!G142</f>
        <v>-254662</v>
      </c>
    </row>
    <row r="232" spans="2:7" ht="15.75" customHeight="1" x14ac:dyDescent="0.2">
      <c r="B232" s="93" t="s">
        <v>196</v>
      </c>
      <c r="C232" s="86" t="s">
        <v>195</v>
      </c>
      <c r="D232" s="91">
        <f>+octubre!D143</f>
        <v>0</v>
      </c>
      <c r="E232" s="91">
        <f>+octubre!E143</f>
        <v>-526705</v>
      </c>
      <c r="F232" s="91">
        <f>+octubre!F143</f>
        <v>0</v>
      </c>
      <c r="G232" s="91">
        <f>+octubre!G143</f>
        <v>-526705</v>
      </c>
    </row>
    <row r="233" spans="2:7" ht="15.75" customHeight="1" x14ac:dyDescent="0.2">
      <c r="B233" s="93" t="s">
        <v>198</v>
      </c>
      <c r="C233" s="86" t="s">
        <v>197</v>
      </c>
      <c r="D233" s="91">
        <f>+octubre!D144</f>
        <v>-12402409</v>
      </c>
      <c r="E233" s="91">
        <f>+octubre!E144</f>
        <v>14219789</v>
      </c>
      <c r="F233" s="91">
        <f>+octubre!F144</f>
        <v>-70884045</v>
      </c>
      <c r="G233" s="91">
        <f>+octubre!G144</f>
        <v>-59662996</v>
      </c>
    </row>
    <row r="234" spans="2:7" ht="15.75" customHeight="1" x14ac:dyDescent="0.2">
      <c r="B234" s="93" t="s">
        <v>260</v>
      </c>
      <c r="C234" s="86" t="s">
        <v>259</v>
      </c>
      <c r="D234" s="91">
        <f>+octubre!D145</f>
        <v>0</v>
      </c>
      <c r="E234" s="91">
        <f>+octubre!E145</f>
        <v>0</v>
      </c>
      <c r="F234" s="91">
        <f>+octubre!F145</f>
        <v>-2571000</v>
      </c>
      <c r="G234" s="91">
        <f>+octubre!G145</f>
        <v>-4855122</v>
      </c>
    </row>
    <row r="235" spans="2:7" ht="15.75" customHeight="1" x14ac:dyDescent="0.2">
      <c r="B235" s="93" t="s">
        <v>250</v>
      </c>
      <c r="C235" s="86" t="s">
        <v>249</v>
      </c>
      <c r="D235" s="91">
        <f>+octubre!D146</f>
        <v>0</v>
      </c>
      <c r="E235" s="91">
        <f>+octubre!E146</f>
        <v>0</v>
      </c>
      <c r="F235" s="91">
        <f>+octubre!F146</f>
        <v>-3951618</v>
      </c>
      <c r="G235" s="91">
        <f>+octubre!G146</f>
        <v>-4207580</v>
      </c>
    </row>
    <row r="236" spans="2:7" ht="15.75" customHeight="1" x14ac:dyDescent="0.2">
      <c r="B236" s="93" t="s">
        <v>200</v>
      </c>
      <c r="C236" s="86" t="s">
        <v>199</v>
      </c>
      <c r="D236" s="91">
        <f>+octubre!D147</f>
        <v>-72881</v>
      </c>
      <c r="E236" s="91">
        <f>+octubre!E147</f>
        <v>-139149</v>
      </c>
      <c r="F236" s="91">
        <f>+octubre!F147</f>
        <v>-593458</v>
      </c>
      <c r="G236" s="91">
        <f>+octubre!G147</f>
        <v>-919750</v>
      </c>
    </row>
    <row r="237" spans="2:7" ht="15.75" customHeight="1" x14ac:dyDescent="0.2">
      <c r="B237" s="93" t="s">
        <v>202</v>
      </c>
      <c r="C237" s="86" t="s">
        <v>201</v>
      </c>
      <c r="D237" s="91">
        <f>+octubre!D148</f>
        <v>-13559</v>
      </c>
      <c r="E237" s="91">
        <f>+octubre!E148</f>
        <v>-442056</v>
      </c>
      <c r="F237" s="91">
        <f>+octubre!F148</f>
        <v>-105460</v>
      </c>
      <c r="G237" s="91">
        <f>+octubre!G148</f>
        <v>-2345964</v>
      </c>
    </row>
    <row r="238" spans="2:7" ht="15.75" customHeight="1" x14ac:dyDescent="0.2">
      <c r="B238" s="93" t="s">
        <v>204</v>
      </c>
      <c r="C238" s="86" t="s">
        <v>203</v>
      </c>
      <c r="D238" s="91">
        <f>+octubre!D149</f>
        <v>-146238</v>
      </c>
      <c r="E238" s="91">
        <f>+octubre!E149</f>
        <v>-243718</v>
      </c>
      <c r="F238" s="91">
        <f>+octubre!F149</f>
        <v>-1462380</v>
      </c>
      <c r="G238" s="91">
        <f>+octubre!G149</f>
        <v>-2130279</v>
      </c>
    </row>
    <row r="239" spans="2:7" ht="15.75" customHeight="1" x14ac:dyDescent="0.2">
      <c r="B239" s="93" t="s">
        <v>206</v>
      </c>
      <c r="C239" s="86" t="s">
        <v>205</v>
      </c>
      <c r="D239" s="91">
        <f>+octubre!D150</f>
        <v>0</v>
      </c>
      <c r="E239" s="91">
        <f>+octubre!E150</f>
        <v>0</v>
      </c>
      <c r="F239" s="91">
        <f>+octubre!F150</f>
        <v>-198236</v>
      </c>
      <c r="G239" s="91">
        <f>+octubre!G150</f>
        <v>-54401</v>
      </c>
    </row>
    <row r="240" spans="2:7" ht="15.75" customHeight="1" x14ac:dyDescent="0.2">
      <c r="B240" s="93" t="s">
        <v>240</v>
      </c>
      <c r="C240" s="86" t="s">
        <v>239</v>
      </c>
      <c r="D240" s="91">
        <f>+octubre!D151</f>
        <v>0</v>
      </c>
      <c r="E240" s="91">
        <f>+octubre!E151</f>
        <v>0</v>
      </c>
      <c r="F240" s="91">
        <f>+octubre!F151</f>
        <v>-1000000</v>
      </c>
      <c r="G240" s="91">
        <f>+octubre!G151</f>
        <v>-1218090</v>
      </c>
    </row>
    <row r="241" spans="2:7" ht="15.75" customHeight="1" x14ac:dyDescent="0.2">
      <c r="B241" s="93" t="s">
        <v>208</v>
      </c>
      <c r="C241" s="86" t="s">
        <v>207</v>
      </c>
      <c r="D241" s="91">
        <f>+octubre!D152</f>
        <v>0</v>
      </c>
      <c r="E241" s="91">
        <f>+octubre!E152</f>
        <v>0</v>
      </c>
      <c r="F241" s="91">
        <f>+octubre!F152</f>
        <v>-49559</v>
      </c>
      <c r="G241" s="91">
        <f>+octubre!G152</f>
        <v>0</v>
      </c>
    </row>
    <row r="242" spans="2:7" ht="15.75" customHeight="1" x14ac:dyDescent="0.2">
      <c r="B242" s="93" t="s">
        <v>210</v>
      </c>
      <c r="C242" s="86" t="s">
        <v>209</v>
      </c>
      <c r="D242" s="91">
        <f>+octubre!D153</f>
        <v>-24779</v>
      </c>
      <c r="E242" s="91">
        <f>+octubre!E153</f>
        <v>0</v>
      </c>
      <c r="F242" s="91">
        <f>+octubre!F153</f>
        <v>-99116</v>
      </c>
      <c r="G242" s="91">
        <f>+octubre!G153</f>
        <v>-6643</v>
      </c>
    </row>
    <row r="243" spans="2:7" ht="15.75" customHeight="1" x14ac:dyDescent="0.2">
      <c r="B243" s="93" t="s">
        <v>246</v>
      </c>
      <c r="C243" s="86" t="s">
        <v>245</v>
      </c>
      <c r="D243" s="91">
        <f>+octubre!D154</f>
        <v>0</v>
      </c>
      <c r="E243" s="91">
        <f>+octubre!E154</f>
        <v>0</v>
      </c>
      <c r="F243" s="91">
        <f>+octubre!F154</f>
        <v>-11451800</v>
      </c>
      <c r="G243" s="91">
        <f>+octubre!G154</f>
        <v>-13425062</v>
      </c>
    </row>
    <row r="244" spans="2:7" ht="15.75" customHeight="1" x14ac:dyDescent="0.2">
      <c r="B244" s="93" t="s">
        <v>212</v>
      </c>
      <c r="C244" s="86" t="s">
        <v>211</v>
      </c>
      <c r="D244" s="91">
        <f>+octubre!D155</f>
        <v>-31800</v>
      </c>
      <c r="E244" s="91">
        <f>+octubre!E155</f>
        <v>-1250</v>
      </c>
      <c r="F244" s="91">
        <f>+octubre!F155</f>
        <v>-318667</v>
      </c>
      <c r="G244" s="91">
        <f>+octubre!G155</f>
        <v>-171187</v>
      </c>
    </row>
    <row r="245" spans="2:7" ht="15.75" customHeight="1" x14ac:dyDescent="0.2">
      <c r="B245" s="93" t="s">
        <v>214</v>
      </c>
      <c r="C245" s="86" t="s">
        <v>213</v>
      </c>
      <c r="D245" s="91">
        <f>+octubre!D156</f>
        <v>-1271094</v>
      </c>
      <c r="E245" s="91">
        <f>+octubre!E156</f>
        <v>0</v>
      </c>
      <c r="F245" s="91">
        <f>+octubre!F156</f>
        <v>-2323035</v>
      </c>
      <c r="G245" s="91">
        <f>+octubre!G156</f>
        <v>-804835</v>
      </c>
    </row>
    <row r="246" spans="2:7" ht="15.75" customHeight="1" x14ac:dyDescent="0.2">
      <c r="B246" s="85" t="s">
        <v>216</v>
      </c>
      <c r="C246" s="86" t="s">
        <v>215</v>
      </c>
      <c r="D246" s="91">
        <f>+octubre!D157</f>
        <v>0</v>
      </c>
      <c r="E246" s="91">
        <f>+octubre!E157</f>
        <v>0</v>
      </c>
      <c r="F246" s="91">
        <f>+octubre!F157</f>
        <v>0</v>
      </c>
      <c r="G246" s="91">
        <f>+octubre!G157</f>
        <v>-4096532</v>
      </c>
    </row>
    <row r="247" spans="2:7" ht="15.75" customHeight="1" x14ac:dyDescent="0.2">
      <c r="B247" s="85" t="s">
        <v>256</v>
      </c>
      <c r="C247" s="86" t="s">
        <v>255</v>
      </c>
      <c r="D247" s="91">
        <f>+octubre!D159</f>
        <v>0</v>
      </c>
      <c r="E247" s="91">
        <f>+octubre!E159</f>
        <v>0</v>
      </c>
      <c r="F247" s="91">
        <f>+octubre!F159</f>
        <v>-34691</v>
      </c>
      <c r="G247" s="91">
        <f>+octubre!G159</f>
        <v>-44369</v>
      </c>
    </row>
    <row r="248" spans="2:7" ht="15.75" customHeight="1" x14ac:dyDescent="0.2">
      <c r="B248" s="85" t="s">
        <v>220</v>
      </c>
      <c r="C248" s="86" t="s">
        <v>219</v>
      </c>
      <c r="D248" s="91">
        <f>+octubre!D160</f>
        <v>-2478</v>
      </c>
      <c r="E248" s="91">
        <f>+octubre!E160</f>
        <v>-1397</v>
      </c>
      <c r="F248" s="91">
        <f>+octubre!F160</f>
        <v>-24780</v>
      </c>
      <c r="G248" s="91">
        <f>+octubre!G160</f>
        <v>-3197</v>
      </c>
    </row>
    <row r="249" spans="2:7" ht="15.75" customHeight="1" x14ac:dyDescent="0.2">
      <c r="B249" s="85" t="s">
        <v>226</v>
      </c>
      <c r="C249" s="86" t="s">
        <v>225</v>
      </c>
      <c r="D249" s="64">
        <f>+octubre!D161</f>
        <v>-35682</v>
      </c>
      <c r="E249" s="64">
        <f>+octubre!E161</f>
        <v>-1188</v>
      </c>
      <c r="F249" s="91">
        <f>+octubre!F161</f>
        <v>-178410</v>
      </c>
      <c r="G249" s="91">
        <f>+octubre!G161</f>
        <v>-18239</v>
      </c>
    </row>
    <row r="250" spans="2:7" ht="15.75" customHeight="1" x14ac:dyDescent="0.2">
      <c r="B250" s="85" t="s">
        <v>306</v>
      </c>
      <c r="C250" s="86" t="s">
        <v>233</v>
      </c>
      <c r="D250" s="64">
        <f>+octubre!D165</f>
        <v>0</v>
      </c>
      <c r="E250" s="64">
        <f>+octubre!E165</f>
        <v>-63677</v>
      </c>
      <c r="F250" s="64">
        <f>+octubre!F165</f>
        <v>0</v>
      </c>
      <c r="G250" s="64">
        <f>+octubre!G165</f>
        <v>-153351</v>
      </c>
    </row>
    <row r="251" spans="2:7" ht="15.75" customHeight="1" x14ac:dyDescent="0.2">
      <c r="B251" s="85"/>
      <c r="C251" s="86"/>
      <c r="F251" s="94"/>
      <c r="G251" s="94"/>
    </row>
    <row r="252" spans="2:7" ht="15.75" customHeight="1" thickBot="1" x14ac:dyDescent="0.25">
      <c r="B252" s="95" t="s">
        <v>164</v>
      </c>
      <c r="C252" s="96"/>
      <c r="D252" s="98">
        <f>+D214+D216</f>
        <v>101785900</v>
      </c>
      <c r="E252" s="98">
        <f>+E214+E216</f>
        <v>4840265</v>
      </c>
      <c r="F252" s="98">
        <f>+F214+F216</f>
        <v>-40819291</v>
      </c>
      <c r="G252" s="98">
        <f>+G214+G216</f>
        <v>-35382231</v>
      </c>
    </row>
    <row r="255" spans="2:7" ht="15.75" customHeight="1" x14ac:dyDescent="0.2">
      <c r="B255" s="438" t="s">
        <v>171</v>
      </c>
      <c r="C255" s="438"/>
      <c r="D255" s="438"/>
      <c r="E255" s="438"/>
      <c r="F255" s="438"/>
      <c r="G255" s="438"/>
    </row>
    <row r="256" spans="2:7" ht="15.75" customHeight="1" x14ac:dyDescent="0.2">
      <c r="B256" s="65" t="s">
        <v>52</v>
      </c>
      <c r="C256" s="234" t="str">
        <f>+Portada!$H$19</f>
        <v>Octubre de 2016</v>
      </c>
      <c r="D256" s="65"/>
      <c r="E256" s="65"/>
      <c r="F256" s="65"/>
      <c r="G256" s="65"/>
    </row>
    <row r="257" spans="2:7" ht="15.75" customHeight="1" thickBot="1" x14ac:dyDescent="0.25">
      <c r="B257" s="66"/>
      <c r="C257" s="67"/>
      <c r="D257" s="67"/>
      <c r="E257" s="67"/>
      <c r="F257" s="68"/>
      <c r="G257" s="68"/>
    </row>
    <row r="258" spans="2:7" ht="15.75" customHeight="1" thickBot="1" x14ac:dyDescent="0.25">
      <c r="B258" s="66"/>
      <c r="C258" s="67"/>
      <c r="D258" s="439" t="s">
        <v>48</v>
      </c>
      <c r="E258" s="440"/>
      <c r="F258" s="441" t="s">
        <v>53</v>
      </c>
      <c r="G258" s="442"/>
    </row>
    <row r="259" spans="2:7" ht="15.75" customHeight="1" thickBot="1" x14ac:dyDescent="0.25">
      <c r="B259" s="69" t="s">
        <v>66</v>
      </c>
      <c r="C259" s="70" t="s">
        <v>67</v>
      </c>
      <c r="D259" s="71" t="s">
        <v>49</v>
      </c>
      <c r="E259" s="72" t="s">
        <v>50</v>
      </c>
      <c r="F259" s="71" t="s">
        <v>49</v>
      </c>
      <c r="G259" s="72" t="s">
        <v>50</v>
      </c>
    </row>
    <row r="260" spans="2:7" ht="15.75" customHeight="1" x14ac:dyDescent="0.2">
      <c r="B260" s="73"/>
      <c r="C260" s="74"/>
      <c r="D260" s="75"/>
      <c r="E260" s="76"/>
      <c r="F260" s="75"/>
      <c r="G260" s="78"/>
    </row>
    <row r="261" spans="2:7" ht="15.75" customHeight="1" x14ac:dyDescent="0.2">
      <c r="B261" s="73" t="s">
        <v>68</v>
      </c>
      <c r="C261" s="74" t="s">
        <v>69</v>
      </c>
      <c r="D261" s="78">
        <f>+octubre!D197+octubre!D198</f>
        <v>0</v>
      </c>
      <c r="E261" s="78">
        <f>+octubre!E197+octubre!E198</f>
        <v>0</v>
      </c>
      <c r="F261" s="78">
        <f>+octubre!F197+octubre!F198</f>
        <v>623872611</v>
      </c>
      <c r="G261" s="78">
        <f>+octubre!G197+octubre!G198</f>
        <v>740872078</v>
      </c>
    </row>
    <row r="262" spans="2:7" ht="15.75" customHeight="1" x14ac:dyDescent="0.2">
      <c r="B262" s="73"/>
      <c r="C262" s="74"/>
      <c r="D262" s="75"/>
      <c r="E262" s="80"/>
      <c r="F262" s="75"/>
      <c r="G262" s="78"/>
    </row>
    <row r="263" spans="2:7" ht="15.75" customHeight="1" x14ac:dyDescent="0.2">
      <c r="B263" s="73" t="s">
        <v>70</v>
      </c>
      <c r="C263" s="74" t="s">
        <v>71</v>
      </c>
      <c r="D263" s="75">
        <f>+D265+D273</f>
        <v>-4183274</v>
      </c>
      <c r="E263" s="78">
        <f>+E265+E273</f>
        <v>-6908670</v>
      </c>
      <c r="F263" s="75">
        <f>+F265+F273</f>
        <v>-666752553</v>
      </c>
      <c r="G263" s="78">
        <f>+G265+G273</f>
        <v>-712648000</v>
      </c>
    </row>
    <row r="264" spans="2:7" ht="15.75" customHeight="1" x14ac:dyDescent="0.2">
      <c r="B264" s="73"/>
      <c r="C264" s="74"/>
      <c r="D264" s="75"/>
      <c r="E264" s="80"/>
      <c r="F264" s="75"/>
      <c r="G264" s="78"/>
    </row>
    <row r="265" spans="2:7" ht="15.75" customHeight="1" x14ac:dyDescent="0.2">
      <c r="B265" s="81" t="s">
        <v>72</v>
      </c>
      <c r="C265" s="82" t="s">
        <v>73</v>
      </c>
      <c r="D265" s="83">
        <f>+SUM(D266:D271)</f>
        <v>0</v>
      </c>
      <c r="E265" s="84">
        <f>+SUM(E266:E271)</f>
        <v>0</v>
      </c>
      <c r="F265" s="83">
        <f>+SUM(F266:F271)</f>
        <v>-487782500</v>
      </c>
      <c r="G265" s="84">
        <f>+SUM(G266:G271)</f>
        <v>-535730666</v>
      </c>
    </row>
    <row r="266" spans="2:7" ht="15.75" customHeight="1" x14ac:dyDescent="0.2">
      <c r="B266" s="85" t="s">
        <v>12</v>
      </c>
      <c r="C266" s="86" t="s">
        <v>74</v>
      </c>
      <c r="D266" s="87">
        <f>+octubre!D171</f>
        <v>0</v>
      </c>
      <c r="E266" s="87">
        <f>+octubre!E171</f>
        <v>0</v>
      </c>
      <c r="F266" s="87">
        <f>+octubre!F171</f>
        <v>-487782500</v>
      </c>
      <c r="G266" s="87">
        <f>+octubre!G171</f>
        <v>-535730666</v>
      </c>
    </row>
    <row r="267" spans="2:7" ht="15.75" customHeight="1" x14ac:dyDescent="0.2">
      <c r="B267" s="85" t="s">
        <v>75</v>
      </c>
      <c r="C267" s="86" t="s">
        <v>76</v>
      </c>
      <c r="D267" s="89"/>
      <c r="E267" s="90"/>
      <c r="F267" s="89"/>
      <c r="G267" s="90"/>
    </row>
    <row r="268" spans="2:7" ht="15.75" customHeight="1" x14ac:dyDescent="0.2">
      <c r="B268" s="85" t="s">
        <v>77</v>
      </c>
      <c r="C268" s="86" t="s">
        <v>78</v>
      </c>
      <c r="D268" s="89"/>
      <c r="E268" s="90"/>
      <c r="F268" s="89"/>
      <c r="G268" s="90"/>
    </row>
    <row r="269" spans="2:7" ht="15.75" customHeight="1" x14ac:dyDescent="0.2">
      <c r="B269" s="85" t="s">
        <v>79</v>
      </c>
      <c r="C269" s="86" t="s">
        <v>80</v>
      </c>
      <c r="D269" s="89"/>
      <c r="E269" s="90"/>
      <c r="F269" s="89"/>
      <c r="G269" s="90"/>
    </row>
    <row r="270" spans="2:7" ht="15.75" customHeight="1" x14ac:dyDescent="0.2">
      <c r="B270" s="85" t="s">
        <v>26</v>
      </c>
      <c r="C270" s="86" t="s">
        <v>81</v>
      </c>
      <c r="D270" s="89"/>
      <c r="E270" s="90"/>
      <c r="F270" s="89"/>
      <c r="G270" s="90"/>
    </row>
    <row r="271" spans="2:7" ht="15.75" customHeight="1" x14ac:dyDescent="0.2">
      <c r="B271" s="85" t="s">
        <v>82</v>
      </c>
      <c r="C271" s="86" t="s">
        <v>81</v>
      </c>
      <c r="D271" s="89"/>
      <c r="E271" s="90"/>
      <c r="F271" s="89"/>
      <c r="G271" s="90"/>
    </row>
    <row r="272" spans="2:7" ht="15.75" customHeight="1" x14ac:dyDescent="0.2">
      <c r="B272" s="73"/>
      <c r="C272" s="74"/>
      <c r="D272" s="75"/>
      <c r="E272" s="80"/>
      <c r="F272" s="75"/>
      <c r="G272" s="78"/>
    </row>
    <row r="273" spans="2:7" ht="15.75" customHeight="1" x14ac:dyDescent="0.2">
      <c r="B273" s="81" t="s">
        <v>83</v>
      </c>
      <c r="C273" s="82" t="s">
        <v>84</v>
      </c>
      <c r="D273" s="83">
        <f>+SUM(D274:D296)</f>
        <v>-4183274</v>
      </c>
      <c r="E273" s="84">
        <f>+SUM(E274:E296)</f>
        <v>-6908670</v>
      </c>
      <c r="F273" s="83">
        <f>+SUM(F274:F296)</f>
        <v>-178970053</v>
      </c>
      <c r="G273" s="84">
        <f>+SUM(G274:G296)</f>
        <v>-176917334</v>
      </c>
    </row>
    <row r="274" spans="2:7" ht="15.75" customHeight="1" x14ac:dyDescent="0.2">
      <c r="B274" s="85" t="s">
        <v>188</v>
      </c>
      <c r="C274" s="86" t="s">
        <v>187</v>
      </c>
      <c r="D274" s="91">
        <f>+octubre!D172</f>
        <v>-3278891</v>
      </c>
      <c r="E274" s="91">
        <f>+octubre!E172</f>
        <v>-4743853</v>
      </c>
      <c r="F274" s="91">
        <f>+octubre!F172</f>
        <v>-32210197</v>
      </c>
      <c r="G274" s="91">
        <f>+octubre!G172</f>
        <v>-42596981</v>
      </c>
    </row>
    <row r="275" spans="2:7" ht="15.75" customHeight="1" x14ac:dyDescent="0.2">
      <c r="B275" s="85" t="s">
        <v>190</v>
      </c>
      <c r="C275" s="86" t="s">
        <v>189</v>
      </c>
      <c r="D275" s="91">
        <f>+octubre!D173</f>
        <v>0</v>
      </c>
      <c r="E275" s="91">
        <f>+octubre!E173</f>
        <v>0</v>
      </c>
      <c r="F275" s="91">
        <f>+octubre!F173</f>
        <v>0</v>
      </c>
      <c r="G275" s="91">
        <f>+octubre!G173</f>
        <v>-2515101</v>
      </c>
    </row>
    <row r="276" spans="2:7" ht="15.75" customHeight="1" x14ac:dyDescent="0.2">
      <c r="B276" s="85" t="s">
        <v>244</v>
      </c>
      <c r="C276" s="86" t="s">
        <v>243</v>
      </c>
      <c r="D276" s="91">
        <f>+octubre!D174</f>
        <v>0</v>
      </c>
      <c r="E276" s="91">
        <f>+octubre!E174</f>
        <v>0</v>
      </c>
      <c r="F276" s="91">
        <f>+octubre!F174</f>
        <v>-10727273</v>
      </c>
      <c r="G276" s="91">
        <f>+octubre!G174</f>
        <v>-12728859</v>
      </c>
    </row>
    <row r="277" spans="2:7" ht="15.75" customHeight="1" x14ac:dyDescent="0.2">
      <c r="B277" s="93" t="s">
        <v>192</v>
      </c>
      <c r="C277" s="86" t="s">
        <v>191</v>
      </c>
      <c r="D277" s="91">
        <f>+octubre!D175</f>
        <v>0</v>
      </c>
      <c r="E277" s="91">
        <f>+octubre!E175</f>
        <v>0</v>
      </c>
      <c r="F277" s="91">
        <f>+octubre!F175</f>
        <v>0</v>
      </c>
      <c r="G277" s="91">
        <f>+octubre!G175</f>
        <v>0</v>
      </c>
    </row>
    <row r="278" spans="2:7" ht="15.75" customHeight="1" x14ac:dyDescent="0.2">
      <c r="B278" s="93" t="s">
        <v>194</v>
      </c>
      <c r="C278" s="86" t="s">
        <v>193</v>
      </c>
      <c r="D278" s="91">
        <f>+octubre!D176</f>
        <v>-43273</v>
      </c>
      <c r="E278" s="91">
        <f>+octubre!E176</f>
        <v>-6872</v>
      </c>
      <c r="F278" s="91">
        <f>+octubre!F176</f>
        <v>-173092</v>
      </c>
      <c r="G278" s="91">
        <f>+octubre!G176</f>
        <v>-39791</v>
      </c>
    </row>
    <row r="279" spans="2:7" ht="15.75" customHeight="1" x14ac:dyDescent="0.2">
      <c r="B279" s="93" t="s">
        <v>196</v>
      </c>
      <c r="C279" s="86" t="s">
        <v>195</v>
      </c>
      <c r="D279" s="91">
        <f>+octubre!D177</f>
        <v>0</v>
      </c>
      <c r="E279" s="91">
        <f>+octubre!E177</f>
        <v>0</v>
      </c>
      <c r="F279" s="91">
        <f>+octubre!F177</f>
        <v>0</v>
      </c>
      <c r="G279" s="91">
        <f>+octubre!G177</f>
        <v>0</v>
      </c>
    </row>
    <row r="280" spans="2:7" ht="15.75" customHeight="1" x14ac:dyDescent="0.2">
      <c r="B280" s="93" t="s">
        <v>198</v>
      </c>
      <c r="C280" s="86" t="s">
        <v>197</v>
      </c>
      <c r="D280" s="91">
        <f>+octubre!D178</f>
        <v>0</v>
      </c>
      <c r="E280" s="91">
        <f>+octubre!E178</f>
        <v>0</v>
      </c>
      <c r="F280" s="91">
        <f>+octubre!F178</f>
        <v>-33375000</v>
      </c>
      <c r="G280" s="91">
        <f>+octubre!G178</f>
        <v>-26254525</v>
      </c>
    </row>
    <row r="281" spans="2:7" ht="15.75" customHeight="1" x14ac:dyDescent="0.2">
      <c r="B281" s="93" t="s">
        <v>260</v>
      </c>
      <c r="C281" s="86" t="s">
        <v>259</v>
      </c>
      <c r="D281" s="91">
        <f>+octubre!D179</f>
        <v>0</v>
      </c>
      <c r="E281" s="91">
        <f>+octubre!E179</f>
        <v>0</v>
      </c>
      <c r="F281" s="91">
        <f>+octubre!F179</f>
        <v>-75975000</v>
      </c>
      <c r="G281" s="91">
        <f>+octubre!G179</f>
        <v>-95564387</v>
      </c>
    </row>
    <row r="282" spans="2:7" ht="15.75" customHeight="1" x14ac:dyDescent="0.2">
      <c r="B282" s="93" t="s">
        <v>250</v>
      </c>
      <c r="C282" s="86" t="s">
        <v>249</v>
      </c>
      <c r="D282" s="91">
        <f>+octubre!D180</f>
        <v>0</v>
      </c>
      <c r="E282" s="91">
        <f>+octubre!E180</f>
        <v>0</v>
      </c>
      <c r="F282" s="91">
        <f>+octubre!F180</f>
        <v>-6721887</v>
      </c>
      <c r="G282" s="91">
        <f>+octubre!G180</f>
        <v>-2108892</v>
      </c>
    </row>
    <row r="283" spans="2:7" ht="15.75" customHeight="1" x14ac:dyDescent="0.2">
      <c r="B283" s="93" t="s">
        <v>200</v>
      </c>
      <c r="C283" s="86" t="s">
        <v>199</v>
      </c>
      <c r="D283" s="91">
        <f>+octubre!D181</f>
        <v>-191676</v>
      </c>
      <c r="E283" s="91">
        <f>+octubre!E181</f>
        <v>-331396</v>
      </c>
      <c r="F283" s="91">
        <f>+octubre!F181</f>
        <v>-1560790</v>
      </c>
      <c r="G283" s="91">
        <f>+octubre!G181</f>
        <v>-2343595</v>
      </c>
    </row>
    <row r="284" spans="2:7" ht="15.75" customHeight="1" x14ac:dyDescent="0.2">
      <c r="B284" s="93" t="s">
        <v>202</v>
      </c>
      <c r="C284" s="86" t="s">
        <v>201</v>
      </c>
      <c r="D284" s="91">
        <f>+octubre!D182</f>
        <v>-35661</v>
      </c>
      <c r="E284" s="91">
        <f>+octubre!E182</f>
        <v>-1165417</v>
      </c>
      <c r="F284" s="91">
        <f>+octubre!F182</f>
        <v>-277365</v>
      </c>
      <c r="G284" s="91">
        <f>+octubre!G182</f>
        <v>-6087521</v>
      </c>
    </row>
    <row r="285" spans="2:7" ht="15.75" customHeight="1" x14ac:dyDescent="0.2">
      <c r="B285" s="93" t="s">
        <v>204</v>
      </c>
      <c r="C285" s="86" t="s">
        <v>203</v>
      </c>
      <c r="D285" s="91">
        <f>+octubre!D183</f>
        <v>-384607</v>
      </c>
      <c r="E285" s="91">
        <f>+octubre!E183</f>
        <v>-651019</v>
      </c>
      <c r="F285" s="91">
        <f>+octubre!F183</f>
        <v>-3846070</v>
      </c>
      <c r="G285" s="91">
        <f>+octubre!G183</f>
        <v>-5597574</v>
      </c>
    </row>
    <row r="286" spans="2:7" ht="15.75" customHeight="1" x14ac:dyDescent="0.2">
      <c r="B286" s="93" t="s">
        <v>206</v>
      </c>
      <c r="C286" s="86" t="s">
        <v>205</v>
      </c>
      <c r="D286" s="91">
        <f>+octubre!D184</f>
        <v>0</v>
      </c>
      <c r="E286" s="91">
        <f>+octubre!E184</f>
        <v>0</v>
      </c>
      <c r="F286" s="91">
        <f>+octubre!F184</f>
        <v>-521360</v>
      </c>
      <c r="G286" s="91">
        <f>+octubre!G184</f>
        <v>-143420</v>
      </c>
    </row>
    <row r="287" spans="2:7" ht="15.75" customHeight="1" x14ac:dyDescent="0.2">
      <c r="B287" s="93" t="s">
        <v>240</v>
      </c>
      <c r="C287" s="86" t="s">
        <v>239</v>
      </c>
      <c r="D287" s="91">
        <f>+octubre!D185</f>
        <v>0</v>
      </c>
      <c r="E287" s="91">
        <f>+octubre!E185</f>
        <v>0</v>
      </c>
      <c r="F287" s="91">
        <f>+octubre!F185</f>
        <v>-10727273</v>
      </c>
      <c r="G287" s="91">
        <f>+octubre!G185</f>
        <v>-6980746</v>
      </c>
    </row>
    <row r="288" spans="2:7" ht="15.75" customHeight="1" x14ac:dyDescent="0.2">
      <c r="B288" s="93" t="s">
        <v>208</v>
      </c>
      <c r="C288" s="86" t="s">
        <v>207</v>
      </c>
      <c r="D288" s="91">
        <f>+octubre!D186</f>
        <v>0</v>
      </c>
      <c r="E288" s="91">
        <f>+octubre!E186</f>
        <v>0</v>
      </c>
      <c r="F288" s="91">
        <f>+octubre!F186</f>
        <v>-130340</v>
      </c>
      <c r="G288" s="91">
        <f>+octubre!G186</f>
        <v>0</v>
      </c>
    </row>
    <row r="289" spans="2:7" ht="15.75" customHeight="1" x14ac:dyDescent="0.2">
      <c r="B289" s="93" t="s">
        <v>210</v>
      </c>
      <c r="C289" s="86" t="s">
        <v>209</v>
      </c>
      <c r="D289" s="91">
        <f>+octubre!D187</f>
        <v>-65170</v>
      </c>
      <c r="E289" s="91">
        <f>+octubre!E187</f>
        <v>0</v>
      </c>
      <c r="F289" s="91">
        <f>+octubre!F187</f>
        <v>-260680</v>
      </c>
      <c r="G289" s="91">
        <f>+octubre!G187</f>
        <v>-17513</v>
      </c>
    </row>
    <row r="290" spans="2:7" ht="15.75" customHeight="1" x14ac:dyDescent="0.2">
      <c r="B290" s="93" t="s">
        <v>212</v>
      </c>
      <c r="C290" s="86" t="s">
        <v>211</v>
      </c>
      <c r="D290" s="91">
        <f>+octubre!D188</f>
        <v>-83634</v>
      </c>
      <c r="E290" s="91">
        <f>+octubre!E188</f>
        <v>-3298</v>
      </c>
      <c r="F290" s="91">
        <f>+octubre!F188</f>
        <v>-838093</v>
      </c>
      <c r="G290" s="91">
        <f>+octubre!G188</f>
        <v>-456828</v>
      </c>
    </row>
    <row r="291" spans="2:7" ht="15.75" customHeight="1" x14ac:dyDescent="0.2">
      <c r="B291" s="93" t="s">
        <v>214</v>
      </c>
      <c r="C291" s="86" t="s">
        <v>213</v>
      </c>
      <c r="D291" s="91">
        <f>+octubre!D189</f>
        <v>0</v>
      </c>
      <c r="E291" s="91">
        <f>+octubre!E189</f>
        <v>0</v>
      </c>
      <c r="F291" s="91">
        <f>+octubre!F189</f>
        <v>-1000000</v>
      </c>
      <c r="G291" s="91">
        <f>+octubre!G189</f>
        <v>-1350650</v>
      </c>
    </row>
    <row r="292" spans="2:7" ht="15.75" customHeight="1" x14ac:dyDescent="0.2">
      <c r="B292" s="93" t="s">
        <v>216</v>
      </c>
      <c r="C292" s="86" t="s">
        <v>215</v>
      </c>
      <c r="D292" s="91">
        <f>+octubre!D189</f>
        <v>0</v>
      </c>
      <c r="E292" s="91">
        <f>+octubre!E190</f>
        <v>0</v>
      </c>
      <c r="F292" s="91">
        <f>+octubre!F190</f>
        <v>0</v>
      </c>
      <c r="G292" s="91">
        <f>+octubre!G190</f>
        <v>-26855</v>
      </c>
    </row>
    <row r="293" spans="2:7" ht="15.75" customHeight="1" x14ac:dyDescent="0.2">
      <c r="B293" s="85" t="s">
        <v>256</v>
      </c>
      <c r="C293" s="86" t="s">
        <v>255</v>
      </c>
      <c r="D293" s="91">
        <f>+octubre!D191</f>
        <v>0</v>
      </c>
      <c r="E293" s="91">
        <f>+octubre!E191</f>
        <v>0</v>
      </c>
      <c r="F293" s="91">
        <f>+octubre!F191</f>
        <v>-91238</v>
      </c>
      <c r="G293" s="91">
        <v>-116969</v>
      </c>
    </row>
    <row r="294" spans="2:7" ht="15.75" customHeight="1" x14ac:dyDescent="0.2">
      <c r="B294" s="85" t="s">
        <v>220</v>
      </c>
      <c r="C294" s="86" t="s">
        <v>219</v>
      </c>
      <c r="D294" s="91">
        <f>+octubre!D192</f>
        <v>-6517</v>
      </c>
      <c r="E294" s="91">
        <f>+octubre!E192</f>
        <v>-3683</v>
      </c>
      <c r="F294" s="91">
        <f>+octubre!F192</f>
        <v>-65170</v>
      </c>
      <c r="G294" s="91">
        <f>+octubre!G192</f>
        <v>-8429</v>
      </c>
    </row>
    <row r="295" spans="2:7" ht="15.75" customHeight="1" x14ac:dyDescent="0.2">
      <c r="B295" s="85" t="s">
        <v>226</v>
      </c>
      <c r="C295" s="86" t="s">
        <v>225</v>
      </c>
      <c r="D295" s="91">
        <f>+octubre!D193</f>
        <v>-93845</v>
      </c>
      <c r="E295" s="91">
        <f>+octubre!E193</f>
        <v>-3132</v>
      </c>
      <c r="F295" s="91">
        <f>+octubre!F193</f>
        <v>-469225</v>
      </c>
      <c r="G295" s="91">
        <f>+octubre!G193</f>
        <v>-40870</v>
      </c>
    </row>
    <row r="296" spans="2:7" ht="15.75" customHeight="1" x14ac:dyDescent="0.2">
      <c r="B296" s="85" t="s">
        <v>307</v>
      </c>
      <c r="C296" s="86" t="s">
        <v>233</v>
      </c>
      <c r="D296" s="89">
        <f>+octubre!D195</f>
        <v>0</v>
      </c>
      <c r="E296" s="89">
        <f>+octubre!E195</f>
        <v>0</v>
      </c>
      <c r="F296" s="89">
        <f>+octubre!F195</f>
        <v>0</v>
      </c>
      <c r="G296" s="89">
        <f>+octubre!G195</f>
        <v>28062172</v>
      </c>
    </row>
    <row r="297" spans="2:7" ht="15.75" customHeight="1" thickBot="1" x14ac:dyDescent="0.25">
      <c r="B297" s="95" t="s">
        <v>164</v>
      </c>
      <c r="C297" s="96"/>
      <c r="D297" s="97">
        <f>+D261+D263</f>
        <v>-4183274</v>
      </c>
      <c r="E297" s="98">
        <f>+E261+E263</f>
        <v>-6908670</v>
      </c>
      <c r="F297" s="97">
        <f>+F261+F263</f>
        <v>-42879942</v>
      </c>
      <c r="G297" s="98">
        <f>+G261+G263</f>
        <v>28224078</v>
      </c>
    </row>
    <row r="300" spans="2:7" ht="15.75" customHeight="1" x14ac:dyDescent="0.2">
      <c r="B300" s="438" t="s">
        <v>172</v>
      </c>
      <c r="C300" s="438"/>
      <c r="D300" s="438"/>
      <c r="E300" s="438"/>
      <c r="F300" s="438"/>
      <c r="G300" s="438"/>
    </row>
    <row r="301" spans="2:7" ht="15.75" customHeight="1" x14ac:dyDescent="0.2">
      <c r="B301" s="65" t="s">
        <v>52</v>
      </c>
      <c r="C301" s="234" t="str">
        <f>+Portada!$H$19</f>
        <v>Octubre de 2016</v>
      </c>
      <c r="D301" s="65"/>
      <c r="E301" s="65"/>
      <c r="F301" s="65"/>
      <c r="G301" s="65"/>
    </row>
    <row r="302" spans="2:7" ht="15.75" customHeight="1" thickBot="1" x14ac:dyDescent="0.25">
      <c r="B302" s="66"/>
      <c r="C302" s="67"/>
      <c r="D302" s="67"/>
      <c r="E302" s="67"/>
      <c r="F302" s="68"/>
      <c r="G302" s="68"/>
    </row>
    <row r="303" spans="2:7" ht="15.75" customHeight="1" thickBot="1" x14ac:dyDescent="0.25">
      <c r="B303" s="66"/>
      <c r="C303" s="67"/>
      <c r="D303" s="439" t="s">
        <v>48</v>
      </c>
      <c r="E303" s="440"/>
      <c r="F303" s="441" t="s">
        <v>53</v>
      </c>
      <c r="G303" s="442"/>
    </row>
    <row r="304" spans="2:7" ht="15.75" customHeight="1" thickBot="1" x14ac:dyDescent="0.25">
      <c r="B304" s="69" t="s">
        <v>66</v>
      </c>
      <c r="C304" s="70" t="s">
        <v>67</v>
      </c>
      <c r="D304" s="316" t="s">
        <v>49</v>
      </c>
      <c r="E304" s="72" t="s">
        <v>50</v>
      </c>
      <c r="F304" s="71" t="s">
        <v>49</v>
      </c>
      <c r="G304" s="72" t="s">
        <v>50</v>
      </c>
    </row>
    <row r="305" spans="2:7" ht="15.75" customHeight="1" x14ac:dyDescent="0.2">
      <c r="B305" s="73"/>
      <c r="C305" s="74"/>
      <c r="D305" s="317"/>
      <c r="E305" s="76"/>
      <c r="F305" s="75"/>
      <c r="G305" s="78"/>
    </row>
    <row r="306" spans="2:7" ht="15.75" customHeight="1" x14ac:dyDescent="0.2">
      <c r="B306" s="73" t="s">
        <v>68</v>
      </c>
      <c r="C306" s="74" t="s">
        <v>69</v>
      </c>
      <c r="D306" s="317">
        <f>+octubre!D208</f>
        <v>0</v>
      </c>
      <c r="E306" s="80">
        <f>+octubre!E208</f>
        <v>3350000</v>
      </c>
      <c r="F306" s="79">
        <f>+octubre!F208</f>
        <v>77168000</v>
      </c>
      <c r="G306" s="79">
        <f>+octubre!G208</f>
        <v>48508000</v>
      </c>
    </row>
    <row r="307" spans="2:7" ht="15.75" customHeight="1" x14ac:dyDescent="0.2">
      <c r="B307" s="73"/>
      <c r="C307" s="74"/>
      <c r="D307" s="317"/>
      <c r="E307" s="80"/>
      <c r="F307" s="75"/>
      <c r="G307" s="78"/>
    </row>
    <row r="308" spans="2:7" ht="15.75" customHeight="1" x14ac:dyDescent="0.2">
      <c r="B308" s="73" t="s">
        <v>70</v>
      </c>
      <c r="C308" s="74" t="s">
        <v>71</v>
      </c>
      <c r="D308" s="317">
        <f>+D310+D318</f>
        <v>0</v>
      </c>
      <c r="E308" s="324">
        <f>+E310+E318</f>
        <v>0</v>
      </c>
      <c r="F308" s="75">
        <f>+F310+F318</f>
        <v>-70321000</v>
      </c>
      <c r="G308" s="78">
        <f>+G310+G318</f>
        <v>-45857552</v>
      </c>
    </row>
    <row r="309" spans="2:7" ht="15.75" customHeight="1" x14ac:dyDescent="0.2">
      <c r="B309" s="73"/>
      <c r="C309" s="74"/>
      <c r="D309" s="317"/>
      <c r="E309" s="80"/>
      <c r="F309" s="75"/>
      <c r="G309" s="78"/>
    </row>
    <row r="310" spans="2:7" ht="15.75" customHeight="1" x14ac:dyDescent="0.2">
      <c r="B310" s="81" t="s">
        <v>72</v>
      </c>
      <c r="C310" s="82" t="s">
        <v>73</v>
      </c>
      <c r="D310" s="319">
        <f>+SUM(D311:D316)</f>
        <v>0</v>
      </c>
      <c r="E310" s="321">
        <f>+SUM(E311:E316)</f>
        <v>0</v>
      </c>
      <c r="F310" s="83">
        <f>+SUM(F311:F316)</f>
        <v>-68900000</v>
      </c>
      <c r="G310" s="84">
        <f>+SUM(G311:G316)</f>
        <v>-42468013</v>
      </c>
    </row>
    <row r="311" spans="2:7" ht="15.75" customHeight="1" x14ac:dyDescent="0.2">
      <c r="B311" s="85" t="s">
        <v>12</v>
      </c>
      <c r="C311" s="86" t="s">
        <v>74</v>
      </c>
      <c r="D311" s="325"/>
      <c r="E311" s="88"/>
      <c r="F311" s="87"/>
      <c r="G311" s="88"/>
    </row>
    <row r="312" spans="2:7" ht="15.75" customHeight="1" x14ac:dyDescent="0.2">
      <c r="B312" s="85" t="s">
        <v>75</v>
      </c>
      <c r="C312" s="86" t="s">
        <v>76</v>
      </c>
      <c r="D312" s="322"/>
      <c r="E312" s="94"/>
      <c r="F312" s="89"/>
      <c r="G312" s="90"/>
    </row>
    <row r="313" spans="2:7" ht="15.75" customHeight="1" x14ac:dyDescent="0.2">
      <c r="B313" s="85" t="s">
        <v>77</v>
      </c>
      <c r="C313" s="86" t="s">
        <v>78</v>
      </c>
      <c r="D313" s="322">
        <f>+octubre!D200</f>
        <v>0</v>
      </c>
      <c r="E313" s="94">
        <f>+octubre!E200</f>
        <v>0</v>
      </c>
      <c r="F313" s="89">
        <f>+octubre!F200</f>
        <v>-68900000</v>
      </c>
      <c r="G313" s="89">
        <f>+octubre!G200</f>
        <v>-73336876</v>
      </c>
    </row>
    <row r="314" spans="2:7" ht="15.75" customHeight="1" x14ac:dyDescent="0.2">
      <c r="B314" s="85" t="s">
        <v>14</v>
      </c>
      <c r="C314" s="86" t="s">
        <v>80</v>
      </c>
      <c r="D314" s="322"/>
      <c r="E314" s="94">
        <f>+octubre!E205</f>
        <v>0</v>
      </c>
      <c r="F314" s="89"/>
      <c r="G314" s="90">
        <f>+octubre!G205</f>
        <v>30868863</v>
      </c>
    </row>
    <row r="315" spans="2:7" ht="15.75" customHeight="1" x14ac:dyDescent="0.2">
      <c r="B315" s="85" t="s">
        <v>26</v>
      </c>
      <c r="C315" s="86" t="s">
        <v>81</v>
      </c>
      <c r="D315" s="322"/>
      <c r="E315" s="94"/>
      <c r="F315" s="89"/>
      <c r="G315" s="90"/>
    </row>
    <row r="316" spans="2:7" ht="15.75" customHeight="1" x14ac:dyDescent="0.2">
      <c r="B316" s="85" t="s">
        <v>82</v>
      </c>
      <c r="C316" s="86" t="s">
        <v>81</v>
      </c>
      <c r="D316" s="322"/>
      <c r="E316" s="94"/>
      <c r="F316" s="89"/>
      <c r="G316" s="90"/>
    </row>
    <row r="317" spans="2:7" ht="15.75" customHeight="1" x14ac:dyDescent="0.2">
      <c r="B317" s="73"/>
      <c r="C317" s="74"/>
      <c r="D317" s="317"/>
      <c r="E317" s="80"/>
      <c r="F317" s="75"/>
      <c r="G317" s="78"/>
    </row>
    <row r="318" spans="2:7" ht="15.75" customHeight="1" x14ac:dyDescent="0.2">
      <c r="B318" s="81" t="s">
        <v>83</v>
      </c>
      <c r="C318" s="82" t="s">
        <v>84</v>
      </c>
      <c r="D318" s="319">
        <f>+SUM(D319:D359)</f>
        <v>0</v>
      </c>
      <c r="E318" s="321">
        <f>+SUM(E319:E359)</f>
        <v>0</v>
      </c>
      <c r="F318" s="83">
        <f>+SUM(F319:F359)</f>
        <v>-1421000</v>
      </c>
      <c r="G318" s="84">
        <f>+SUM(G319:G359)</f>
        <v>-3389539</v>
      </c>
    </row>
    <row r="319" spans="2:7" ht="15.75" customHeight="1" x14ac:dyDescent="0.2">
      <c r="B319" s="85" t="s">
        <v>23</v>
      </c>
      <c r="C319" s="86" t="s">
        <v>85</v>
      </c>
      <c r="D319" s="323"/>
      <c r="E319" s="326"/>
      <c r="F319" s="91"/>
      <c r="G319" s="91"/>
    </row>
    <row r="320" spans="2:7" ht="15.75" customHeight="1" x14ac:dyDescent="0.2">
      <c r="B320" s="85" t="s">
        <v>86</v>
      </c>
      <c r="C320" s="86" t="s">
        <v>87</v>
      </c>
      <c r="D320" s="75"/>
      <c r="E320" s="75"/>
      <c r="F320" s="75"/>
      <c r="G320" s="75"/>
    </row>
    <row r="321" spans="2:7" ht="15.75" customHeight="1" x14ac:dyDescent="0.2">
      <c r="B321" s="85" t="s">
        <v>88</v>
      </c>
      <c r="C321" s="86" t="s">
        <v>89</v>
      </c>
      <c r="D321" s="75"/>
      <c r="E321" s="75"/>
      <c r="F321" s="75"/>
      <c r="G321" s="75"/>
    </row>
    <row r="322" spans="2:7" ht="15.75" customHeight="1" x14ac:dyDescent="0.2">
      <c r="B322" s="93" t="s">
        <v>90</v>
      </c>
      <c r="C322" s="86" t="s">
        <v>91</v>
      </c>
      <c r="D322" s="89">
        <f>+octubre!D201</f>
        <v>0</v>
      </c>
      <c r="E322" s="89">
        <f>+octubre!E201</f>
        <v>0</v>
      </c>
      <c r="F322" s="89">
        <f>+octubre!F201</f>
        <v>-650000</v>
      </c>
      <c r="G322" s="89">
        <f>+octubre!G201</f>
        <v>-337286</v>
      </c>
    </row>
    <row r="323" spans="2:7" ht="15.75" customHeight="1" x14ac:dyDescent="0.2">
      <c r="B323" s="93" t="s">
        <v>92</v>
      </c>
      <c r="C323" s="86" t="s">
        <v>93</v>
      </c>
      <c r="D323" s="89"/>
      <c r="E323" s="89"/>
      <c r="F323" s="89"/>
      <c r="G323" s="89"/>
    </row>
    <row r="324" spans="2:7" ht="15.75" customHeight="1" x14ac:dyDescent="0.2">
      <c r="B324" s="93" t="s">
        <v>94</v>
      </c>
      <c r="C324" s="86" t="s">
        <v>95</v>
      </c>
      <c r="D324" s="89"/>
      <c r="E324" s="89"/>
      <c r="F324" s="89"/>
      <c r="G324" s="89"/>
    </row>
    <row r="325" spans="2:7" ht="15.75" customHeight="1" x14ac:dyDescent="0.2">
      <c r="B325" s="93" t="s">
        <v>96</v>
      </c>
      <c r="C325" s="86" t="s">
        <v>97</v>
      </c>
      <c r="D325" s="89"/>
      <c r="E325" s="89"/>
      <c r="F325" s="89"/>
      <c r="G325" s="89"/>
    </row>
    <row r="326" spans="2:7" ht="15.75" customHeight="1" x14ac:dyDescent="0.2">
      <c r="B326" s="93" t="s">
        <v>98</v>
      </c>
      <c r="C326" s="86" t="s">
        <v>99</v>
      </c>
      <c r="D326" s="89"/>
      <c r="E326" s="89"/>
      <c r="F326" s="89"/>
      <c r="G326" s="89"/>
    </row>
    <row r="327" spans="2:7" ht="15.75" customHeight="1" x14ac:dyDescent="0.2">
      <c r="B327" s="93" t="s">
        <v>100</v>
      </c>
      <c r="C327" s="86" t="s">
        <v>101</v>
      </c>
      <c r="D327" s="89">
        <f>+octubre!D202</f>
        <v>0</v>
      </c>
      <c r="E327" s="89">
        <f>+octubre!E202</f>
        <v>0</v>
      </c>
      <c r="F327" s="89">
        <f>+octubre!F202</f>
        <v>-51000</v>
      </c>
      <c r="G327" s="89">
        <f>+octubre!G202</f>
        <v>0</v>
      </c>
    </row>
    <row r="328" spans="2:7" ht="15.75" customHeight="1" x14ac:dyDescent="0.2">
      <c r="B328" s="93" t="s">
        <v>102</v>
      </c>
      <c r="C328" s="86" t="s">
        <v>103</v>
      </c>
      <c r="D328" s="89"/>
      <c r="E328" s="89"/>
      <c r="F328" s="89"/>
      <c r="G328" s="89"/>
    </row>
    <row r="329" spans="2:7" ht="15.75" customHeight="1" x14ac:dyDescent="0.2">
      <c r="B329" s="93" t="s">
        <v>104</v>
      </c>
      <c r="C329" s="86" t="s">
        <v>105</v>
      </c>
      <c r="D329" s="89"/>
      <c r="E329" s="89"/>
      <c r="F329" s="89"/>
      <c r="G329" s="89"/>
    </row>
    <row r="330" spans="2:7" ht="15.75" customHeight="1" x14ac:dyDescent="0.2">
      <c r="B330" s="93" t="s">
        <v>106</v>
      </c>
      <c r="C330" s="86" t="s">
        <v>107</v>
      </c>
      <c r="D330" s="89"/>
      <c r="E330" s="89"/>
      <c r="F330" s="89"/>
      <c r="G330" s="89"/>
    </row>
    <row r="331" spans="2:7" ht="15.75" customHeight="1" x14ac:dyDescent="0.2">
      <c r="B331" s="93" t="s">
        <v>108</v>
      </c>
      <c r="C331" s="86" t="s">
        <v>109</v>
      </c>
      <c r="D331" s="89"/>
      <c r="E331" s="89"/>
      <c r="F331" s="89"/>
      <c r="G331" s="89"/>
    </row>
    <row r="332" spans="2:7" ht="15.75" customHeight="1" x14ac:dyDescent="0.2">
      <c r="B332" s="93" t="s">
        <v>110</v>
      </c>
      <c r="C332" s="86" t="s">
        <v>111</v>
      </c>
      <c r="D332" s="89"/>
      <c r="E332" s="89"/>
      <c r="F332" s="89"/>
      <c r="G332" s="89"/>
    </row>
    <row r="333" spans="2:7" ht="15.75" customHeight="1" x14ac:dyDescent="0.2">
      <c r="B333" s="93" t="s">
        <v>112</v>
      </c>
      <c r="C333" s="86" t="s">
        <v>113</v>
      </c>
      <c r="D333" s="89"/>
      <c r="E333" s="89"/>
      <c r="F333" s="89"/>
      <c r="G333" s="89"/>
    </row>
    <row r="334" spans="2:7" ht="15.75" customHeight="1" x14ac:dyDescent="0.2">
      <c r="B334" s="93" t="s">
        <v>114</v>
      </c>
      <c r="C334" s="86" t="s">
        <v>115</v>
      </c>
      <c r="D334" s="89"/>
      <c r="E334" s="89"/>
      <c r="F334" s="89"/>
      <c r="G334" s="89"/>
    </row>
    <row r="335" spans="2:7" ht="15.75" customHeight="1" x14ac:dyDescent="0.2">
      <c r="B335" s="93" t="s">
        <v>116</v>
      </c>
      <c r="C335" s="86" t="s">
        <v>117</v>
      </c>
      <c r="D335" s="89"/>
      <c r="E335" s="89"/>
      <c r="F335" s="89"/>
      <c r="G335" s="89"/>
    </row>
    <row r="336" spans="2:7" ht="15.75" customHeight="1" x14ac:dyDescent="0.2">
      <c r="B336" s="93" t="s">
        <v>118</v>
      </c>
      <c r="C336" s="86" t="s">
        <v>119</v>
      </c>
      <c r="D336" s="89">
        <f>+octubre!D203</f>
        <v>0</v>
      </c>
      <c r="E336" s="89">
        <f>+octubre!E203</f>
        <v>0</v>
      </c>
      <c r="F336" s="89">
        <f>+octubre!F203</f>
        <v>-720000</v>
      </c>
      <c r="G336" s="89">
        <f>+octubre!G203</f>
        <v>-930443</v>
      </c>
    </row>
    <row r="337" spans="2:7" ht="15.75" customHeight="1" x14ac:dyDescent="0.2">
      <c r="B337" s="93" t="s">
        <v>120</v>
      </c>
      <c r="C337" s="86" t="s">
        <v>121</v>
      </c>
      <c r="D337" s="89"/>
      <c r="E337" s="89"/>
      <c r="F337" s="89"/>
      <c r="G337" s="89"/>
    </row>
    <row r="338" spans="2:7" ht="15.75" customHeight="1" x14ac:dyDescent="0.2">
      <c r="B338" s="85" t="s">
        <v>122</v>
      </c>
      <c r="C338" s="86" t="s">
        <v>123</v>
      </c>
      <c r="D338" s="89"/>
      <c r="E338" s="89"/>
      <c r="F338" s="89"/>
      <c r="G338" s="89"/>
    </row>
    <row r="339" spans="2:7" ht="15.75" customHeight="1" x14ac:dyDescent="0.2">
      <c r="B339" s="85" t="s">
        <v>124</v>
      </c>
      <c r="C339" s="86" t="s">
        <v>125</v>
      </c>
      <c r="D339" s="89"/>
      <c r="E339" s="89"/>
      <c r="F339" s="89"/>
      <c r="G339" s="89"/>
    </row>
    <row r="340" spans="2:7" ht="15.75" customHeight="1" x14ac:dyDescent="0.2">
      <c r="B340" s="85" t="s">
        <v>126</v>
      </c>
      <c r="C340" s="86" t="s">
        <v>127</v>
      </c>
      <c r="D340" s="89"/>
      <c r="E340" s="89"/>
      <c r="F340" s="89"/>
      <c r="G340" s="89"/>
    </row>
    <row r="341" spans="2:7" ht="15.75" customHeight="1" x14ac:dyDescent="0.2">
      <c r="B341" s="85" t="s">
        <v>128</v>
      </c>
      <c r="C341" s="86" t="s">
        <v>129</v>
      </c>
      <c r="D341" s="89"/>
      <c r="E341" s="89"/>
      <c r="F341" s="89"/>
      <c r="G341" s="89"/>
    </row>
    <row r="342" spans="2:7" ht="15.75" customHeight="1" x14ac:dyDescent="0.2">
      <c r="B342" s="85" t="s">
        <v>130</v>
      </c>
      <c r="C342" s="86" t="s">
        <v>131</v>
      </c>
      <c r="D342" s="89"/>
      <c r="E342" s="89"/>
      <c r="F342" s="89"/>
      <c r="G342" s="89"/>
    </row>
    <row r="343" spans="2:7" ht="15.75" customHeight="1" x14ac:dyDescent="0.2">
      <c r="B343" s="85" t="s">
        <v>132</v>
      </c>
      <c r="C343" s="86" t="s">
        <v>133</v>
      </c>
      <c r="D343" s="89"/>
      <c r="E343" s="89"/>
      <c r="F343" s="89"/>
      <c r="G343" s="89"/>
    </row>
    <row r="344" spans="2:7" ht="15.75" customHeight="1" x14ac:dyDescent="0.2">
      <c r="B344" s="85" t="s">
        <v>134</v>
      </c>
      <c r="C344" s="86" t="s">
        <v>135</v>
      </c>
      <c r="D344" s="89">
        <f>+octubre!D204</f>
        <v>0</v>
      </c>
      <c r="E344" s="89">
        <f>+octubre!E204</f>
        <v>0</v>
      </c>
      <c r="F344" s="89">
        <f>+octubre!F204</f>
        <v>0</v>
      </c>
      <c r="G344" s="89">
        <f>+octubre!G204</f>
        <v>-46615</v>
      </c>
    </row>
    <row r="345" spans="2:7" ht="15.75" customHeight="1" x14ac:dyDescent="0.2">
      <c r="B345" s="85" t="s">
        <v>136</v>
      </c>
      <c r="C345" s="86" t="s">
        <v>137</v>
      </c>
      <c r="D345" s="89"/>
      <c r="E345" s="89"/>
      <c r="F345" s="89"/>
      <c r="G345" s="89"/>
    </row>
    <row r="346" spans="2:7" ht="15.75" customHeight="1" x14ac:dyDescent="0.2">
      <c r="B346" s="93" t="s">
        <v>138</v>
      </c>
      <c r="C346" s="86" t="s">
        <v>139</v>
      </c>
      <c r="D346" s="89"/>
      <c r="E346" s="89"/>
      <c r="F346" s="89"/>
      <c r="G346" s="89"/>
    </row>
    <row r="347" spans="2:7" ht="15.75" customHeight="1" x14ac:dyDescent="0.2">
      <c r="B347" s="93" t="s">
        <v>140</v>
      </c>
      <c r="C347" s="86" t="s">
        <v>141</v>
      </c>
      <c r="D347" s="89"/>
      <c r="E347" s="89"/>
      <c r="F347" s="89"/>
      <c r="G347" s="89"/>
    </row>
    <row r="348" spans="2:7" ht="15.75" customHeight="1" x14ac:dyDescent="0.2">
      <c r="B348" s="93" t="s">
        <v>142</v>
      </c>
      <c r="C348" s="86" t="s">
        <v>143</v>
      </c>
      <c r="D348" s="89"/>
      <c r="E348" s="89"/>
      <c r="F348" s="89"/>
      <c r="G348" s="89"/>
    </row>
    <row r="349" spans="2:7" ht="15.75" customHeight="1" x14ac:dyDescent="0.2">
      <c r="B349" s="93" t="s">
        <v>144</v>
      </c>
      <c r="C349" s="86" t="s">
        <v>145</v>
      </c>
      <c r="D349" s="89"/>
      <c r="E349" s="89"/>
      <c r="F349" s="89"/>
      <c r="G349" s="89"/>
    </row>
    <row r="350" spans="2:7" ht="15.75" customHeight="1" x14ac:dyDescent="0.2">
      <c r="B350" s="93" t="s">
        <v>146</v>
      </c>
      <c r="C350" s="86" t="s">
        <v>147</v>
      </c>
      <c r="D350" s="89"/>
      <c r="E350" s="89"/>
      <c r="F350" s="89"/>
      <c r="G350" s="89"/>
    </row>
    <row r="351" spans="2:7" ht="15.75" customHeight="1" x14ac:dyDescent="0.2">
      <c r="B351" s="93" t="s">
        <v>148</v>
      </c>
      <c r="C351" s="86" t="s">
        <v>149</v>
      </c>
      <c r="D351" s="89"/>
      <c r="E351" s="89"/>
      <c r="F351" s="89"/>
      <c r="G351" s="89"/>
    </row>
    <row r="352" spans="2:7" ht="15.75" customHeight="1" x14ac:dyDescent="0.2">
      <c r="B352" s="93" t="s">
        <v>150</v>
      </c>
      <c r="C352" s="86" t="s">
        <v>151</v>
      </c>
      <c r="D352" s="89"/>
      <c r="E352" s="89"/>
      <c r="F352" s="89"/>
      <c r="G352" s="89"/>
    </row>
    <row r="353" spans="2:7" ht="15.75" customHeight="1" x14ac:dyDescent="0.2">
      <c r="B353" s="93" t="s">
        <v>152</v>
      </c>
      <c r="C353" s="86" t="s">
        <v>153</v>
      </c>
      <c r="D353" s="89"/>
      <c r="E353" s="89"/>
      <c r="F353" s="89"/>
      <c r="G353" s="89"/>
    </row>
    <row r="354" spans="2:7" ht="15.75" customHeight="1" x14ac:dyDescent="0.2">
      <c r="B354" s="93" t="s">
        <v>24</v>
      </c>
      <c r="C354" s="86" t="s">
        <v>154</v>
      </c>
      <c r="D354" s="89">
        <f>+octubre!D206</f>
        <v>0</v>
      </c>
      <c r="E354" s="89">
        <f>+octubre!E206</f>
        <v>0</v>
      </c>
      <c r="F354" s="89">
        <f>+octubre!F206</f>
        <v>0</v>
      </c>
      <c r="G354" s="89">
        <f>+octubre!G206</f>
        <v>-333333</v>
      </c>
    </row>
    <row r="355" spans="2:7" ht="15.75" customHeight="1" x14ac:dyDescent="0.2">
      <c r="B355" s="93" t="s">
        <v>155</v>
      </c>
      <c r="C355" s="86" t="s">
        <v>156</v>
      </c>
      <c r="D355" s="89"/>
      <c r="E355" s="89"/>
      <c r="F355" s="89"/>
      <c r="G355" s="89"/>
    </row>
    <row r="356" spans="2:7" ht="15.75" customHeight="1" x14ac:dyDescent="0.2">
      <c r="B356" s="85" t="s">
        <v>157</v>
      </c>
      <c r="C356" s="86" t="s">
        <v>158</v>
      </c>
      <c r="D356" s="89"/>
      <c r="E356" s="89"/>
      <c r="F356" s="89"/>
      <c r="G356" s="89"/>
    </row>
    <row r="357" spans="2:7" ht="15.75" customHeight="1" x14ac:dyDescent="0.2">
      <c r="B357" s="85" t="s">
        <v>159</v>
      </c>
      <c r="C357" s="86" t="s">
        <v>160</v>
      </c>
      <c r="D357" s="89"/>
      <c r="E357" s="89"/>
      <c r="F357" s="89"/>
      <c r="G357" s="89"/>
    </row>
    <row r="358" spans="2:7" ht="15.75" customHeight="1" x14ac:dyDescent="0.2">
      <c r="B358" s="85" t="s">
        <v>161</v>
      </c>
      <c r="C358" s="86" t="s">
        <v>162</v>
      </c>
      <c r="D358" s="89"/>
      <c r="E358" s="89"/>
      <c r="F358" s="89"/>
      <c r="G358" s="89"/>
    </row>
    <row r="359" spans="2:7" ht="15.75" customHeight="1" x14ac:dyDescent="0.2">
      <c r="B359" s="99" t="s">
        <v>305</v>
      </c>
      <c r="C359" s="100" t="s">
        <v>163</v>
      </c>
      <c r="D359" s="101"/>
      <c r="E359" s="101"/>
      <c r="F359" s="101"/>
      <c r="G359" s="101">
        <f>+octubre!G207</f>
        <v>-1741862</v>
      </c>
    </row>
    <row r="360" spans="2:7" ht="15.75" customHeight="1" thickBot="1" x14ac:dyDescent="0.25">
      <c r="B360" s="95" t="s">
        <v>164</v>
      </c>
      <c r="C360" s="96"/>
      <c r="D360" s="97">
        <f>+D306+D308</f>
        <v>0</v>
      </c>
      <c r="E360" s="97">
        <f>+E306+E308</f>
        <v>3350000</v>
      </c>
      <c r="F360" s="97">
        <f>+F306+F308</f>
        <v>6847000</v>
      </c>
      <c r="G360" s="97">
        <f>+G306+G308</f>
        <v>2650448</v>
      </c>
    </row>
    <row r="363" spans="2:7" ht="15.75" customHeight="1" x14ac:dyDescent="0.2">
      <c r="B363" s="438" t="s">
        <v>173</v>
      </c>
      <c r="C363" s="438"/>
      <c r="D363" s="438"/>
      <c r="E363" s="438"/>
      <c r="F363" s="438"/>
      <c r="G363" s="438"/>
    </row>
    <row r="364" spans="2:7" ht="15.75" customHeight="1" x14ac:dyDescent="0.2">
      <c r="B364" s="65" t="s">
        <v>52</v>
      </c>
      <c r="C364" s="234" t="str">
        <f>+Portada!$H$19</f>
        <v>Octubre de 2016</v>
      </c>
      <c r="D364" s="65"/>
      <c r="E364" s="65"/>
      <c r="F364" s="65"/>
      <c r="G364" s="65"/>
    </row>
    <row r="365" spans="2:7" ht="15.75" customHeight="1" thickBot="1" x14ac:dyDescent="0.25">
      <c r="B365" s="66"/>
      <c r="C365" s="67"/>
      <c r="D365" s="67"/>
      <c r="E365" s="67"/>
      <c r="F365" s="68"/>
      <c r="G365" s="68"/>
    </row>
    <row r="366" spans="2:7" ht="15.75" customHeight="1" thickBot="1" x14ac:dyDescent="0.25">
      <c r="B366" s="66"/>
      <c r="C366" s="67"/>
      <c r="D366" s="439" t="s">
        <v>48</v>
      </c>
      <c r="E366" s="440"/>
      <c r="F366" s="441" t="s">
        <v>53</v>
      </c>
      <c r="G366" s="442"/>
    </row>
    <row r="367" spans="2:7" ht="15.75" customHeight="1" thickBot="1" x14ac:dyDescent="0.25">
      <c r="B367" s="69" t="s">
        <v>66</v>
      </c>
      <c r="C367" s="70" t="s">
        <v>67</v>
      </c>
      <c r="D367" s="71" t="s">
        <v>49</v>
      </c>
      <c r="E367" s="72" t="s">
        <v>50</v>
      </c>
      <c r="F367" s="71" t="s">
        <v>49</v>
      </c>
      <c r="G367" s="72" t="s">
        <v>50</v>
      </c>
    </row>
    <row r="368" spans="2:7" ht="15.75" customHeight="1" x14ac:dyDescent="0.2">
      <c r="B368" s="73"/>
      <c r="C368" s="74"/>
      <c r="D368" s="75"/>
      <c r="E368" s="76"/>
      <c r="F368" s="75"/>
      <c r="G368" s="78"/>
    </row>
    <row r="369" spans="2:7" ht="15.75" customHeight="1" x14ac:dyDescent="0.2">
      <c r="B369" s="73" t="s">
        <v>68</v>
      </c>
      <c r="C369" s="74" t="s">
        <v>69</v>
      </c>
      <c r="D369" s="79">
        <f>+octubre!D240</f>
        <v>0</v>
      </c>
      <c r="E369" s="79">
        <f>+octubre!E240</f>
        <v>405000</v>
      </c>
      <c r="F369" s="79">
        <f>+octubre!F240</f>
        <v>1169826295</v>
      </c>
      <c r="G369" s="79">
        <f>+octubre!G240</f>
        <v>1254503683</v>
      </c>
    </row>
    <row r="370" spans="2:7" ht="15.75" customHeight="1" x14ac:dyDescent="0.2">
      <c r="B370" s="73"/>
      <c r="C370" s="74"/>
      <c r="D370" s="75"/>
      <c r="E370" s="80"/>
      <c r="F370" s="75"/>
      <c r="G370" s="78"/>
    </row>
    <row r="371" spans="2:7" ht="15.75" customHeight="1" x14ac:dyDescent="0.2">
      <c r="B371" s="73" t="s">
        <v>70</v>
      </c>
      <c r="C371" s="74" t="s">
        <v>71</v>
      </c>
      <c r="D371" s="75">
        <f>+D373+D381</f>
        <v>-1431539</v>
      </c>
      <c r="E371" s="78">
        <f>+E373+E381</f>
        <v>-174904069</v>
      </c>
      <c r="F371" s="75">
        <f>+F373+F381</f>
        <v>-460361666</v>
      </c>
      <c r="G371" s="78">
        <f>+G373+G381</f>
        <v>-478957026</v>
      </c>
    </row>
    <row r="372" spans="2:7" ht="15.75" customHeight="1" x14ac:dyDescent="0.2">
      <c r="B372" s="73"/>
      <c r="C372" s="74"/>
      <c r="D372" s="75"/>
      <c r="E372" s="80"/>
      <c r="F372" s="75"/>
      <c r="G372" s="78"/>
    </row>
    <row r="373" spans="2:7" ht="15.75" customHeight="1" x14ac:dyDescent="0.2">
      <c r="B373" s="81" t="s">
        <v>72</v>
      </c>
      <c r="C373" s="82" t="s">
        <v>73</v>
      </c>
      <c r="D373" s="83">
        <f>+SUM(D374:D379)</f>
        <v>0</v>
      </c>
      <c r="E373" s="84">
        <f>+SUM(E374:E379)</f>
        <v>-179770620</v>
      </c>
      <c r="F373" s="83">
        <f>+SUM(F374:F379)</f>
        <v>-302073200</v>
      </c>
      <c r="G373" s="84">
        <f>+SUM(G374:G379)</f>
        <v>-344876714</v>
      </c>
    </row>
    <row r="374" spans="2:7" ht="15.75" customHeight="1" x14ac:dyDescent="0.2">
      <c r="B374" s="85" t="s">
        <v>12</v>
      </c>
      <c r="C374" s="86" t="s">
        <v>74</v>
      </c>
      <c r="D374" s="87">
        <f>+octubre!D210</f>
        <v>0</v>
      </c>
      <c r="E374" s="87">
        <f>+octubre!E210</f>
        <v>0</v>
      </c>
      <c r="F374" s="87">
        <f>+octubre!F210</f>
        <v>-148575000</v>
      </c>
      <c r="G374" s="87">
        <f>+octubre!G210</f>
        <v>-167484683</v>
      </c>
    </row>
    <row r="375" spans="2:7" ht="15.75" customHeight="1" x14ac:dyDescent="0.2">
      <c r="B375" s="85" t="s">
        <v>75</v>
      </c>
      <c r="C375" s="86" t="s">
        <v>76</v>
      </c>
      <c r="D375" s="87">
        <f>+octubre!D211</f>
        <v>0</v>
      </c>
      <c r="E375" s="87">
        <f>+octubre!E211</f>
        <v>0</v>
      </c>
      <c r="F375" s="87"/>
      <c r="G375" s="87"/>
    </row>
    <row r="376" spans="2:7" ht="15.75" customHeight="1" x14ac:dyDescent="0.2">
      <c r="B376" s="85" t="s">
        <v>77</v>
      </c>
      <c r="C376" s="86" t="s">
        <v>78</v>
      </c>
      <c r="D376" s="87">
        <f>+octubre!D211</f>
        <v>0</v>
      </c>
      <c r="E376" s="87">
        <f>+octubre!E211</f>
        <v>0</v>
      </c>
      <c r="F376" s="87">
        <f>+octubre!F211</f>
        <v>-5010200</v>
      </c>
      <c r="G376" s="87">
        <f>+octubre!G211</f>
        <v>-3781236</v>
      </c>
    </row>
    <row r="377" spans="2:7" ht="15.75" customHeight="1" x14ac:dyDescent="0.2">
      <c r="B377" s="85" t="s">
        <v>302</v>
      </c>
      <c r="C377" s="86" t="s">
        <v>301</v>
      </c>
      <c r="D377" s="89">
        <f>+octubre!D232</f>
        <v>0</v>
      </c>
      <c r="E377" s="89">
        <f>+octubre!E232</f>
        <v>0</v>
      </c>
      <c r="F377" s="89">
        <f>+octubre!F232</f>
        <v>0</v>
      </c>
      <c r="G377" s="89">
        <f>+octubre!G232</f>
        <v>150099937</v>
      </c>
    </row>
    <row r="378" spans="2:7" ht="15.75" customHeight="1" x14ac:dyDescent="0.2">
      <c r="B378" s="85" t="s">
        <v>26</v>
      </c>
      <c r="C378" s="86" t="s">
        <v>81</v>
      </c>
      <c r="D378" s="89">
        <f>+octubre!D212</f>
        <v>0</v>
      </c>
      <c r="E378" s="89">
        <f>+octubre!E212</f>
        <v>-179322620</v>
      </c>
      <c r="F378" s="89">
        <f>+octubre!F212</f>
        <v>-148488000</v>
      </c>
      <c r="G378" s="89">
        <f>+octubre!G212</f>
        <v>-323262732</v>
      </c>
    </row>
    <row r="379" spans="2:7" ht="15.75" customHeight="1" x14ac:dyDescent="0.2">
      <c r="B379" s="85" t="s">
        <v>82</v>
      </c>
      <c r="C379" s="86" t="s">
        <v>81</v>
      </c>
      <c r="D379" s="89">
        <f>+octubre!D236</f>
        <v>0</v>
      </c>
      <c r="E379" s="89">
        <f>+octubre!E236</f>
        <v>-448000</v>
      </c>
      <c r="F379" s="89">
        <f>+octubre!F236</f>
        <v>0</v>
      </c>
      <c r="G379" s="89">
        <f>+octubre!G236</f>
        <v>-448000</v>
      </c>
    </row>
    <row r="380" spans="2:7" ht="15.75" customHeight="1" x14ac:dyDescent="0.2">
      <c r="B380" s="73"/>
      <c r="C380" s="74"/>
      <c r="D380" s="75"/>
      <c r="E380" s="80"/>
      <c r="F380" s="75"/>
      <c r="G380" s="78"/>
    </row>
    <row r="381" spans="2:7" ht="15.75" customHeight="1" x14ac:dyDescent="0.2">
      <c r="B381" s="81" t="s">
        <v>83</v>
      </c>
      <c r="C381" s="82" t="s">
        <v>84</v>
      </c>
      <c r="D381" s="83">
        <f>+SUM(D382:D404)</f>
        <v>-1431539</v>
      </c>
      <c r="E381" s="83">
        <f t="shared" ref="E381:G381" si="0">+SUM(E382:E404)</f>
        <v>4866551</v>
      </c>
      <c r="F381" s="83">
        <f t="shared" si="0"/>
        <v>-158288466</v>
      </c>
      <c r="G381" s="83">
        <f t="shared" si="0"/>
        <v>-134080312</v>
      </c>
    </row>
    <row r="382" spans="2:7" ht="15.75" customHeight="1" x14ac:dyDescent="0.2">
      <c r="B382" s="85" t="s">
        <v>188</v>
      </c>
      <c r="C382" s="86" t="s">
        <v>187</v>
      </c>
      <c r="D382" s="91">
        <f>+octubre!D213</f>
        <v>-1122054</v>
      </c>
      <c r="E382" s="91">
        <f>+octubre!E213</f>
        <v>-1617628</v>
      </c>
      <c r="F382" s="91">
        <f>+octubre!F213</f>
        <v>-11022502</v>
      </c>
      <c r="G382" s="91">
        <f>+octubre!G213</f>
        <v>-14525335</v>
      </c>
    </row>
    <row r="383" spans="2:7" ht="15.75" customHeight="1" x14ac:dyDescent="0.2">
      <c r="B383" s="85" t="s">
        <v>190</v>
      </c>
      <c r="C383" s="86" t="s">
        <v>189</v>
      </c>
      <c r="D383" s="91">
        <f>+octubre!D214</f>
        <v>0</v>
      </c>
      <c r="E383" s="91">
        <f>+octubre!E214</f>
        <v>0</v>
      </c>
      <c r="F383" s="91">
        <f>+octubre!F214</f>
        <v>0</v>
      </c>
      <c r="G383" s="91">
        <f>+octubre!G214</f>
        <v>4923070</v>
      </c>
    </row>
    <row r="384" spans="2:7" ht="15.75" customHeight="1" x14ac:dyDescent="0.2">
      <c r="B384" s="85" t="s">
        <v>244</v>
      </c>
      <c r="C384" s="86" t="s">
        <v>243</v>
      </c>
      <c r="D384" s="91">
        <f>+octubre!D215</f>
        <v>0</v>
      </c>
      <c r="E384" s="91">
        <f>+octubre!E215</f>
        <v>0</v>
      </c>
      <c r="F384" s="91">
        <f>+octubre!F215</f>
        <v>-6250000</v>
      </c>
      <c r="G384" s="91">
        <f>+octubre!G215</f>
        <v>-4613991</v>
      </c>
    </row>
    <row r="385" spans="2:7" ht="15.75" customHeight="1" x14ac:dyDescent="0.2">
      <c r="B385" s="93" t="s">
        <v>192</v>
      </c>
      <c r="C385" s="86" t="s">
        <v>191</v>
      </c>
      <c r="D385" s="91">
        <f>+octubre!D216</f>
        <v>0</v>
      </c>
      <c r="E385" s="91">
        <f>+octubre!E216</f>
        <v>0</v>
      </c>
      <c r="F385" s="91">
        <f>+octubre!F216</f>
        <v>-3470000</v>
      </c>
      <c r="G385" s="91">
        <f>+octubre!G216</f>
        <v>-5248097</v>
      </c>
    </row>
    <row r="386" spans="2:7" ht="15.75" customHeight="1" x14ac:dyDescent="0.2">
      <c r="B386" s="93" t="s">
        <v>194</v>
      </c>
      <c r="C386" s="86" t="s">
        <v>193</v>
      </c>
      <c r="D386" s="91">
        <f>+octubre!D217</f>
        <v>-14808</v>
      </c>
      <c r="E386" s="91">
        <f>+octubre!E217</f>
        <v>-2343</v>
      </c>
      <c r="F386" s="91">
        <f>+octubre!F217</f>
        <v>-59232</v>
      </c>
      <c r="G386" s="91">
        <f>+octubre!G217</f>
        <v>-601102</v>
      </c>
    </row>
    <row r="387" spans="2:7" ht="15.75" customHeight="1" x14ac:dyDescent="0.2">
      <c r="B387" s="93" t="s">
        <v>196</v>
      </c>
      <c r="C387" s="86" t="s">
        <v>195</v>
      </c>
      <c r="D387" s="91">
        <f>+octubre!D218</f>
        <v>0</v>
      </c>
      <c r="E387" s="91">
        <f>+octubre!E218</f>
        <v>0</v>
      </c>
      <c r="F387" s="91">
        <f>+octubre!F218</f>
        <v>0</v>
      </c>
      <c r="G387" s="91">
        <f>+octubre!G218</f>
        <v>0</v>
      </c>
    </row>
    <row r="388" spans="2:7" ht="15.75" customHeight="1" x14ac:dyDescent="0.2">
      <c r="B388" s="93" t="s">
        <v>198</v>
      </c>
      <c r="C388" s="86" t="s">
        <v>197</v>
      </c>
      <c r="D388" s="91">
        <f>+octubre!D219</f>
        <v>0</v>
      </c>
      <c r="E388" s="91">
        <f>+octubre!E219</f>
        <v>11148080</v>
      </c>
      <c r="F388" s="91">
        <f>+octubre!F219</f>
        <v>-121134936</v>
      </c>
      <c r="G388" s="91">
        <f>+octubre!G219</f>
        <v>-90728932</v>
      </c>
    </row>
    <row r="389" spans="2:7" ht="15.75" customHeight="1" x14ac:dyDescent="0.2">
      <c r="B389" s="93" t="s">
        <v>260</v>
      </c>
      <c r="C389" s="86" t="s">
        <v>259</v>
      </c>
      <c r="D389" s="91">
        <f>+octubre!D220</f>
        <v>0</v>
      </c>
      <c r="E389" s="91">
        <f>+octubre!E220</f>
        <v>0</v>
      </c>
      <c r="F389" s="91">
        <f>+octubre!F220</f>
        <v>-4956000</v>
      </c>
      <c r="G389" s="91">
        <f>+octubre!G220</f>
        <v>-6454500</v>
      </c>
    </row>
    <row r="390" spans="2:7" ht="15.75" customHeight="1" x14ac:dyDescent="0.2">
      <c r="B390" s="93" t="s">
        <v>250</v>
      </c>
      <c r="C390" s="86" t="s">
        <v>249</v>
      </c>
      <c r="D390" s="91">
        <f>+octubre!D221</f>
        <v>0</v>
      </c>
      <c r="E390" s="91">
        <f>+octubre!E221</f>
        <v>0</v>
      </c>
      <c r="F390" s="91">
        <f>+octubre!F221</f>
        <v>-1435856</v>
      </c>
      <c r="G390" s="91">
        <f>+octubre!G221</f>
        <v>-2143834</v>
      </c>
    </row>
    <row r="391" spans="2:7" ht="15.75" customHeight="1" x14ac:dyDescent="0.2">
      <c r="B391" s="93" t="s">
        <v>200</v>
      </c>
      <c r="C391" s="86" t="s">
        <v>199</v>
      </c>
      <c r="D391" s="91">
        <f>+octubre!D222</f>
        <v>-65593</v>
      </c>
      <c r="E391" s="91">
        <f>+octubre!E222</f>
        <v>-113005</v>
      </c>
      <c r="F391" s="91">
        <f>+octubre!F222</f>
        <v>-534115</v>
      </c>
      <c r="G391" s="91">
        <f>+octubre!G222</f>
        <v>-782531</v>
      </c>
    </row>
    <row r="392" spans="2:7" ht="15.75" customHeight="1" x14ac:dyDescent="0.2">
      <c r="B392" s="93" t="s">
        <v>202</v>
      </c>
      <c r="C392" s="86" t="s">
        <v>201</v>
      </c>
      <c r="D392" s="91">
        <f>+octubre!D223</f>
        <v>-12203</v>
      </c>
      <c r="E392" s="91">
        <f>+octubre!E223</f>
        <v>-397403</v>
      </c>
      <c r="F392" s="91">
        <f>+octubre!F223</f>
        <v>-94915</v>
      </c>
      <c r="G392" s="91">
        <f>+octubre!G223</f>
        <v>-2086667</v>
      </c>
    </row>
    <row r="393" spans="2:7" ht="15.75" customHeight="1" x14ac:dyDescent="0.2">
      <c r="B393" s="93" t="s">
        <v>204</v>
      </c>
      <c r="C393" s="86" t="s">
        <v>203</v>
      </c>
      <c r="D393" s="91">
        <f>+octubre!D224</f>
        <v>-131615</v>
      </c>
      <c r="E393" s="91">
        <f>+octubre!E224</f>
        <v>-221994</v>
      </c>
      <c r="F393" s="91">
        <f>+octubre!F224</f>
        <v>-1316150</v>
      </c>
      <c r="G393" s="91">
        <f>+octubre!G224</f>
        <v>-1922715</v>
      </c>
    </row>
    <row r="394" spans="2:7" ht="15.75" customHeight="1" x14ac:dyDescent="0.2">
      <c r="B394" s="93" t="s">
        <v>206</v>
      </c>
      <c r="C394" s="86" t="s">
        <v>205</v>
      </c>
      <c r="D394" s="91">
        <f>+octubre!D225</f>
        <v>0</v>
      </c>
      <c r="E394" s="91">
        <f>+octubre!E225</f>
        <v>0</v>
      </c>
      <c r="F394" s="91">
        <f>+octubre!F225</f>
        <v>-178412</v>
      </c>
      <c r="G394" s="91">
        <f>+octubre!G225</f>
        <v>-48906</v>
      </c>
    </row>
    <row r="395" spans="2:7" ht="15.75" customHeight="1" x14ac:dyDescent="0.2">
      <c r="B395" s="93" t="s">
        <v>240</v>
      </c>
      <c r="C395" s="86" t="s">
        <v>239</v>
      </c>
      <c r="D395" s="91">
        <f>+octubre!D226</f>
        <v>0</v>
      </c>
      <c r="E395" s="91">
        <f>+octubre!E226</f>
        <v>-185916</v>
      </c>
      <c r="F395" s="91">
        <f>+octubre!F226</f>
        <v>0</v>
      </c>
      <c r="G395" s="91">
        <f>+octubre!G226</f>
        <v>-1001175</v>
      </c>
    </row>
    <row r="396" spans="2:7" ht="15.75" customHeight="1" x14ac:dyDescent="0.2">
      <c r="B396" s="93" t="s">
        <v>208</v>
      </c>
      <c r="C396" s="86" t="s">
        <v>207</v>
      </c>
      <c r="D396" s="91">
        <f>+octubre!D227</f>
        <v>0</v>
      </c>
      <c r="E396" s="91">
        <f>+octubre!E227</f>
        <v>0</v>
      </c>
      <c r="F396" s="91">
        <f>+octubre!F227</f>
        <v>-44603</v>
      </c>
      <c r="G396" s="91">
        <f>+octubre!G227</f>
        <v>0</v>
      </c>
    </row>
    <row r="397" spans="2:7" ht="15.75" customHeight="1" x14ac:dyDescent="0.2">
      <c r="B397" s="93" t="s">
        <v>210</v>
      </c>
      <c r="C397" s="86" t="s">
        <v>209</v>
      </c>
      <c r="D397" s="91">
        <f>+octubre!D228</f>
        <v>-22302</v>
      </c>
      <c r="E397" s="91">
        <f>+octubre!E228</f>
        <v>0</v>
      </c>
      <c r="F397" s="91">
        <f>+octubre!F228</f>
        <v>-89208</v>
      </c>
      <c r="G397" s="91">
        <f>+octubre!G228</f>
        <v>-186539</v>
      </c>
    </row>
    <row r="398" spans="2:7" ht="15.75" customHeight="1" x14ac:dyDescent="0.2">
      <c r="B398" s="93" t="s">
        <v>248</v>
      </c>
      <c r="C398" s="86" t="s">
        <v>247</v>
      </c>
      <c r="D398" s="91">
        <f>+octubre!D229</f>
        <v>0</v>
      </c>
      <c r="E398" s="91">
        <f>+octubre!E229</f>
        <v>0</v>
      </c>
      <c r="F398" s="91">
        <f>+octubre!F229</f>
        <v>-7201645</v>
      </c>
      <c r="G398" s="91">
        <f>+octubre!G229</f>
        <v>-9801567</v>
      </c>
    </row>
    <row r="399" spans="2:7" ht="15.75" customHeight="1" x14ac:dyDescent="0.2">
      <c r="B399" s="93" t="s">
        <v>212</v>
      </c>
      <c r="C399" s="86" t="s">
        <v>211</v>
      </c>
      <c r="D399" s="91">
        <f>+octubre!D230</f>
        <v>-28620</v>
      </c>
      <c r="E399" s="91">
        <f>+octubre!E230</f>
        <v>-1124</v>
      </c>
      <c r="F399" s="91">
        <f>+octubre!F230</f>
        <v>-286800</v>
      </c>
      <c r="G399" s="91">
        <f>+octubre!G230</f>
        <v>-193877</v>
      </c>
    </row>
    <row r="400" spans="2:7" ht="15.75" customHeight="1" x14ac:dyDescent="0.2">
      <c r="B400" s="93" t="s">
        <v>216</v>
      </c>
      <c r="C400" s="86" t="s">
        <v>215</v>
      </c>
      <c r="D400" s="91">
        <f>+octubre!D231</f>
        <v>0</v>
      </c>
      <c r="E400" s="91">
        <f>+octubre!E231</f>
        <v>0</v>
      </c>
      <c r="F400" s="91">
        <f>+octubre!F231</f>
        <v>0</v>
      </c>
      <c r="G400" s="91">
        <f>+octubre!G231</f>
        <v>-503186</v>
      </c>
    </row>
    <row r="401" spans="2:7" ht="15.75" customHeight="1" x14ac:dyDescent="0.2">
      <c r="B401" s="85" t="s">
        <v>256</v>
      </c>
      <c r="C401" s="86" t="s">
        <v>255</v>
      </c>
      <c r="D401" s="91">
        <f>+octubre!D233</f>
        <v>0</v>
      </c>
      <c r="E401" s="91">
        <f>+octubre!E233</f>
        <v>0</v>
      </c>
      <c r="F401" s="91">
        <f>+octubre!F233</f>
        <v>-31222</v>
      </c>
      <c r="G401" s="91">
        <f>+octubre!G233</f>
        <v>-39887</v>
      </c>
    </row>
    <row r="402" spans="2:7" ht="15.75" customHeight="1" x14ac:dyDescent="0.2">
      <c r="B402" s="85" t="s">
        <v>220</v>
      </c>
      <c r="C402" s="86" t="s">
        <v>219</v>
      </c>
      <c r="D402" s="91">
        <f>+octubre!D234</f>
        <v>-2230</v>
      </c>
      <c r="E402" s="91">
        <f>+octubre!E234</f>
        <v>-1255</v>
      </c>
      <c r="F402" s="91">
        <f>+octubre!F234</f>
        <v>-22300</v>
      </c>
      <c r="G402" s="91">
        <f>+octubre!G234</f>
        <v>-2874</v>
      </c>
    </row>
    <row r="403" spans="2:7" ht="15.75" customHeight="1" x14ac:dyDescent="0.2">
      <c r="B403" s="85" t="s">
        <v>226</v>
      </c>
      <c r="C403" s="86" t="s">
        <v>225</v>
      </c>
      <c r="D403" s="91">
        <f>+octubre!D235</f>
        <v>-32114</v>
      </c>
      <c r="E403" s="91">
        <f>+octubre!E235</f>
        <v>-1068</v>
      </c>
      <c r="F403" s="91">
        <f>+octubre!F235</f>
        <v>-160570</v>
      </c>
      <c r="G403" s="91">
        <f>+octubre!G235</f>
        <v>-133279</v>
      </c>
    </row>
    <row r="404" spans="2:7" ht="15.75" customHeight="1" x14ac:dyDescent="0.2">
      <c r="B404" s="85" t="s">
        <v>234</v>
      </c>
      <c r="C404" s="86" t="s">
        <v>233</v>
      </c>
      <c r="D404" s="91">
        <f>+octubre!D239</f>
        <v>0</v>
      </c>
      <c r="E404" s="91">
        <f>+octubre!E239</f>
        <v>-3739793</v>
      </c>
      <c r="F404" s="91">
        <f>+octubre!F239</f>
        <v>0</v>
      </c>
      <c r="G404" s="91">
        <f>+octubre!G239</f>
        <v>2015612</v>
      </c>
    </row>
    <row r="405" spans="2:7" ht="15.75" customHeight="1" thickBot="1" x14ac:dyDescent="0.25">
      <c r="B405" s="95" t="s">
        <v>164</v>
      </c>
      <c r="C405" s="96"/>
      <c r="D405" s="97">
        <f>+D369+D371</f>
        <v>-1431539</v>
      </c>
      <c r="E405" s="97">
        <f>+E369+E371</f>
        <v>-174499069</v>
      </c>
      <c r="F405" s="97">
        <f>+F369+F371</f>
        <v>709464629</v>
      </c>
      <c r="G405" s="97">
        <f>+G369+G371</f>
        <v>775546657</v>
      </c>
    </row>
    <row r="408" spans="2:7" ht="15.75" customHeight="1" x14ac:dyDescent="0.2">
      <c r="B408" s="438" t="s">
        <v>174</v>
      </c>
      <c r="C408" s="438"/>
      <c r="D408" s="438"/>
      <c r="E408" s="438"/>
      <c r="F408" s="438"/>
      <c r="G408" s="438"/>
    </row>
    <row r="409" spans="2:7" ht="15.75" customHeight="1" x14ac:dyDescent="0.2">
      <c r="B409" s="65" t="s">
        <v>52</v>
      </c>
      <c r="C409" s="234" t="str">
        <f>+Portada!$H$19</f>
        <v>Octubre de 2016</v>
      </c>
      <c r="D409" s="65"/>
      <c r="E409" s="65"/>
      <c r="F409" s="65"/>
      <c r="G409" s="65"/>
    </row>
    <row r="410" spans="2:7" ht="15.75" customHeight="1" thickBot="1" x14ac:dyDescent="0.25">
      <c r="B410" s="66"/>
      <c r="C410" s="67"/>
      <c r="D410" s="67"/>
      <c r="E410" s="67"/>
      <c r="F410" s="68"/>
      <c r="G410" s="68"/>
    </row>
    <row r="411" spans="2:7" ht="15.75" customHeight="1" thickBot="1" x14ac:dyDescent="0.25">
      <c r="B411" s="66"/>
      <c r="C411" s="67"/>
      <c r="D411" s="439" t="s">
        <v>48</v>
      </c>
      <c r="E411" s="440"/>
      <c r="F411" s="441" t="s">
        <v>53</v>
      </c>
      <c r="G411" s="442"/>
    </row>
    <row r="412" spans="2:7" ht="15.75" customHeight="1" thickBot="1" x14ac:dyDescent="0.25">
      <c r="B412" s="69" t="s">
        <v>66</v>
      </c>
      <c r="C412" s="70" t="s">
        <v>67</v>
      </c>
      <c r="D412" s="71" t="s">
        <v>49</v>
      </c>
      <c r="E412" s="72" t="s">
        <v>50</v>
      </c>
      <c r="F412" s="71" t="s">
        <v>49</v>
      </c>
      <c r="G412" s="72" t="s">
        <v>50</v>
      </c>
    </row>
    <row r="413" spans="2:7" ht="15.75" customHeight="1" x14ac:dyDescent="0.2">
      <c r="B413" s="73"/>
      <c r="C413" s="74"/>
      <c r="D413" s="75"/>
      <c r="E413" s="76"/>
      <c r="F413" s="75"/>
      <c r="G413" s="78"/>
    </row>
    <row r="414" spans="2:7" ht="15.75" customHeight="1" x14ac:dyDescent="0.2">
      <c r="B414" s="73" t="s">
        <v>68</v>
      </c>
      <c r="C414" s="74" t="s">
        <v>69</v>
      </c>
      <c r="D414" s="79">
        <f>+octubre!D266</f>
        <v>0</v>
      </c>
      <c r="E414" s="79">
        <f>+octubre!E266</f>
        <v>0</v>
      </c>
      <c r="F414" s="79">
        <f>+octubre!F266</f>
        <v>424553460</v>
      </c>
      <c r="G414" s="79">
        <f>+octubre!G266</f>
        <v>420058002</v>
      </c>
    </row>
    <row r="415" spans="2:7" ht="15.75" customHeight="1" x14ac:dyDescent="0.2">
      <c r="B415" s="73"/>
      <c r="C415" s="74"/>
      <c r="D415" s="75"/>
      <c r="E415" s="80"/>
      <c r="F415" s="75"/>
      <c r="G415" s="78"/>
    </row>
    <row r="416" spans="2:7" ht="15.75" customHeight="1" x14ac:dyDescent="0.2">
      <c r="B416" s="73" t="s">
        <v>70</v>
      </c>
      <c r="C416" s="74" t="s">
        <v>71</v>
      </c>
      <c r="D416" s="75">
        <f>+D418+D426</f>
        <v>-9326340</v>
      </c>
      <c r="E416" s="78">
        <f>+E418+E426</f>
        <v>-14159982</v>
      </c>
      <c r="F416" s="75">
        <f>+F418+F426</f>
        <v>-377811429</v>
      </c>
      <c r="G416" s="78">
        <f>+G418+G426</f>
        <v>-424145878</v>
      </c>
    </row>
    <row r="417" spans="2:7" ht="15.75" customHeight="1" x14ac:dyDescent="0.2">
      <c r="B417" s="73"/>
      <c r="C417" s="74"/>
      <c r="D417" s="75"/>
      <c r="E417" s="80"/>
      <c r="F417" s="75"/>
      <c r="G417" s="78"/>
    </row>
    <row r="418" spans="2:7" ht="15.75" customHeight="1" x14ac:dyDescent="0.2">
      <c r="B418" s="81" t="s">
        <v>72</v>
      </c>
      <c r="C418" s="82" t="s">
        <v>73</v>
      </c>
      <c r="D418" s="83">
        <f>+SUM(D419:D424)</f>
        <v>0</v>
      </c>
      <c r="E418" s="84">
        <f>+SUM(E419:E424)</f>
        <v>0</v>
      </c>
      <c r="F418" s="83">
        <f>+SUM(F419:F424)</f>
        <v>0</v>
      </c>
      <c r="G418" s="84">
        <f>+SUM(G419:G424)</f>
        <v>-4501437</v>
      </c>
    </row>
    <row r="419" spans="2:7" ht="15.75" customHeight="1" x14ac:dyDescent="0.2">
      <c r="B419" s="85" t="s">
        <v>12</v>
      </c>
      <c r="C419" s="86" t="s">
        <v>74</v>
      </c>
      <c r="D419" s="88">
        <f>+octubre!D242</f>
        <v>0</v>
      </c>
      <c r="E419" s="88">
        <f>+octubre!E242</f>
        <v>0</v>
      </c>
      <c r="F419" s="88">
        <f>+octubre!F242</f>
        <v>0</v>
      </c>
      <c r="G419" s="88">
        <f>+octubre!G242</f>
        <v>-4501437</v>
      </c>
    </row>
    <row r="420" spans="2:7" ht="15.75" customHeight="1" x14ac:dyDescent="0.2">
      <c r="B420" s="85" t="s">
        <v>75</v>
      </c>
      <c r="C420" s="86" t="s">
        <v>76</v>
      </c>
      <c r="D420" s="89"/>
      <c r="E420" s="90"/>
      <c r="F420" s="89"/>
      <c r="G420" s="90"/>
    </row>
    <row r="421" spans="2:7" ht="15.75" customHeight="1" x14ac:dyDescent="0.2">
      <c r="B421" s="85" t="s">
        <v>77</v>
      </c>
      <c r="C421" s="86" t="s">
        <v>78</v>
      </c>
      <c r="D421" s="89"/>
      <c r="E421" s="90"/>
      <c r="F421" s="89"/>
      <c r="G421" s="90"/>
    </row>
    <row r="422" spans="2:7" ht="15.75" customHeight="1" x14ac:dyDescent="0.2">
      <c r="B422" s="85" t="s">
        <v>79</v>
      </c>
      <c r="C422" s="86" t="s">
        <v>80</v>
      </c>
      <c r="D422" s="89"/>
      <c r="E422" s="90"/>
      <c r="F422" s="89"/>
      <c r="G422" s="90"/>
    </row>
    <row r="423" spans="2:7" ht="15.75" customHeight="1" x14ac:dyDescent="0.2">
      <c r="B423" s="85" t="s">
        <v>26</v>
      </c>
      <c r="C423" s="86" t="s">
        <v>81</v>
      </c>
      <c r="D423" s="89"/>
      <c r="E423" s="90"/>
      <c r="F423" s="89"/>
      <c r="G423" s="90"/>
    </row>
    <row r="424" spans="2:7" ht="15.75" customHeight="1" x14ac:dyDescent="0.2">
      <c r="B424" s="85" t="s">
        <v>82</v>
      </c>
      <c r="C424" s="86" t="s">
        <v>81</v>
      </c>
      <c r="D424" s="89"/>
      <c r="E424" s="90"/>
      <c r="F424" s="89"/>
      <c r="G424" s="90"/>
    </row>
    <row r="425" spans="2:7" ht="15.75" customHeight="1" x14ac:dyDescent="0.2">
      <c r="B425" s="73"/>
      <c r="C425" s="74"/>
      <c r="D425" s="75"/>
      <c r="E425" s="80"/>
      <c r="F425" s="75"/>
      <c r="G425" s="78"/>
    </row>
    <row r="426" spans="2:7" ht="15.75" customHeight="1" x14ac:dyDescent="0.2">
      <c r="B426" s="81" t="s">
        <v>83</v>
      </c>
      <c r="C426" s="82" t="s">
        <v>84</v>
      </c>
      <c r="D426" s="83">
        <f>+SUM(D427:D448)</f>
        <v>-9326340</v>
      </c>
      <c r="E426" s="84">
        <f>+SUM(E427:E448)</f>
        <v>-14159982</v>
      </c>
      <c r="F426" s="83">
        <f>+SUM(F427:F448)</f>
        <v>-377811429</v>
      </c>
      <c r="G426" s="84">
        <f>+SUM(G427:G448)</f>
        <v>-419644441</v>
      </c>
    </row>
    <row r="427" spans="2:7" ht="15.75" customHeight="1" x14ac:dyDescent="0.2">
      <c r="B427" s="85" t="s">
        <v>188</v>
      </c>
      <c r="C427" s="86" t="s">
        <v>187</v>
      </c>
      <c r="D427" s="240">
        <f>+octubre!D243</f>
        <v>-5559153</v>
      </c>
      <c r="E427" s="243">
        <f>+octubre!E243</f>
        <v>-10492498</v>
      </c>
      <c r="F427" s="88">
        <f>+octubre!F243</f>
        <v>-54610364</v>
      </c>
      <c r="G427" s="88">
        <f>+octubre!G243</f>
        <v>-85463500</v>
      </c>
    </row>
    <row r="428" spans="2:7" ht="15.75" customHeight="1" x14ac:dyDescent="0.2">
      <c r="B428" s="85" t="s">
        <v>190</v>
      </c>
      <c r="C428" s="241" t="s">
        <v>189</v>
      </c>
      <c r="D428" s="88">
        <f>+octubre!D244</f>
        <v>0</v>
      </c>
      <c r="E428" s="244">
        <f>+octubre!E244</f>
        <v>0</v>
      </c>
      <c r="F428" s="88">
        <f>+octubre!F244</f>
        <v>0</v>
      </c>
      <c r="G428" s="88">
        <f>+octubre!G244</f>
        <v>-4297150</v>
      </c>
    </row>
    <row r="429" spans="2:7" ht="15.75" customHeight="1" x14ac:dyDescent="0.2">
      <c r="B429" s="85" t="s">
        <v>192</v>
      </c>
      <c r="C429" s="241" t="s">
        <v>191</v>
      </c>
      <c r="D429" s="88">
        <f>+octubre!D245</f>
        <v>0</v>
      </c>
      <c r="E429" s="244">
        <f>+octubre!E245</f>
        <v>0</v>
      </c>
      <c r="F429" s="88">
        <f>+octubre!F245</f>
        <v>-12400000</v>
      </c>
      <c r="G429" s="88">
        <f>+octubre!G245</f>
        <v>-18525852</v>
      </c>
    </row>
    <row r="430" spans="2:7" ht="15.75" customHeight="1" x14ac:dyDescent="0.2">
      <c r="B430" s="93" t="s">
        <v>194</v>
      </c>
      <c r="C430" s="241" t="s">
        <v>193</v>
      </c>
      <c r="D430" s="88">
        <f>+octubre!D246</f>
        <v>-73366</v>
      </c>
      <c r="E430" s="244">
        <f>+octubre!E246</f>
        <v>-11637</v>
      </c>
      <c r="F430" s="88">
        <f>+octubre!F246</f>
        <v>-293464</v>
      </c>
      <c r="G430" s="88">
        <f>+octubre!G246</f>
        <v>-18444</v>
      </c>
    </row>
    <row r="431" spans="2:7" ht="15.75" customHeight="1" x14ac:dyDescent="0.2">
      <c r="B431" s="93" t="s">
        <v>196</v>
      </c>
      <c r="C431" s="86" t="s">
        <v>195</v>
      </c>
      <c r="D431" s="242">
        <f>+octubre!D247</f>
        <v>0</v>
      </c>
      <c r="E431" s="244">
        <f>+octubre!E247</f>
        <v>0</v>
      </c>
      <c r="F431" s="88">
        <f>+octubre!F247</f>
        <v>0</v>
      </c>
      <c r="G431" s="88">
        <f>+octubre!G247</f>
        <v>0</v>
      </c>
    </row>
    <row r="432" spans="2:7" ht="15.75" customHeight="1" x14ac:dyDescent="0.2">
      <c r="B432" s="93" t="s">
        <v>198</v>
      </c>
      <c r="C432" s="86" t="s">
        <v>197</v>
      </c>
      <c r="D432" s="242">
        <f>+octubre!D248</f>
        <v>0</v>
      </c>
      <c r="E432" s="244">
        <f>+octubre!E248</f>
        <v>0</v>
      </c>
      <c r="F432" s="88">
        <f>+octubre!F248</f>
        <v>-74201000</v>
      </c>
      <c r="G432" s="88">
        <f>+octubre!G248</f>
        <v>-72218769</v>
      </c>
    </row>
    <row r="433" spans="2:7" ht="15.75" customHeight="1" x14ac:dyDescent="0.2">
      <c r="B433" s="93" t="s">
        <v>250</v>
      </c>
      <c r="C433" s="241" t="s">
        <v>249</v>
      </c>
      <c r="D433" s="88">
        <f>+octubre!D249</f>
        <v>0</v>
      </c>
      <c r="E433" s="244">
        <f>+octubre!E249</f>
        <v>0</v>
      </c>
      <c r="F433" s="88">
        <f>+octubre!F249</f>
        <v>0</v>
      </c>
      <c r="G433" s="88">
        <f>+octubre!G249</f>
        <v>-938224</v>
      </c>
    </row>
    <row r="434" spans="2:7" ht="15.75" customHeight="1" x14ac:dyDescent="0.2">
      <c r="B434" s="93" t="s">
        <v>200</v>
      </c>
      <c r="C434" s="241" t="s">
        <v>199</v>
      </c>
      <c r="D434" s="88">
        <f>+octubre!D250</f>
        <v>-324975</v>
      </c>
      <c r="E434" s="244">
        <f>+octubre!E250</f>
        <v>-561219</v>
      </c>
      <c r="F434" s="88">
        <f>+octubre!F250</f>
        <v>-2646225</v>
      </c>
      <c r="G434" s="88">
        <f>+octubre!G250</f>
        <v>-3835434</v>
      </c>
    </row>
    <row r="435" spans="2:7" ht="15.75" customHeight="1" x14ac:dyDescent="0.2">
      <c r="B435" s="93" t="s">
        <v>202</v>
      </c>
      <c r="C435" s="241" t="s">
        <v>201</v>
      </c>
      <c r="D435" s="88">
        <f>+octubre!D251</f>
        <v>-60461</v>
      </c>
      <c r="E435" s="244">
        <f>+octubre!E251</f>
        <v>-1975010</v>
      </c>
      <c r="F435" s="88">
        <f>+octubre!F251</f>
        <v>-470250</v>
      </c>
      <c r="G435" s="88">
        <f>+octubre!G251</f>
        <v>-10248072</v>
      </c>
    </row>
    <row r="436" spans="2:7" ht="15.75" customHeight="1" x14ac:dyDescent="0.2">
      <c r="B436" s="93" t="s">
        <v>204</v>
      </c>
      <c r="C436" s="241" t="s">
        <v>203</v>
      </c>
      <c r="D436" s="88">
        <f>+octubre!D252</f>
        <v>-652077</v>
      </c>
      <c r="E436" s="244">
        <f>+octubre!E252</f>
        <v>-1102495</v>
      </c>
      <c r="F436" s="88">
        <f>+octubre!F252</f>
        <v>-6520770</v>
      </c>
      <c r="G436" s="88">
        <f>+octubre!G252</f>
        <v>-9601731</v>
      </c>
    </row>
    <row r="437" spans="2:7" ht="15.75" customHeight="1" x14ac:dyDescent="0.2">
      <c r="B437" s="93" t="s">
        <v>206</v>
      </c>
      <c r="C437" s="241" t="s">
        <v>205</v>
      </c>
      <c r="D437" s="88">
        <f>+octubre!D253</f>
        <v>0</v>
      </c>
      <c r="E437" s="244">
        <f>+octubre!E253</f>
        <v>0</v>
      </c>
      <c r="F437" s="88">
        <f>+octubre!F253</f>
        <v>-883932</v>
      </c>
      <c r="G437" s="88">
        <f>+octubre!G253</f>
        <v>-242877</v>
      </c>
    </row>
    <row r="438" spans="2:7" ht="15.75" customHeight="1" x14ac:dyDescent="0.2">
      <c r="B438" s="93" t="s">
        <v>208</v>
      </c>
      <c r="C438" s="241" t="s">
        <v>207</v>
      </c>
      <c r="D438" s="88">
        <f>+octubre!D254</f>
        <v>0</v>
      </c>
      <c r="E438" s="244">
        <f>+octubre!E254</f>
        <v>0</v>
      </c>
      <c r="F438" s="88">
        <f>+octubre!F254</f>
        <v>-220983</v>
      </c>
      <c r="G438" s="88">
        <f>+octubre!G254</f>
        <v>0</v>
      </c>
    </row>
    <row r="439" spans="2:7" ht="15.75" customHeight="1" x14ac:dyDescent="0.2">
      <c r="B439" s="93" t="s">
        <v>266</v>
      </c>
      <c r="C439" s="241" t="s">
        <v>265</v>
      </c>
      <c r="D439" s="88">
        <f>+octubre!D255</f>
        <v>0</v>
      </c>
      <c r="E439" s="244">
        <f>+octubre!E255</f>
        <v>0</v>
      </c>
      <c r="F439" s="88">
        <f>+octubre!F255</f>
        <v>-121229000</v>
      </c>
      <c r="G439" s="88">
        <f>+octubre!G255</f>
        <v>-73228500</v>
      </c>
    </row>
    <row r="440" spans="2:7" ht="15.75" customHeight="1" x14ac:dyDescent="0.2">
      <c r="B440" s="93" t="s">
        <v>210</v>
      </c>
      <c r="C440" s="241" t="s">
        <v>209</v>
      </c>
      <c r="D440" s="88">
        <f>+octubre!D256</f>
        <v>-110492</v>
      </c>
      <c r="E440" s="244">
        <f>+octubre!E256</f>
        <v>0</v>
      </c>
      <c r="F440" s="88">
        <f>+octubre!F256</f>
        <v>-441968</v>
      </c>
      <c r="G440" s="88">
        <f>+octubre!G256</f>
        <v>-29659</v>
      </c>
    </row>
    <row r="441" spans="2:7" ht="15.75" customHeight="1" x14ac:dyDescent="0.2">
      <c r="B441" s="93" t="s">
        <v>212</v>
      </c>
      <c r="C441" s="241" t="s">
        <v>211</v>
      </c>
      <c r="D441" s="88">
        <f>+octubre!D257</f>
        <v>-150192</v>
      </c>
      <c r="E441" s="244">
        <f>+octubre!E257</f>
        <v>-5582</v>
      </c>
      <c r="F441" s="88">
        <f>+octubre!F257</f>
        <v>-1504885</v>
      </c>
      <c r="G441" s="88">
        <f>+octubre!G257</f>
        <v>-660816</v>
      </c>
    </row>
    <row r="442" spans="2:7" ht="15.75" customHeight="1" x14ac:dyDescent="0.2">
      <c r="B442" s="93" t="s">
        <v>268</v>
      </c>
      <c r="C442" s="241" t="s">
        <v>267</v>
      </c>
      <c r="D442" s="88">
        <f>+octubre!D258</f>
        <v>-1250000</v>
      </c>
      <c r="E442" s="244">
        <f>+octubre!E258</f>
        <v>0</v>
      </c>
      <c r="F442" s="88">
        <f>+octubre!F258</f>
        <v>-23600000</v>
      </c>
      <c r="G442" s="88">
        <f>+octubre!G258</f>
        <v>-13923107</v>
      </c>
    </row>
    <row r="443" spans="2:7" ht="15.75" customHeight="1" x14ac:dyDescent="0.2">
      <c r="B443" s="93" t="s">
        <v>254</v>
      </c>
      <c r="C443" s="241" t="s">
        <v>253</v>
      </c>
      <c r="D443" s="88">
        <f>+octubre!D259</f>
        <v>-600000</v>
      </c>
      <c r="E443" s="244">
        <f>+octubre!E259</f>
        <v>0</v>
      </c>
      <c r="F443" s="88">
        <f>+octubre!F259</f>
        <v>-29140000</v>
      </c>
      <c r="G443" s="88">
        <f>+octubre!G259</f>
        <v>-44160540</v>
      </c>
    </row>
    <row r="444" spans="2:7" ht="15.75" customHeight="1" x14ac:dyDescent="0.2">
      <c r="B444" s="93" t="s">
        <v>214</v>
      </c>
      <c r="C444" s="241" t="s">
        <v>213</v>
      </c>
      <c r="D444" s="88">
        <f>+octubre!D260</f>
        <v>-341667</v>
      </c>
      <c r="E444" s="244">
        <f>+octubre!E260</f>
        <v>0</v>
      </c>
      <c r="F444" s="88">
        <f>+octubre!F260</f>
        <v>-3416670</v>
      </c>
      <c r="G444" s="88">
        <f>+octubre!G260</f>
        <v>-3424084</v>
      </c>
    </row>
    <row r="445" spans="2:7" ht="15.75" customHeight="1" x14ac:dyDescent="0.2">
      <c r="B445" s="93" t="s">
        <v>216</v>
      </c>
      <c r="C445" s="241" t="s">
        <v>215</v>
      </c>
      <c r="D445" s="88">
        <f>+octubre!D261</f>
        <v>-33800</v>
      </c>
      <c r="E445" s="244">
        <f>+octubre!E261</f>
        <v>0</v>
      </c>
      <c r="F445" s="88">
        <f>+octubre!F261</f>
        <v>-45171200</v>
      </c>
      <c r="G445" s="88">
        <f>+octubre!G261</f>
        <v>-78544359</v>
      </c>
    </row>
    <row r="446" spans="2:7" ht="15.75" customHeight="1" x14ac:dyDescent="0.2">
      <c r="B446" s="93" t="s">
        <v>256</v>
      </c>
      <c r="C446" s="241" t="s">
        <v>255</v>
      </c>
      <c r="D446" s="88">
        <f>+octubre!D262</f>
        <v>0</v>
      </c>
      <c r="E446" s="244">
        <f>+octubre!E262</f>
        <v>0</v>
      </c>
      <c r="F446" s="88">
        <f>+octubre!F262</f>
        <v>-154688</v>
      </c>
      <c r="G446" s="88">
        <f>+octubre!G262</f>
        <v>-198077</v>
      </c>
    </row>
    <row r="447" spans="2:7" ht="15.75" customHeight="1" x14ac:dyDescent="0.2">
      <c r="B447" s="85" t="s">
        <v>220</v>
      </c>
      <c r="C447" s="241" t="s">
        <v>219</v>
      </c>
      <c r="D447" s="88">
        <f>+octubre!D263</f>
        <v>-11049</v>
      </c>
      <c r="E447" s="244">
        <f>+octubre!E263</f>
        <v>-6237</v>
      </c>
      <c r="F447" s="88">
        <f>+octubre!F263</f>
        <v>-110490</v>
      </c>
      <c r="G447" s="88">
        <f>+octubre!G263</f>
        <v>-16062</v>
      </c>
    </row>
    <row r="448" spans="2:7" ht="15.75" customHeight="1" x14ac:dyDescent="0.2">
      <c r="B448" s="85" t="s">
        <v>226</v>
      </c>
      <c r="C448" s="241" t="s">
        <v>225</v>
      </c>
      <c r="D448" s="88">
        <f>+octubre!D264</f>
        <v>-159108</v>
      </c>
      <c r="E448" s="244">
        <f>+octubre!E264</f>
        <v>-5304</v>
      </c>
      <c r="F448" s="88">
        <f>+octubre!F264</f>
        <v>-795540</v>
      </c>
      <c r="G448" s="88">
        <f>+octubre!G264</f>
        <v>-69184</v>
      </c>
    </row>
    <row r="449" spans="2:7" ht="15.75" customHeight="1" thickBot="1" x14ac:dyDescent="0.25">
      <c r="B449" s="95" t="s">
        <v>164</v>
      </c>
      <c r="C449" s="96"/>
      <c r="D449" s="97">
        <f>+D414+D416</f>
        <v>-9326340</v>
      </c>
      <c r="E449" s="97">
        <f>+E414+E416</f>
        <v>-14159982</v>
      </c>
      <c r="F449" s="97">
        <f>+F414+F416</f>
        <v>46742031</v>
      </c>
      <c r="G449" s="97">
        <f>+G414+G416</f>
        <v>-4087876</v>
      </c>
    </row>
    <row r="452" spans="2:7" ht="15.75" customHeight="1" x14ac:dyDescent="0.2">
      <c r="B452" s="438" t="s">
        <v>175</v>
      </c>
      <c r="C452" s="438"/>
      <c r="D452" s="438"/>
      <c r="E452" s="438"/>
      <c r="F452" s="438"/>
      <c r="G452" s="438"/>
    </row>
    <row r="453" spans="2:7" ht="15.75" customHeight="1" x14ac:dyDescent="0.2">
      <c r="B453" s="65" t="s">
        <v>52</v>
      </c>
      <c r="C453" s="234" t="str">
        <f>+Portada!$H$19</f>
        <v>Octubre de 2016</v>
      </c>
      <c r="D453" s="65"/>
      <c r="E453" s="65"/>
      <c r="F453" s="65"/>
      <c r="G453" s="65"/>
    </row>
    <row r="454" spans="2:7" ht="15.75" customHeight="1" thickBot="1" x14ac:dyDescent="0.25">
      <c r="B454" s="66"/>
      <c r="C454" s="67"/>
      <c r="D454" s="67"/>
      <c r="E454" s="67"/>
      <c r="F454" s="68"/>
      <c r="G454" s="68"/>
    </row>
    <row r="455" spans="2:7" ht="15.75" customHeight="1" thickBot="1" x14ac:dyDescent="0.25">
      <c r="B455" s="66"/>
      <c r="C455" s="67"/>
      <c r="D455" s="439" t="s">
        <v>48</v>
      </c>
      <c r="E455" s="440"/>
      <c r="F455" s="441" t="s">
        <v>53</v>
      </c>
      <c r="G455" s="442"/>
    </row>
    <row r="456" spans="2:7" ht="15.75" customHeight="1" thickBot="1" x14ac:dyDescent="0.25">
      <c r="B456" s="69" t="s">
        <v>66</v>
      </c>
      <c r="C456" s="70" t="s">
        <v>67</v>
      </c>
      <c r="D456" s="71" t="s">
        <v>49</v>
      </c>
      <c r="E456" s="72" t="s">
        <v>50</v>
      </c>
      <c r="F456" s="71" t="s">
        <v>49</v>
      </c>
      <c r="G456" s="72" t="s">
        <v>50</v>
      </c>
    </row>
    <row r="457" spans="2:7" ht="15.75" customHeight="1" x14ac:dyDescent="0.2">
      <c r="B457" s="73"/>
      <c r="C457" s="74"/>
      <c r="D457" s="75"/>
      <c r="E457" s="76"/>
      <c r="F457" s="75"/>
      <c r="G457" s="78"/>
    </row>
    <row r="458" spans="2:7" ht="15.75" customHeight="1" x14ac:dyDescent="0.2">
      <c r="B458" s="73" t="s">
        <v>68</v>
      </c>
      <c r="C458" s="74" t="s">
        <v>69</v>
      </c>
      <c r="D458" s="77">
        <f>+octubre!D281</f>
        <v>0</v>
      </c>
      <c r="E458" s="77">
        <f>+octubre!E281</f>
        <v>2446950</v>
      </c>
      <c r="F458" s="77">
        <f>+octubre!F281</f>
        <v>0</v>
      </c>
      <c r="G458" s="77">
        <f>+octubre!G281</f>
        <v>169478594</v>
      </c>
    </row>
    <row r="459" spans="2:7" ht="15.75" customHeight="1" x14ac:dyDescent="0.2">
      <c r="B459" s="73"/>
      <c r="C459" s="74"/>
      <c r="D459" s="75"/>
      <c r="E459" s="80"/>
      <c r="F459" s="75"/>
      <c r="G459" s="78"/>
    </row>
    <row r="460" spans="2:7" ht="15.75" customHeight="1" x14ac:dyDescent="0.2">
      <c r="B460" s="73" t="s">
        <v>70</v>
      </c>
      <c r="C460" s="74" t="s">
        <v>71</v>
      </c>
      <c r="D460" s="75">
        <f>+D462+D470</f>
        <v>0</v>
      </c>
      <c r="E460" s="78">
        <f>+E462+E470</f>
        <v>-4221338</v>
      </c>
      <c r="F460" s="75">
        <f>+F462+F470</f>
        <v>0</v>
      </c>
      <c r="G460" s="78">
        <f>+G462+G470</f>
        <v>-126400230</v>
      </c>
    </row>
    <row r="461" spans="2:7" ht="15.75" customHeight="1" x14ac:dyDescent="0.2">
      <c r="B461" s="73"/>
      <c r="C461" s="74"/>
      <c r="D461" s="75"/>
      <c r="E461" s="80"/>
      <c r="F461" s="75"/>
      <c r="G461" s="78"/>
    </row>
    <row r="462" spans="2:7" ht="15.75" customHeight="1" x14ac:dyDescent="0.2">
      <c r="B462" s="81" t="s">
        <v>72</v>
      </c>
      <c r="C462" s="82" t="s">
        <v>73</v>
      </c>
      <c r="D462" s="83">
        <f>+SUM(D463:D468)</f>
        <v>0</v>
      </c>
      <c r="E462" s="84">
        <f>+SUM(E463:E468)</f>
        <v>0</v>
      </c>
      <c r="F462" s="83">
        <f>+SUM(F463:F468)</f>
        <v>0</v>
      </c>
      <c r="G462" s="84">
        <f>+SUM(G463:G468)</f>
        <v>0</v>
      </c>
    </row>
    <row r="463" spans="2:7" ht="15.75" customHeight="1" x14ac:dyDescent="0.2">
      <c r="B463" s="85" t="s">
        <v>12</v>
      </c>
      <c r="C463" s="86" t="s">
        <v>74</v>
      </c>
      <c r="D463" s="87"/>
      <c r="E463" s="87"/>
      <c r="F463" s="87"/>
      <c r="G463" s="87"/>
    </row>
    <row r="464" spans="2:7" ht="15.75" customHeight="1" x14ac:dyDescent="0.2">
      <c r="B464" s="85" t="s">
        <v>75</v>
      </c>
      <c r="C464" s="86" t="s">
        <v>76</v>
      </c>
      <c r="D464" s="89"/>
      <c r="E464" s="90"/>
      <c r="F464" s="89"/>
      <c r="G464" s="90"/>
    </row>
    <row r="465" spans="2:7" ht="15.75" customHeight="1" x14ac:dyDescent="0.2">
      <c r="B465" s="85" t="s">
        <v>77</v>
      </c>
      <c r="C465" s="86" t="s">
        <v>78</v>
      </c>
      <c r="D465" s="89"/>
      <c r="E465" s="90"/>
      <c r="F465" s="89"/>
      <c r="G465" s="90"/>
    </row>
    <row r="466" spans="2:7" ht="15.75" customHeight="1" x14ac:dyDescent="0.2">
      <c r="B466" s="85" t="s">
        <v>79</v>
      </c>
      <c r="C466" s="86" t="s">
        <v>80</v>
      </c>
      <c r="D466" s="89"/>
      <c r="E466" s="90"/>
      <c r="F466" s="89"/>
      <c r="G466" s="90"/>
    </row>
    <row r="467" spans="2:7" ht="15.75" customHeight="1" x14ac:dyDescent="0.2">
      <c r="B467" s="85" t="s">
        <v>26</v>
      </c>
      <c r="C467" s="86" t="s">
        <v>81</v>
      </c>
      <c r="D467" s="89"/>
      <c r="E467" s="90"/>
      <c r="F467" s="89"/>
      <c r="G467" s="90"/>
    </row>
    <row r="468" spans="2:7" ht="15.75" customHeight="1" x14ac:dyDescent="0.2">
      <c r="B468" s="85" t="s">
        <v>82</v>
      </c>
      <c r="C468" s="86" t="s">
        <v>81</v>
      </c>
      <c r="D468" s="89"/>
      <c r="E468" s="90"/>
      <c r="F468" s="89"/>
      <c r="G468" s="90"/>
    </row>
    <row r="469" spans="2:7" ht="15.75" customHeight="1" x14ac:dyDescent="0.2">
      <c r="B469" s="73"/>
      <c r="C469" s="74"/>
      <c r="D469" s="75"/>
      <c r="E469" s="80"/>
      <c r="F469" s="75"/>
      <c r="G469" s="78"/>
    </row>
    <row r="470" spans="2:7" ht="15.75" customHeight="1" x14ac:dyDescent="0.2">
      <c r="B470" s="81" t="s">
        <v>83</v>
      </c>
      <c r="C470" s="82" t="s">
        <v>84</v>
      </c>
      <c r="D470" s="114">
        <f>+SUM(D471:D482)</f>
        <v>0</v>
      </c>
      <c r="E470" s="84">
        <f>+SUM(E471:E482)</f>
        <v>-4221338</v>
      </c>
      <c r="F470" s="83">
        <f>+SUM(F471:F482)</f>
        <v>0</v>
      </c>
      <c r="G470" s="84">
        <f>+SUM(G471:G482)</f>
        <v>-126400230</v>
      </c>
    </row>
    <row r="471" spans="2:7" ht="15.75" customHeight="1" x14ac:dyDescent="0.2">
      <c r="B471" s="85" t="s">
        <v>188</v>
      </c>
      <c r="C471" s="86" t="s">
        <v>187</v>
      </c>
      <c r="D471" s="285">
        <f>+octubre!D269</f>
        <v>0</v>
      </c>
      <c r="E471" s="285">
        <f>+octubre!E269</f>
        <v>-3827098</v>
      </c>
      <c r="F471" s="285">
        <f>+octubre!F269</f>
        <v>0</v>
      </c>
      <c r="G471" s="285">
        <f>+octubre!G269</f>
        <v>-58325297</v>
      </c>
    </row>
    <row r="472" spans="2:7" ht="15.75" customHeight="1" x14ac:dyDescent="0.2">
      <c r="B472" s="93" t="s">
        <v>198</v>
      </c>
      <c r="C472" s="86" t="s">
        <v>197</v>
      </c>
      <c r="D472" s="285">
        <f>+octubre!D270</f>
        <v>0</v>
      </c>
      <c r="E472" s="285">
        <f>+octubre!E270</f>
        <v>0</v>
      </c>
      <c r="F472" s="285">
        <f>+octubre!F270</f>
        <v>0</v>
      </c>
      <c r="G472" s="285">
        <f>+octubre!G270</f>
        <v>-19669747</v>
      </c>
    </row>
    <row r="473" spans="2:7" ht="15.75" customHeight="1" x14ac:dyDescent="0.2">
      <c r="B473" s="93" t="s">
        <v>250</v>
      </c>
      <c r="C473" s="86" t="s">
        <v>249</v>
      </c>
      <c r="D473" s="285">
        <f>+octubre!D271</f>
        <v>0</v>
      </c>
      <c r="E473" s="285">
        <f>+octubre!E271</f>
        <v>0</v>
      </c>
      <c r="F473" s="285">
        <f>+octubre!F271</f>
        <v>0</v>
      </c>
      <c r="G473" s="285">
        <f>+octubre!G271</f>
        <v>-723750</v>
      </c>
    </row>
    <row r="474" spans="2:7" ht="15.75" customHeight="1" x14ac:dyDescent="0.2">
      <c r="B474" s="93" t="s">
        <v>200</v>
      </c>
      <c r="C474" s="86" t="s">
        <v>199</v>
      </c>
      <c r="D474" s="285">
        <f>+octubre!D272</f>
        <v>0</v>
      </c>
      <c r="E474" s="285">
        <f>+octubre!E272</f>
        <v>0</v>
      </c>
      <c r="F474" s="285">
        <f>+octubre!F272</f>
        <v>0</v>
      </c>
      <c r="G474" s="285">
        <f>+octubre!G272</f>
        <v>-2245000</v>
      </c>
    </row>
    <row r="475" spans="2:7" ht="15.75" customHeight="1" x14ac:dyDescent="0.2">
      <c r="B475" s="93" t="s">
        <v>297</v>
      </c>
      <c r="C475" s="86" t="s">
        <v>207</v>
      </c>
      <c r="D475" s="285">
        <f>+octubre!D273</f>
        <v>0</v>
      </c>
      <c r="E475" s="285">
        <f>+octubre!E273</f>
        <v>-256000</v>
      </c>
      <c r="F475" s="285">
        <f>+octubre!F273</f>
        <v>0</v>
      </c>
      <c r="G475" s="285">
        <f>+octubre!G273</f>
        <v>-5784306</v>
      </c>
    </row>
    <row r="476" spans="2:7" ht="15.75" customHeight="1" x14ac:dyDescent="0.2">
      <c r="B476" s="93" t="s">
        <v>252</v>
      </c>
      <c r="C476" s="86" t="s">
        <v>251</v>
      </c>
      <c r="D476" s="285">
        <f>+octubre!D274</f>
        <v>0</v>
      </c>
      <c r="E476" s="285">
        <f>+octubre!E274</f>
        <v>-138240</v>
      </c>
      <c r="F476" s="285">
        <f>+octubre!F274</f>
        <v>0</v>
      </c>
      <c r="G476" s="285">
        <f>+octubre!G274</f>
        <v>-24055942</v>
      </c>
    </row>
    <row r="477" spans="2:7" ht="15.75" customHeight="1" x14ac:dyDescent="0.2">
      <c r="B477" s="93" t="s">
        <v>254</v>
      </c>
      <c r="C477" s="86" t="s">
        <v>253</v>
      </c>
      <c r="D477" s="285">
        <f>+octubre!D275</f>
        <v>0</v>
      </c>
      <c r="E477" s="285">
        <f>+octubre!E275</f>
        <v>0</v>
      </c>
      <c r="F477" s="285">
        <f>+octubre!F275</f>
        <v>0</v>
      </c>
      <c r="G477" s="285">
        <f>+octubre!G275</f>
        <v>-9395881</v>
      </c>
    </row>
    <row r="478" spans="2:7" ht="15.75" customHeight="1" x14ac:dyDescent="0.2">
      <c r="B478" s="93" t="s">
        <v>214</v>
      </c>
      <c r="C478" s="86" t="s">
        <v>213</v>
      </c>
      <c r="D478" s="285">
        <f>+octubre!D276</f>
        <v>0</v>
      </c>
      <c r="E478" s="285">
        <f>+octubre!E276</f>
        <v>0</v>
      </c>
      <c r="F478" s="285">
        <f>+octubre!F276</f>
        <v>0</v>
      </c>
      <c r="G478" s="285">
        <f>+octubre!G276</f>
        <v>-1013600</v>
      </c>
    </row>
    <row r="479" spans="2:7" ht="15.75" customHeight="1" x14ac:dyDescent="0.2">
      <c r="B479" s="93" t="s">
        <v>216</v>
      </c>
      <c r="C479" s="86" t="s">
        <v>215</v>
      </c>
      <c r="D479" s="285">
        <f>+octubre!D277</f>
        <v>0</v>
      </c>
      <c r="E479" s="285">
        <f>+octubre!E277</f>
        <v>0</v>
      </c>
      <c r="F479" s="285">
        <f>+octubre!F277</f>
        <v>0</v>
      </c>
      <c r="G479" s="285">
        <f>+octubre!G277</f>
        <v>-2361621</v>
      </c>
    </row>
    <row r="480" spans="2:7" ht="15.75" customHeight="1" x14ac:dyDescent="0.2">
      <c r="B480" s="93" t="s">
        <v>256</v>
      </c>
      <c r="C480" s="86" t="s">
        <v>255</v>
      </c>
      <c r="D480" s="285">
        <f>+octubre!D278</f>
        <v>0</v>
      </c>
      <c r="E480" s="285">
        <f>+octubre!E278</f>
        <v>0</v>
      </c>
      <c r="F480" s="285">
        <f>+octubre!F278</f>
        <v>0</v>
      </c>
      <c r="G480" s="285">
        <f>+octubre!G278</f>
        <v>-1469953</v>
      </c>
    </row>
    <row r="481" spans="2:7" ht="15.75" customHeight="1" x14ac:dyDescent="0.2">
      <c r="B481" s="85" t="s">
        <v>220</v>
      </c>
      <c r="C481" s="86" t="s">
        <v>219</v>
      </c>
      <c r="D481" s="285">
        <f>+octubre!D279</f>
        <v>0</v>
      </c>
      <c r="E481" s="285">
        <f>+octubre!E279</f>
        <v>0</v>
      </c>
      <c r="F481" s="285">
        <f>+octubre!F279</f>
        <v>0</v>
      </c>
      <c r="G481" s="285">
        <f>+octubre!G279</f>
        <v>-692000</v>
      </c>
    </row>
    <row r="482" spans="2:7" ht="15.75" customHeight="1" x14ac:dyDescent="0.2">
      <c r="B482" s="85" t="s">
        <v>226</v>
      </c>
      <c r="C482" s="86" t="s">
        <v>225</v>
      </c>
      <c r="D482" s="285">
        <f>+octubre!D280</f>
        <v>0</v>
      </c>
      <c r="E482" s="285">
        <f>+octubre!E280</f>
        <v>0</v>
      </c>
      <c r="F482" s="285">
        <f>+octubre!F280</f>
        <v>0</v>
      </c>
      <c r="G482" s="285">
        <f>+octubre!G280</f>
        <v>-663133</v>
      </c>
    </row>
    <row r="483" spans="2:7" ht="15.75" customHeight="1" x14ac:dyDescent="0.2">
      <c r="B483" s="85" t="s">
        <v>11</v>
      </c>
      <c r="C483" s="86" t="s">
        <v>241</v>
      </c>
      <c r="D483" s="285">
        <f>+octubre!D281</f>
        <v>0</v>
      </c>
      <c r="E483" s="285">
        <f>+octubre!E281</f>
        <v>2446950</v>
      </c>
      <c r="F483" s="285">
        <f>+octubre!F281</f>
        <v>0</v>
      </c>
      <c r="G483" s="285">
        <f>+octubre!G281</f>
        <v>169478594</v>
      </c>
    </row>
    <row r="484" spans="2:7" ht="15.75" customHeight="1" thickBot="1" x14ac:dyDescent="0.25">
      <c r="B484" s="95" t="s">
        <v>164</v>
      </c>
      <c r="C484" s="96"/>
      <c r="D484" s="285">
        <f>+D458+D462+D470</f>
        <v>0</v>
      </c>
      <c r="E484" s="285">
        <f t="shared" ref="E484:G484" si="1">+E458+E462+E470</f>
        <v>-1774388</v>
      </c>
      <c r="F484" s="285">
        <f t="shared" si="1"/>
        <v>0</v>
      </c>
      <c r="G484" s="285">
        <f t="shared" si="1"/>
        <v>43078364</v>
      </c>
    </row>
  </sheetData>
  <mergeCells count="33">
    <mergeCell ref="B452:G452"/>
    <mergeCell ref="D455:E455"/>
    <mergeCell ref="F455:G455"/>
    <mergeCell ref="B363:G363"/>
    <mergeCell ref="D366:E366"/>
    <mergeCell ref="F366:G366"/>
    <mergeCell ref="B408:G408"/>
    <mergeCell ref="D411:E411"/>
    <mergeCell ref="F411:G411"/>
    <mergeCell ref="B255:G255"/>
    <mergeCell ref="D258:E258"/>
    <mergeCell ref="F258:G258"/>
    <mergeCell ref="B300:G300"/>
    <mergeCell ref="D303:E303"/>
    <mergeCell ref="F303:G303"/>
    <mergeCell ref="B163:G163"/>
    <mergeCell ref="D166:E166"/>
    <mergeCell ref="F166:G166"/>
    <mergeCell ref="B208:G208"/>
    <mergeCell ref="D211:E211"/>
    <mergeCell ref="F211:G211"/>
    <mergeCell ref="B81:G81"/>
    <mergeCell ref="D84:E84"/>
    <mergeCell ref="F84:G84"/>
    <mergeCell ref="B121:G121"/>
    <mergeCell ref="D124:E124"/>
    <mergeCell ref="F124:G124"/>
    <mergeCell ref="B4:G4"/>
    <mergeCell ref="D7:E7"/>
    <mergeCell ref="F7:G7"/>
    <mergeCell ref="B47:G47"/>
    <mergeCell ref="D50:E50"/>
    <mergeCell ref="F50:G5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92"/>
  <sheetViews>
    <sheetView topLeftCell="A265" zoomScale="77" zoomScaleNormal="77" workbookViewId="0">
      <selection activeCell="G282" sqref="G282"/>
    </sheetView>
  </sheetViews>
  <sheetFormatPr baseColWidth="10" defaultRowHeight="17.25" customHeight="1" x14ac:dyDescent="0.15"/>
  <cols>
    <col min="1" max="1" width="3.875" style="57" customWidth="1"/>
    <col min="2" max="2" width="6.25" style="57" customWidth="1"/>
    <col min="3" max="3" width="25.875" style="57" customWidth="1"/>
    <col min="4" max="4" width="15.125" style="211" customWidth="1"/>
    <col min="5" max="5" width="14.375" style="211" customWidth="1"/>
    <col min="6" max="6" width="17.5" style="235" customWidth="1"/>
    <col min="7" max="7" width="14.625" style="211" customWidth="1"/>
    <col min="8" max="8" width="14.75" style="57" customWidth="1"/>
    <col min="9" max="16384" width="11" style="57"/>
  </cols>
  <sheetData>
    <row r="1" spans="1:7" ht="17.25" customHeight="1" x14ac:dyDescent="0.15">
      <c r="A1" s="56" t="s">
        <v>178</v>
      </c>
      <c r="B1" s="56"/>
    </row>
    <row r="2" spans="1:7" ht="17.25" customHeight="1" x14ac:dyDescent="0.15">
      <c r="A2" s="56" t="s">
        <v>179</v>
      </c>
      <c r="B2" s="56"/>
    </row>
    <row r="3" spans="1:7" ht="17.25" customHeight="1" x14ac:dyDescent="0.15">
      <c r="A3" s="56" t="s">
        <v>180</v>
      </c>
      <c r="B3" s="56"/>
    </row>
    <row r="4" spans="1:7" ht="17.25" customHeight="1" x14ac:dyDescent="0.15">
      <c r="A4" s="56" t="s">
        <v>181</v>
      </c>
      <c r="B4" s="56"/>
    </row>
    <row r="5" spans="1:7" ht="17.25" customHeight="1" x14ac:dyDescent="0.15">
      <c r="A5" s="56" t="s">
        <v>182</v>
      </c>
      <c r="B5" s="56"/>
    </row>
    <row r="7" spans="1:7" ht="17.25" customHeight="1" x14ac:dyDescent="0.15">
      <c r="A7" s="56" t="s">
        <v>181</v>
      </c>
      <c r="B7" s="56"/>
      <c r="E7" s="212" t="s">
        <v>304</v>
      </c>
    </row>
    <row r="8" spans="1:7" ht="17.25" customHeight="1" x14ac:dyDescent="0.15">
      <c r="E8" s="212" t="s">
        <v>183</v>
      </c>
    </row>
    <row r="9" spans="1:7" ht="17.25" customHeight="1" x14ac:dyDescent="0.15">
      <c r="E9" s="212" t="s">
        <v>269</v>
      </c>
    </row>
    <row r="13" spans="1:7" ht="17.25" customHeight="1" x14ac:dyDescent="0.15">
      <c r="E13" s="212" t="s">
        <v>184</v>
      </c>
      <c r="G13" s="212" t="s">
        <v>185</v>
      </c>
    </row>
    <row r="14" spans="1:7" ht="17.25" customHeight="1" x14ac:dyDescent="0.15">
      <c r="A14" s="58" t="s">
        <v>67</v>
      </c>
      <c r="B14" s="58"/>
      <c r="C14" s="58" t="s">
        <v>186</v>
      </c>
      <c r="D14" s="213" t="s">
        <v>49</v>
      </c>
      <c r="E14" s="213" t="s">
        <v>50</v>
      </c>
      <c r="F14" s="236" t="s">
        <v>49</v>
      </c>
      <c r="G14" s="213" t="s">
        <v>50</v>
      </c>
    </row>
    <row r="15" spans="1:7" ht="17.25" customHeight="1" x14ac:dyDescent="0.15">
      <c r="A15" s="59"/>
      <c r="B15" s="59"/>
      <c r="C15" s="59"/>
      <c r="D15" s="214"/>
      <c r="E15" s="214"/>
      <c r="F15" s="237"/>
      <c r="G15" s="214"/>
    </row>
    <row r="16" spans="1:7" ht="17.25" customHeight="1" x14ac:dyDescent="0.15">
      <c r="A16" s="61"/>
      <c r="B16" s="61"/>
      <c r="C16" s="61"/>
      <c r="D16" s="214">
        <v>0</v>
      </c>
      <c r="E16" s="214">
        <v>0</v>
      </c>
      <c r="F16" s="237">
        <v>0</v>
      </c>
      <c r="G16" s="214"/>
    </row>
    <row r="17" spans="1:7" ht="17.25" customHeight="1" x14ac:dyDescent="0.2">
      <c r="A17" s="209" t="s">
        <v>187</v>
      </c>
      <c r="B17" s="209"/>
      <c r="C17" s="209" t="s">
        <v>188</v>
      </c>
      <c r="D17" s="297">
        <v>-20681387</v>
      </c>
      <c r="E17" s="298">
        <v>-19542171</v>
      </c>
      <c r="F17" s="299">
        <v>-206905090</v>
      </c>
      <c r="G17" s="301">
        <v>-206677008</v>
      </c>
    </row>
    <row r="18" spans="1:7" ht="17.25" customHeight="1" x14ac:dyDescent="0.2">
      <c r="A18" s="209" t="s">
        <v>189</v>
      </c>
      <c r="B18" s="209"/>
      <c r="C18" s="209" t="s">
        <v>190</v>
      </c>
      <c r="D18" s="297">
        <v>0</v>
      </c>
      <c r="E18" s="298">
        <v>0</v>
      </c>
      <c r="F18" s="299">
        <v>0</v>
      </c>
      <c r="G18" s="301">
        <v>2184527</v>
      </c>
    </row>
    <row r="19" spans="1:7" ht="17.25" customHeight="1" x14ac:dyDescent="0.2">
      <c r="A19" s="209" t="s">
        <v>191</v>
      </c>
      <c r="B19" s="209"/>
      <c r="C19" s="209" t="s">
        <v>192</v>
      </c>
      <c r="D19" s="297">
        <v>0</v>
      </c>
      <c r="E19" s="298">
        <v>0</v>
      </c>
      <c r="F19" s="299">
        <v>0</v>
      </c>
      <c r="G19" s="301">
        <v>0</v>
      </c>
    </row>
    <row r="20" spans="1:7" ht="17.25" customHeight="1" x14ac:dyDescent="0.2">
      <c r="A20" s="209" t="s">
        <v>193</v>
      </c>
      <c r="B20" s="209"/>
      <c r="C20" s="209" t="s">
        <v>194</v>
      </c>
      <c r="D20" s="297">
        <v>-100000</v>
      </c>
      <c r="E20" s="298">
        <v>-60563</v>
      </c>
      <c r="F20" s="299">
        <v>-1000000</v>
      </c>
      <c r="G20" s="301">
        <v>-780159</v>
      </c>
    </row>
    <row r="21" spans="1:7" ht="17.25" customHeight="1" x14ac:dyDescent="0.2">
      <c r="A21" s="209" t="s">
        <v>195</v>
      </c>
      <c r="B21" s="209"/>
      <c r="C21" s="209" t="s">
        <v>196</v>
      </c>
      <c r="D21" s="297">
        <v>0</v>
      </c>
      <c r="E21" s="298">
        <v>0</v>
      </c>
      <c r="F21" s="299">
        <v>0</v>
      </c>
      <c r="G21" s="301">
        <v>-673023</v>
      </c>
    </row>
    <row r="22" spans="1:7" ht="17.25" customHeight="1" x14ac:dyDescent="0.2">
      <c r="A22" s="209" t="s">
        <v>197</v>
      </c>
      <c r="B22" s="209"/>
      <c r="C22" s="209" t="s">
        <v>198</v>
      </c>
      <c r="D22" s="297">
        <v>-166999</v>
      </c>
      <c r="E22" s="298">
        <v>-319440</v>
      </c>
      <c r="F22" s="299">
        <v>-1649918</v>
      </c>
      <c r="G22" s="301">
        <v>-1345810</v>
      </c>
    </row>
    <row r="23" spans="1:7" ht="17.25" customHeight="1" x14ac:dyDescent="0.2">
      <c r="A23" s="209" t="s">
        <v>199</v>
      </c>
      <c r="B23" s="209"/>
      <c r="C23" s="209" t="s">
        <v>200</v>
      </c>
      <c r="D23" s="297">
        <v>0</v>
      </c>
      <c r="E23" s="298">
        <v>-154374</v>
      </c>
      <c r="F23" s="299">
        <v>0</v>
      </c>
      <c r="G23" s="301">
        <v>-695956</v>
      </c>
    </row>
    <row r="24" spans="1:7" ht="17.25" customHeight="1" x14ac:dyDescent="0.2">
      <c r="A24" s="209" t="s">
        <v>201</v>
      </c>
      <c r="B24" s="209"/>
      <c r="C24" s="209" t="s">
        <v>202</v>
      </c>
      <c r="D24" s="297">
        <v>-400000</v>
      </c>
      <c r="E24" s="298">
        <v>-366253</v>
      </c>
      <c r="F24" s="299">
        <v>-3800000</v>
      </c>
      <c r="G24" s="301">
        <v>-2186086</v>
      </c>
    </row>
    <row r="25" spans="1:7" ht="17.25" customHeight="1" x14ac:dyDescent="0.2">
      <c r="A25" s="209" t="s">
        <v>203</v>
      </c>
      <c r="B25" s="209"/>
      <c r="C25" s="209" t="s">
        <v>204</v>
      </c>
      <c r="D25" s="297">
        <v>-250000</v>
      </c>
      <c r="E25" s="298">
        <v>0</v>
      </c>
      <c r="F25" s="299">
        <v>-1250000</v>
      </c>
      <c r="G25" s="301">
        <v>-911319</v>
      </c>
    </row>
    <row r="26" spans="1:7" ht="17.25" customHeight="1" x14ac:dyDescent="0.2">
      <c r="A26" s="209" t="s">
        <v>205</v>
      </c>
      <c r="B26" s="209"/>
      <c r="C26" s="209" t="s">
        <v>206</v>
      </c>
      <c r="D26" s="297">
        <v>0</v>
      </c>
      <c r="E26" s="298">
        <v>0</v>
      </c>
      <c r="F26" s="299">
        <v>0</v>
      </c>
      <c r="G26" s="301">
        <v>-1455743</v>
      </c>
    </row>
    <row r="27" spans="1:7" ht="17.25" customHeight="1" x14ac:dyDescent="0.2">
      <c r="A27" s="209" t="s">
        <v>207</v>
      </c>
      <c r="B27" s="209"/>
      <c r="C27" s="209" t="s">
        <v>208</v>
      </c>
      <c r="D27" s="297">
        <v>-2239997</v>
      </c>
      <c r="E27" s="298">
        <v>963899</v>
      </c>
      <c r="F27" s="299">
        <v>-22388022</v>
      </c>
      <c r="G27" s="301">
        <v>12263830</v>
      </c>
    </row>
    <row r="28" spans="1:7" ht="17.25" customHeight="1" x14ac:dyDescent="0.2">
      <c r="A28" s="209" t="s">
        <v>209</v>
      </c>
      <c r="B28" s="209"/>
      <c r="C28" s="209" t="s">
        <v>210</v>
      </c>
      <c r="D28" s="297">
        <v>0</v>
      </c>
      <c r="E28" s="298">
        <v>-262237</v>
      </c>
      <c r="F28" s="299">
        <v>-10400000</v>
      </c>
      <c r="G28" s="301">
        <v>-13468621</v>
      </c>
    </row>
    <row r="29" spans="1:7" ht="17.25" customHeight="1" x14ac:dyDescent="0.2">
      <c r="A29" s="209" t="s">
        <v>211</v>
      </c>
      <c r="B29" s="209"/>
      <c r="C29" s="209" t="s">
        <v>212</v>
      </c>
      <c r="D29" s="297">
        <v>-154422</v>
      </c>
      <c r="E29" s="298">
        <v>-720736</v>
      </c>
      <c r="F29" s="299">
        <v>-1544220</v>
      </c>
      <c r="G29" s="301">
        <v>-4576355</v>
      </c>
    </row>
    <row r="30" spans="1:7" ht="17.25" customHeight="1" x14ac:dyDescent="0.2">
      <c r="A30" s="209" t="s">
        <v>213</v>
      </c>
      <c r="B30" s="209"/>
      <c r="C30" s="209" t="s">
        <v>214</v>
      </c>
      <c r="D30" s="297">
        <v>0</v>
      </c>
      <c r="E30" s="298">
        <v>0</v>
      </c>
      <c r="F30" s="299">
        <v>0</v>
      </c>
      <c r="G30" s="301">
        <v>-60757</v>
      </c>
    </row>
    <row r="31" spans="1:7" ht="17.25" customHeight="1" x14ac:dyDescent="0.2">
      <c r="A31" s="209" t="s">
        <v>215</v>
      </c>
      <c r="B31" s="209"/>
      <c r="C31" s="209" t="s">
        <v>216</v>
      </c>
      <c r="D31" s="297">
        <v>-135957</v>
      </c>
      <c r="E31" s="298">
        <v>-26224</v>
      </c>
      <c r="F31" s="299">
        <v>-1342187</v>
      </c>
      <c r="G31" s="301">
        <v>-3284812</v>
      </c>
    </row>
    <row r="32" spans="1:7" ht="17.25" customHeight="1" x14ac:dyDescent="0.2">
      <c r="A32" s="209" t="s">
        <v>217</v>
      </c>
      <c r="B32" s="209"/>
      <c r="C32" s="209" t="s">
        <v>218</v>
      </c>
      <c r="D32" s="297">
        <v>0</v>
      </c>
      <c r="E32" s="298">
        <v>0</v>
      </c>
      <c r="F32" s="299">
        <v>-2420000</v>
      </c>
      <c r="G32" s="301">
        <v>-5863931</v>
      </c>
    </row>
    <row r="33" spans="1:162" ht="17.25" customHeight="1" x14ac:dyDescent="0.2">
      <c r="A33" s="209" t="s">
        <v>219</v>
      </c>
      <c r="B33" s="209"/>
      <c r="C33" s="209" t="s">
        <v>220</v>
      </c>
      <c r="D33" s="297">
        <v>-30000</v>
      </c>
      <c r="E33" s="298">
        <v>0</v>
      </c>
      <c r="F33" s="299">
        <v>-300000</v>
      </c>
      <c r="G33" s="301">
        <v>-174600</v>
      </c>
    </row>
    <row r="34" spans="1:162" ht="17.25" customHeight="1" x14ac:dyDescent="0.2">
      <c r="A34" s="209" t="s">
        <v>221</v>
      </c>
      <c r="B34" s="209"/>
      <c r="C34" s="209" t="s">
        <v>222</v>
      </c>
      <c r="D34" s="297">
        <v>0</v>
      </c>
      <c r="E34" s="298">
        <v>-464344</v>
      </c>
      <c r="F34" s="299">
        <v>0</v>
      </c>
      <c r="G34" s="301">
        <v>-1440064</v>
      </c>
    </row>
    <row r="35" spans="1:162" ht="17.25" customHeight="1" x14ac:dyDescent="0.2">
      <c r="A35" s="209" t="s">
        <v>223</v>
      </c>
      <c r="B35" s="209"/>
      <c r="C35" s="209" t="s">
        <v>224</v>
      </c>
      <c r="D35" s="297">
        <v>-220000</v>
      </c>
      <c r="E35" s="298">
        <v>-1411060</v>
      </c>
      <c r="F35" s="299">
        <v>-4338242</v>
      </c>
      <c r="G35" s="301">
        <v>-5976535</v>
      </c>
    </row>
    <row r="36" spans="1:162" ht="17.25" customHeight="1" x14ac:dyDescent="0.2">
      <c r="A36" s="209" t="s">
        <v>225</v>
      </c>
      <c r="B36" s="209"/>
      <c r="C36" s="209" t="s">
        <v>226</v>
      </c>
      <c r="D36" s="297">
        <v>-220000</v>
      </c>
      <c r="E36" s="298">
        <v>-85216</v>
      </c>
      <c r="F36" s="299">
        <v>-2620000</v>
      </c>
      <c r="G36" s="301">
        <v>-1191264</v>
      </c>
    </row>
    <row r="37" spans="1:162" ht="17.25" customHeight="1" x14ac:dyDescent="0.2">
      <c r="A37" s="209" t="s">
        <v>227</v>
      </c>
      <c r="B37" s="209"/>
      <c r="C37" s="209" t="s">
        <v>228</v>
      </c>
      <c r="D37" s="215">
        <v>0</v>
      </c>
      <c r="E37" s="298">
        <v>0</v>
      </c>
      <c r="F37" s="238">
        <v>0</v>
      </c>
      <c r="G37" s="215">
        <v>0</v>
      </c>
    </row>
    <row r="38" spans="1:162" ht="17.25" customHeight="1" x14ac:dyDescent="0.2">
      <c r="A38" s="209" t="s">
        <v>229</v>
      </c>
      <c r="B38" s="209"/>
      <c r="C38" s="209" t="s">
        <v>230</v>
      </c>
      <c r="D38" s="215">
        <v>0</v>
      </c>
      <c r="E38" s="298">
        <v>0</v>
      </c>
      <c r="F38" s="238">
        <v>0</v>
      </c>
      <c r="G38" s="215"/>
    </row>
    <row r="39" spans="1:162" ht="17.25" customHeight="1" x14ac:dyDescent="0.2">
      <c r="A39" s="209" t="s">
        <v>231</v>
      </c>
      <c r="B39" s="209"/>
      <c r="C39" s="209" t="s">
        <v>232</v>
      </c>
      <c r="D39" s="215">
        <v>0</v>
      </c>
      <c r="E39" s="215">
        <v>0</v>
      </c>
      <c r="F39" s="238">
        <v>0</v>
      </c>
      <c r="G39" s="215">
        <v>0</v>
      </c>
    </row>
    <row r="40" spans="1:162" ht="17.25" customHeight="1" x14ac:dyDescent="0.2">
      <c r="A40" s="209" t="s">
        <v>233</v>
      </c>
      <c r="B40" s="209"/>
      <c r="C40" s="209" t="s">
        <v>234</v>
      </c>
      <c r="D40" s="215">
        <v>0</v>
      </c>
      <c r="E40" s="296">
        <f>125049483-115321192</f>
        <v>9728291</v>
      </c>
      <c r="F40" s="238">
        <v>0</v>
      </c>
      <c r="G40" s="300">
        <v>34562142</v>
      </c>
    </row>
    <row r="41" spans="1:162" ht="17.25" customHeight="1" x14ac:dyDescent="0.2">
      <c r="A41" s="210"/>
      <c r="B41" s="210"/>
      <c r="C41" s="210" t="s">
        <v>287</v>
      </c>
      <c r="D41" s="216">
        <f>SUM(D17:D40)</f>
        <v>-24598762</v>
      </c>
      <c r="E41" s="216">
        <f>SUM(E17:E40)</f>
        <v>-12720428</v>
      </c>
      <c r="F41" s="239">
        <f>SUM(F17:F40)</f>
        <v>-259957679</v>
      </c>
      <c r="G41" s="216">
        <f>SUM(G17:G40)</f>
        <v>-201751544</v>
      </c>
    </row>
    <row r="42" spans="1:162" ht="17.25" customHeight="1" x14ac:dyDescent="0.2">
      <c r="A42" s="209" t="s">
        <v>237</v>
      </c>
      <c r="B42" s="209"/>
      <c r="C42" s="209" t="s">
        <v>238</v>
      </c>
      <c r="D42" s="291">
        <v>0</v>
      </c>
      <c r="E42" s="291">
        <v>0</v>
      </c>
      <c r="F42" s="303">
        <v>-26146575</v>
      </c>
      <c r="G42" s="291">
        <v>0</v>
      </c>
      <c r="H42" s="222"/>
    </row>
    <row r="43" spans="1:162" ht="17.25" customHeight="1" x14ac:dyDescent="0.2">
      <c r="A43" s="209" t="s">
        <v>191</v>
      </c>
      <c r="B43" s="209"/>
      <c r="C43" s="209" t="s">
        <v>192</v>
      </c>
      <c r="D43" s="291">
        <v>0</v>
      </c>
      <c r="E43" s="291">
        <v>0</v>
      </c>
      <c r="F43" s="303">
        <v>-200000</v>
      </c>
      <c r="G43" s="304">
        <v>-133615</v>
      </c>
    </row>
    <row r="44" spans="1:162" s="60" customFormat="1" ht="17.25" customHeight="1" x14ac:dyDescent="0.2">
      <c r="A44" s="209" t="s">
        <v>193</v>
      </c>
      <c r="B44" s="209"/>
      <c r="C44" s="209" t="s">
        <v>194</v>
      </c>
      <c r="D44" s="291">
        <v>0</v>
      </c>
      <c r="E44" s="291">
        <v>0</v>
      </c>
      <c r="F44" s="303">
        <v>0</v>
      </c>
      <c r="G44" s="304">
        <v>-67263</v>
      </c>
    </row>
    <row r="45" spans="1:162" ht="17.25" customHeight="1" x14ac:dyDescent="0.2">
      <c r="A45" s="209" t="s">
        <v>249</v>
      </c>
      <c r="B45" s="209"/>
      <c r="C45" s="217" t="s">
        <v>250</v>
      </c>
      <c r="D45" s="291">
        <v>0</v>
      </c>
      <c r="E45" s="291">
        <v>0</v>
      </c>
      <c r="F45" s="303">
        <v>0</v>
      </c>
      <c r="G45" s="304">
        <v>-45634</v>
      </c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8"/>
      <c r="BN45" s="218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8"/>
      <c r="CT45" s="218"/>
      <c r="CU45" s="218"/>
      <c r="CV45" s="218"/>
      <c r="CW45" s="218"/>
      <c r="CX45" s="218"/>
      <c r="CY45" s="218"/>
      <c r="CZ45" s="218"/>
      <c r="DA45" s="218"/>
      <c r="DB45" s="218"/>
      <c r="DC45" s="218"/>
      <c r="DD45" s="218"/>
      <c r="DE45" s="218"/>
      <c r="DF45" s="218"/>
      <c r="DG45" s="218"/>
      <c r="DH45" s="218"/>
      <c r="DI45" s="218"/>
      <c r="DJ45" s="218"/>
      <c r="DK45" s="218"/>
      <c r="DL45" s="218"/>
      <c r="DM45" s="218"/>
      <c r="DN45" s="218"/>
      <c r="DO45" s="218"/>
      <c r="DP45" s="218"/>
      <c r="DQ45" s="218"/>
      <c r="DR45" s="218"/>
      <c r="DS45" s="218"/>
      <c r="DT45" s="218"/>
      <c r="DU45" s="218"/>
      <c r="DV45" s="218"/>
      <c r="DW45" s="218"/>
      <c r="DX45" s="218"/>
      <c r="DY45" s="218"/>
      <c r="DZ45" s="218"/>
      <c r="EA45" s="218"/>
      <c r="EB45" s="218"/>
      <c r="EC45" s="218"/>
      <c r="ED45" s="218"/>
      <c r="EE45" s="218"/>
      <c r="EF45" s="218"/>
      <c r="EG45" s="218"/>
      <c r="EH45" s="218"/>
      <c r="EI45" s="218"/>
      <c r="EJ45" s="218"/>
      <c r="EK45" s="218"/>
      <c r="EL45" s="218"/>
      <c r="EM45" s="218"/>
      <c r="EN45" s="218"/>
      <c r="EO45" s="218"/>
      <c r="EP45" s="218"/>
      <c r="EQ45" s="218"/>
      <c r="ER45" s="218"/>
      <c r="ES45" s="218"/>
      <c r="ET45" s="218"/>
      <c r="EU45" s="218"/>
      <c r="EV45" s="218"/>
      <c r="EW45" s="218"/>
      <c r="EX45" s="218"/>
      <c r="EY45" s="218"/>
      <c r="EZ45" s="218"/>
      <c r="FA45" s="218"/>
      <c r="FB45" s="218"/>
      <c r="FC45" s="218"/>
      <c r="FD45" s="218"/>
      <c r="FE45" s="218"/>
      <c r="FF45" s="218"/>
    </row>
    <row r="46" spans="1:162" s="60" customFormat="1" ht="17.25" customHeight="1" x14ac:dyDescent="0.2">
      <c r="A46" s="209" t="s">
        <v>199</v>
      </c>
      <c r="B46" s="209"/>
      <c r="C46" s="217" t="s">
        <v>200</v>
      </c>
      <c r="D46" s="291">
        <v>0</v>
      </c>
      <c r="E46" s="291">
        <v>0</v>
      </c>
      <c r="F46" s="303">
        <v>0</v>
      </c>
      <c r="G46" s="304">
        <v>-71100</v>
      </c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  <c r="BD46" s="219"/>
      <c r="BE46" s="219"/>
      <c r="BF46" s="219"/>
      <c r="BG46" s="219"/>
      <c r="BH46" s="219"/>
      <c r="BI46" s="219"/>
      <c r="BJ46" s="219"/>
      <c r="BK46" s="219"/>
      <c r="BL46" s="219"/>
      <c r="BM46" s="219"/>
      <c r="BN46" s="219"/>
      <c r="BO46" s="219"/>
      <c r="BP46" s="219"/>
      <c r="BQ46" s="219"/>
      <c r="BR46" s="219"/>
      <c r="BS46" s="219"/>
      <c r="BT46" s="219"/>
      <c r="BU46" s="219"/>
      <c r="BV46" s="219"/>
      <c r="BW46" s="219"/>
      <c r="BX46" s="219"/>
      <c r="BY46" s="219"/>
      <c r="BZ46" s="219"/>
      <c r="CA46" s="219"/>
      <c r="CB46" s="219"/>
      <c r="CC46" s="219"/>
      <c r="CD46" s="219"/>
      <c r="CE46" s="219"/>
      <c r="CF46" s="219"/>
      <c r="CG46" s="219"/>
      <c r="CH46" s="219"/>
      <c r="CI46" s="219"/>
      <c r="CJ46" s="219"/>
      <c r="CK46" s="219"/>
      <c r="CL46" s="219"/>
      <c r="CM46" s="219"/>
      <c r="CN46" s="219"/>
      <c r="CO46" s="219"/>
      <c r="CP46" s="219"/>
      <c r="CQ46" s="219"/>
      <c r="CR46" s="219"/>
      <c r="CS46" s="219"/>
      <c r="CT46" s="219"/>
      <c r="CU46" s="219"/>
      <c r="CV46" s="219"/>
      <c r="CW46" s="219"/>
      <c r="CX46" s="219"/>
      <c r="CY46" s="219"/>
      <c r="CZ46" s="219"/>
      <c r="DA46" s="219"/>
      <c r="DB46" s="219"/>
      <c r="DC46" s="219"/>
      <c r="DD46" s="219"/>
      <c r="DE46" s="219"/>
      <c r="DF46" s="219"/>
      <c r="DG46" s="219"/>
      <c r="DH46" s="219"/>
      <c r="DI46" s="219"/>
      <c r="DJ46" s="219"/>
      <c r="DK46" s="219"/>
      <c r="DL46" s="219"/>
      <c r="DM46" s="219"/>
      <c r="DN46" s="219"/>
      <c r="DO46" s="219"/>
      <c r="DP46" s="219"/>
      <c r="DQ46" s="219"/>
      <c r="DR46" s="219"/>
      <c r="DS46" s="219"/>
      <c r="DT46" s="219"/>
      <c r="DU46" s="219"/>
      <c r="DV46" s="219"/>
      <c r="DW46" s="219"/>
      <c r="DX46" s="219"/>
      <c r="DY46" s="219"/>
      <c r="DZ46" s="219"/>
      <c r="EA46" s="219"/>
      <c r="EB46" s="219"/>
      <c r="EC46" s="219"/>
      <c r="ED46" s="219"/>
      <c r="EE46" s="219"/>
      <c r="EF46" s="219"/>
      <c r="EG46" s="219"/>
      <c r="EH46" s="219"/>
      <c r="EI46" s="219"/>
      <c r="EJ46" s="219"/>
      <c r="EK46" s="219"/>
      <c r="EL46" s="219"/>
      <c r="EM46" s="219"/>
      <c r="EN46" s="219"/>
      <c r="EO46" s="219"/>
      <c r="EP46" s="219"/>
      <c r="EQ46" s="219"/>
      <c r="ER46" s="219"/>
      <c r="ES46" s="219"/>
      <c r="ET46" s="219"/>
      <c r="EU46" s="219"/>
      <c r="EV46" s="219"/>
      <c r="EW46" s="219"/>
      <c r="EX46" s="219"/>
      <c r="EY46" s="219"/>
      <c r="EZ46" s="219"/>
      <c r="FA46" s="219"/>
      <c r="FB46" s="219"/>
      <c r="FC46" s="219"/>
      <c r="FD46" s="219"/>
      <c r="FE46" s="219"/>
      <c r="FF46" s="219"/>
    </row>
    <row r="47" spans="1:162" ht="17.25" customHeight="1" x14ac:dyDescent="0.2">
      <c r="A47" s="209" t="s">
        <v>201</v>
      </c>
      <c r="B47" s="209"/>
      <c r="C47" s="217" t="s">
        <v>202</v>
      </c>
      <c r="D47" s="291">
        <v>0</v>
      </c>
      <c r="E47" s="291">
        <v>0</v>
      </c>
      <c r="F47" s="303">
        <v>0</v>
      </c>
      <c r="G47" s="304">
        <v>-82881</v>
      </c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  <c r="CU47" s="218"/>
      <c r="CV47" s="218"/>
      <c r="CW47" s="218"/>
      <c r="CX47" s="218"/>
      <c r="CY47" s="218"/>
      <c r="CZ47" s="218"/>
      <c r="DA47" s="218"/>
      <c r="DB47" s="218"/>
      <c r="DC47" s="218"/>
      <c r="DD47" s="218"/>
      <c r="DE47" s="218"/>
      <c r="DF47" s="218"/>
      <c r="DG47" s="218"/>
      <c r="DH47" s="218"/>
      <c r="DI47" s="218"/>
      <c r="DJ47" s="218"/>
      <c r="DK47" s="218"/>
      <c r="DL47" s="218"/>
      <c r="DM47" s="218"/>
      <c r="DN47" s="218"/>
      <c r="DO47" s="218"/>
      <c r="DP47" s="218"/>
      <c r="DQ47" s="218"/>
      <c r="DR47" s="218"/>
      <c r="DS47" s="218"/>
      <c r="DT47" s="218"/>
      <c r="DU47" s="218"/>
      <c r="DV47" s="218"/>
      <c r="DW47" s="218"/>
      <c r="DX47" s="218"/>
      <c r="DY47" s="218"/>
      <c r="DZ47" s="218"/>
      <c r="EA47" s="218"/>
      <c r="EB47" s="218"/>
      <c r="EC47" s="218"/>
      <c r="ED47" s="218"/>
      <c r="EE47" s="218"/>
      <c r="EF47" s="218"/>
      <c r="EG47" s="218"/>
      <c r="EH47" s="218"/>
      <c r="EI47" s="218"/>
      <c r="EJ47" s="218"/>
      <c r="EK47" s="218"/>
      <c r="EL47" s="218"/>
      <c r="EM47" s="218"/>
      <c r="EN47" s="218"/>
      <c r="EO47" s="218"/>
      <c r="EP47" s="218"/>
      <c r="EQ47" s="218"/>
      <c r="ER47" s="218"/>
      <c r="ES47" s="218"/>
      <c r="ET47" s="218"/>
      <c r="EU47" s="218"/>
      <c r="EV47" s="218"/>
      <c r="EW47" s="218"/>
      <c r="EX47" s="218"/>
      <c r="EY47" s="218"/>
      <c r="EZ47" s="218"/>
      <c r="FA47" s="218"/>
      <c r="FB47" s="218"/>
      <c r="FC47" s="218"/>
      <c r="FD47" s="218"/>
      <c r="FE47" s="218"/>
      <c r="FF47" s="218"/>
    </row>
    <row r="48" spans="1:162" ht="17.25" customHeight="1" x14ac:dyDescent="0.2">
      <c r="A48" s="209" t="s">
        <v>239</v>
      </c>
      <c r="B48" s="209"/>
      <c r="C48" s="217" t="s">
        <v>240</v>
      </c>
      <c r="D48" s="291">
        <v>0</v>
      </c>
      <c r="E48" s="291">
        <v>0</v>
      </c>
      <c r="F48" s="303">
        <v>-878000</v>
      </c>
      <c r="G48" s="304">
        <v>-193160</v>
      </c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18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  <c r="CU48" s="218"/>
      <c r="CV48" s="218"/>
      <c r="CW48" s="218"/>
      <c r="CX48" s="218"/>
      <c r="CY48" s="218"/>
      <c r="CZ48" s="218"/>
      <c r="DA48" s="218"/>
      <c r="DB48" s="218"/>
      <c r="DC48" s="218"/>
      <c r="DD48" s="218"/>
      <c r="DE48" s="218"/>
      <c r="DF48" s="218"/>
      <c r="DG48" s="218"/>
      <c r="DH48" s="218"/>
      <c r="DI48" s="218"/>
      <c r="DJ48" s="218"/>
      <c r="DK48" s="218"/>
      <c r="DL48" s="218"/>
      <c r="DM48" s="218"/>
      <c r="DN48" s="218"/>
      <c r="DO48" s="218"/>
      <c r="DP48" s="218"/>
      <c r="DQ48" s="218"/>
      <c r="DR48" s="218"/>
      <c r="DS48" s="218"/>
      <c r="DT48" s="218"/>
      <c r="DU48" s="218"/>
      <c r="DV48" s="218"/>
      <c r="DW48" s="218"/>
      <c r="DX48" s="218"/>
      <c r="DY48" s="218"/>
      <c r="DZ48" s="218"/>
      <c r="EA48" s="218"/>
      <c r="EB48" s="218"/>
      <c r="EC48" s="218"/>
      <c r="ED48" s="218"/>
      <c r="EE48" s="218"/>
      <c r="EF48" s="218"/>
      <c r="EG48" s="218"/>
      <c r="EH48" s="218"/>
      <c r="EI48" s="218"/>
      <c r="EJ48" s="218"/>
      <c r="EK48" s="218"/>
      <c r="EL48" s="218"/>
      <c r="EM48" s="218"/>
      <c r="EN48" s="218"/>
      <c r="EO48" s="218"/>
      <c r="EP48" s="218"/>
      <c r="EQ48" s="218"/>
      <c r="ER48" s="218"/>
      <c r="ES48" s="218"/>
      <c r="ET48" s="218"/>
      <c r="EU48" s="218"/>
      <c r="EV48" s="218"/>
      <c r="EW48" s="218"/>
      <c r="EX48" s="218"/>
      <c r="EY48" s="218"/>
      <c r="EZ48" s="218"/>
      <c r="FA48" s="218"/>
      <c r="FB48" s="218"/>
      <c r="FC48" s="218"/>
      <c r="FD48" s="218"/>
      <c r="FE48" s="218"/>
      <c r="FF48" s="218"/>
    </row>
    <row r="49" spans="1:162" s="102" customFormat="1" ht="17.25" customHeight="1" x14ac:dyDescent="0.2">
      <c r="A49" s="209" t="s">
        <v>209</v>
      </c>
      <c r="B49" s="209"/>
      <c r="C49" s="217" t="s">
        <v>210</v>
      </c>
      <c r="D49" s="302">
        <v>-15000</v>
      </c>
      <c r="E49" s="291">
        <v>0</v>
      </c>
      <c r="F49" s="303">
        <v>-150000</v>
      </c>
      <c r="G49" s="304">
        <v>-255815</v>
      </c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  <c r="CU49" s="218"/>
      <c r="CV49" s="218"/>
      <c r="CW49" s="218"/>
      <c r="CX49" s="218"/>
      <c r="CY49" s="218"/>
      <c r="CZ49" s="218"/>
      <c r="DA49" s="218"/>
      <c r="DB49" s="218"/>
      <c r="DC49" s="218"/>
      <c r="DD49" s="218"/>
      <c r="DE49" s="218"/>
      <c r="DF49" s="218"/>
      <c r="DG49" s="218"/>
      <c r="DH49" s="218"/>
      <c r="DI49" s="218"/>
      <c r="DJ49" s="218"/>
      <c r="DK49" s="218"/>
      <c r="DL49" s="218"/>
      <c r="DM49" s="218"/>
      <c r="DN49" s="218"/>
      <c r="DO49" s="218"/>
      <c r="DP49" s="218"/>
      <c r="DQ49" s="218"/>
      <c r="DR49" s="218"/>
      <c r="DS49" s="218"/>
      <c r="DT49" s="218"/>
      <c r="DU49" s="218"/>
      <c r="DV49" s="218"/>
      <c r="DW49" s="218"/>
      <c r="DX49" s="218"/>
      <c r="DY49" s="218"/>
      <c r="DZ49" s="218"/>
      <c r="EA49" s="218"/>
      <c r="EB49" s="218"/>
      <c r="EC49" s="218"/>
      <c r="ED49" s="218"/>
      <c r="EE49" s="218"/>
      <c r="EF49" s="218"/>
      <c r="EG49" s="218"/>
      <c r="EH49" s="218"/>
      <c r="EI49" s="218"/>
      <c r="EJ49" s="218"/>
      <c r="EK49" s="218"/>
      <c r="EL49" s="218"/>
      <c r="EM49" s="218"/>
      <c r="EN49" s="218"/>
      <c r="EO49" s="218"/>
      <c r="EP49" s="218"/>
      <c r="EQ49" s="218"/>
      <c r="ER49" s="218"/>
      <c r="ES49" s="218"/>
      <c r="ET49" s="218"/>
      <c r="EU49" s="218"/>
      <c r="EV49" s="218"/>
      <c r="EW49" s="218"/>
      <c r="EX49" s="218"/>
      <c r="EY49" s="218"/>
      <c r="EZ49" s="218"/>
      <c r="FA49" s="218"/>
      <c r="FB49" s="218"/>
      <c r="FC49" s="218"/>
      <c r="FD49" s="218"/>
      <c r="FE49" s="218"/>
      <c r="FF49" s="218"/>
    </row>
    <row r="50" spans="1:162" s="102" customFormat="1" ht="17.25" customHeight="1" x14ac:dyDescent="0.2">
      <c r="A50" s="209" t="s">
        <v>215</v>
      </c>
      <c r="B50" s="209"/>
      <c r="C50" s="217" t="s">
        <v>216</v>
      </c>
      <c r="D50" s="302">
        <v>0</v>
      </c>
      <c r="E50" s="291">
        <v>0</v>
      </c>
      <c r="F50" s="303">
        <v>0</v>
      </c>
      <c r="G50" s="291">
        <v>0</v>
      </c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  <c r="CU50" s="218"/>
      <c r="CV50" s="218"/>
      <c r="CW50" s="218"/>
      <c r="CX50" s="218"/>
      <c r="CY50" s="218"/>
      <c r="CZ50" s="218"/>
      <c r="DA50" s="218"/>
      <c r="DB50" s="218"/>
      <c r="DC50" s="218"/>
      <c r="DD50" s="218"/>
      <c r="DE50" s="218"/>
      <c r="DF50" s="218"/>
      <c r="DG50" s="218"/>
      <c r="DH50" s="218"/>
      <c r="DI50" s="218"/>
      <c r="DJ50" s="218"/>
      <c r="DK50" s="218"/>
      <c r="DL50" s="218"/>
      <c r="DM50" s="218"/>
      <c r="DN50" s="218"/>
      <c r="DO50" s="218"/>
      <c r="DP50" s="218"/>
      <c r="DQ50" s="218"/>
      <c r="DR50" s="218"/>
      <c r="DS50" s="218"/>
      <c r="DT50" s="218"/>
      <c r="DU50" s="218"/>
      <c r="DV50" s="218"/>
      <c r="DW50" s="218"/>
      <c r="DX50" s="218"/>
      <c r="DY50" s="218"/>
      <c r="DZ50" s="218"/>
      <c r="EA50" s="218"/>
      <c r="EB50" s="218"/>
      <c r="EC50" s="218"/>
      <c r="ED50" s="218"/>
      <c r="EE50" s="218"/>
      <c r="EF50" s="218"/>
      <c r="EG50" s="218"/>
      <c r="EH50" s="218"/>
      <c r="EI50" s="218"/>
      <c r="EJ50" s="218"/>
      <c r="EK50" s="218"/>
      <c r="EL50" s="218"/>
      <c r="EM50" s="218"/>
      <c r="EN50" s="218"/>
      <c r="EO50" s="218"/>
      <c r="EP50" s="218"/>
      <c r="EQ50" s="218"/>
      <c r="ER50" s="218"/>
      <c r="ES50" s="218"/>
      <c r="ET50" s="218"/>
      <c r="EU50" s="218"/>
      <c r="EV50" s="218"/>
      <c r="EW50" s="218"/>
      <c r="EX50" s="218"/>
      <c r="EY50" s="218"/>
      <c r="EZ50" s="218"/>
      <c r="FA50" s="218"/>
      <c r="FB50" s="218"/>
      <c r="FC50" s="218"/>
      <c r="FD50" s="218"/>
      <c r="FE50" s="218"/>
      <c r="FF50" s="218"/>
    </row>
    <row r="51" spans="1:162" s="102" customFormat="1" ht="17.25" customHeight="1" x14ac:dyDescent="0.2">
      <c r="A51" s="209" t="s">
        <v>219</v>
      </c>
      <c r="B51" s="209"/>
      <c r="C51" s="217" t="s">
        <v>220</v>
      </c>
      <c r="D51" s="302">
        <v>0</v>
      </c>
      <c r="E51" s="277"/>
      <c r="F51" s="303">
        <v>0</v>
      </c>
      <c r="G51" s="277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  <c r="BZ51" s="218"/>
      <c r="CA51" s="218"/>
      <c r="CB51" s="218"/>
      <c r="CC51" s="218"/>
      <c r="CD51" s="218"/>
      <c r="CE51" s="218"/>
      <c r="CF51" s="218"/>
      <c r="CG51" s="218"/>
      <c r="CH51" s="218"/>
      <c r="CI51" s="218"/>
      <c r="CJ51" s="218"/>
      <c r="CK51" s="218"/>
      <c r="CL51" s="218"/>
      <c r="CM51" s="218"/>
      <c r="CN51" s="218"/>
      <c r="CO51" s="218"/>
      <c r="CP51" s="218"/>
      <c r="CQ51" s="218"/>
      <c r="CR51" s="218"/>
      <c r="CS51" s="218"/>
      <c r="CT51" s="218"/>
      <c r="CU51" s="218"/>
      <c r="CV51" s="218"/>
      <c r="CW51" s="218"/>
      <c r="CX51" s="218"/>
      <c r="CY51" s="218"/>
      <c r="CZ51" s="218"/>
      <c r="DA51" s="218"/>
      <c r="DB51" s="218"/>
      <c r="DC51" s="218"/>
      <c r="DD51" s="218"/>
      <c r="DE51" s="218"/>
      <c r="DF51" s="218"/>
      <c r="DG51" s="218"/>
      <c r="DH51" s="218"/>
      <c r="DI51" s="218"/>
      <c r="DJ51" s="218"/>
      <c r="DK51" s="218"/>
      <c r="DL51" s="218"/>
      <c r="DM51" s="218"/>
      <c r="DN51" s="218"/>
      <c r="DO51" s="218"/>
      <c r="DP51" s="218"/>
      <c r="DQ51" s="218"/>
      <c r="DR51" s="218"/>
      <c r="DS51" s="218"/>
      <c r="DT51" s="218"/>
      <c r="DU51" s="218"/>
      <c r="DV51" s="218"/>
      <c r="DW51" s="218"/>
      <c r="DX51" s="218"/>
      <c r="DY51" s="218"/>
      <c r="DZ51" s="218"/>
      <c r="EA51" s="218"/>
      <c r="EB51" s="218"/>
      <c r="EC51" s="218"/>
      <c r="ED51" s="218"/>
      <c r="EE51" s="218"/>
      <c r="EF51" s="218"/>
      <c r="EG51" s="218"/>
      <c r="EH51" s="218"/>
      <c r="EI51" s="218"/>
      <c r="EJ51" s="218"/>
      <c r="EK51" s="218"/>
      <c r="EL51" s="218"/>
      <c r="EM51" s="218"/>
      <c r="EN51" s="218"/>
      <c r="EO51" s="218"/>
      <c r="EP51" s="218"/>
      <c r="EQ51" s="218"/>
      <c r="ER51" s="218"/>
      <c r="ES51" s="218"/>
      <c r="ET51" s="218"/>
      <c r="EU51" s="218"/>
      <c r="EV51" s="218"/>
      <c r="EW51" s="218"/>
      <c r="EX51" s="218"/>
      <c r="EY51" s="218"/>
      <c r="EZ51" s="218"/>
      <c r="FA51" s="218"/>
      <c r="FB51" s="218"/>
      <c r="FC51" s="218"/>
      <c r="FD51" s="218"/>
      <c r="FE51" s="218"/>
      <c r="FF51" s="218"/>
    </row>
    <row r="52" spans="1:162" s="102" customFormat="1" ht="17.25" customHeight="1" x14ac:dyDescent="0.2">
      <c r="A52" s="209" t="s">
        <v>225</v>
      </c>
      <c r="B52" s="209"/>
      <c r="C52" s="217" t="s">
        <v>226</v>
      </c>
      <c r="D52" s="277">
        <v>-5000</v>
      </c>
      <c r="E52" s="277">
        <v>0</v>
      </c>
      <c r="F52" s="303">
        <v>-50000</v>
      </c>
      <c r="G52" s="277">
        <v>0</v>
      </c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  <c r="BO52" s="218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  <c r="BZ52" s="218"/>
      <c r="CA52" s="218"/>
      <c r="CB52" s="218"/>
      <c r="CC52" s="218"/>
      <c r="CD52" s="218"/>
      <c r="CE52" s="218"/>
      <c r="CF52" s="218"/>
      <c r="CG52" s="218"/>
      <c r="CH52" s="218"/>
      <c r="CI52" s="218"/>
      <c r="CJ52" s="218"/>
      <c r="CK52" s="218"/>
      <c r="CL52" s="218"/>
      <c r="CM52" s="218"/>
      <c r="CN52" s="218"/>
      <c r="CO52" s="218"/>
      <c r="CP52" s="218"/>
      <c r="CQ52" s="218"/>
      <c r="CR52" s="218"/>
      <c r="CS52" s="218"/>
      <c r="CT52" s="218"/>
      <c r="CU52" s="218"/>
      <c r="CV52" s="218"/>
      <c r="CW52" s="218"/>
      <c r="CX52" s="218"/>
      <c r="CY52" s="218"/>
      <c r="CZ52" s="218"/>
      <c r="DA52" s="218"/>
      <c r="DB52" s="218"/>
      <c r="DC52" s="218"/>
      <c r="DD52" s="218"/>
      <c r="DE52" s="218"/>
      <c r="DF52" s="218"/>
      <c r="DG52" s="218"/>
      <c r="DH52" s="218"/>
      <c r="DI52" s="218"/>
      <c r="DJ52" s="218"/>
      <c r="DK52" s="218"/>
      <c r="DL52" s="218"/>
      <c r="DM52" s="218"/>
      <c r="DN52" s="218"/>
      <c r="DO52" s="218"/>
      <c r="DP52" s="218"/>
      <c r="DQ52" s="218"/>
      <c r="DR52" s="218"/>
      <c r="DS52" s="218"/>
      <c r="DT52" s="218"/>
      <c r="DU52" s="218"/>
      <c r="DV52" s="218"/>
      <c r="DW52" s="218"/>
      <c r="DX52" s="218"/>
      <c r="DY52" s="218"/>
      <c r="DZ52" s="218"/>
      <c r="EA52" s="218"/>
      <c r="EB52" s="218"/>
      <c r="EC52" s="218"/>
      <c r="ED52" s="218"/>
      <c r="EE52" s="218"/>
      <c r="EF52" s="218"/>
      <c r="EG52" s="218"/>
      <c r="EH52" s="218"/>
      <c r="EI52" s="218"/>
      <c r="EJ52" s="218"/>
      <c r="EK52" s="218"/>
      <c r="EL52" s="218"/>
      <c r="EM52" s="218"/>
      <c r="EN52" s="218"/>
      <c r="EO52" s="218"/>
      <c r="EP52" s="218"/>
      <c r="EQ52" s="218"/>
      <c r="ER52" s="218"/>
      <c r="ES52" s="218"/>
      <c r="ET52" s="218"/>
      <c r="EU52" s="218"/>
      <c r="EV52" s="218"/>
      <c r="EW52" s="218"/>
      <c r="EX52" s="218"/>
      <c r="EY52" s="218"/>
      <c r="EZ52" s="218"/>
      <c r="FA52" s="218"/>
      <c r="FB52" s="218"/>
      <c r="FC52" s="218"/>
      <c r="FD52" s="218"/>
      <c r="FE52" s="218"/>
      <c r="FF52" s="218"/>
    </row>
    <row r="53" spans="1:162" s="102" customFormat="1" ht="17.25" customHeight="1" x14ac:dyDescent="0.2">
      <c r="A53" s="209" t="s">
        <v>233</v>
      </c>
      <c r="B53" s="209"/>
      <c r="C53" s="217" t="s">
        <v>234</v>
      </c>
      <c r="D53" s="277">
        <v>0</v>
      </c>
      <c r="E53" s="277">
        <v>0</v>
      </c>
      <c r="F53" s="277">
        <v>0</v>
      </c>
      <c r="G53" s="277">
        <v>-2483836</v>
      </c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218"/>
      <c r="BG53" s="218"/>
      <c r="BH53" s="218"/>
      <c r="BI53" s="218"/>
      <c r="BJ53" s="218"/>
      <c r="BK53" s="218"/>
      <c r="BL53" s="218"/>
      <c r="BM53" s="218"/>
      <c r="BN53" s="218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8"/>
      <c r="CT53" s="218"/>
      <c r="CU53" s="218"/>
      <c r="CV53" s="218"/>
      <c r="CW53" s="218"/>
      <c r="CX53" s="218"/>
      <c r="CY53" s="218"/>
      <c r="CZ53" s="218"/>
      <c r="DA53" s="218"/>
      <c r="DB53" s="218"/>
      <c r="DC53" s="218"/>
      <c r="DD53" s="218"/>
      <c r="DE53" s="218"/>
      <c r="DF53" s="218"/>
      <c r="DG53" s="218"/>
      <c r="DH53" s="218"/>
      <c r="DI53" s="218"/>
      <c r="DJ53" s="218"/>
      <c r="DK53" s="218"/>
      <c r="DL53" s="218"/>
      <c r="DM53" s="218"/>
      <c r="DN53" s="218"/>
      <c r="DO53" s="218"/>
      <c r="DP53" s="218"/>
      <c r="DQ53" s="218"/>
      <c r="DR53" s="218"/>
      <c r="DS53" s="218"/>
      <c r="DT53" s="218"/>
      <c r="DU53" s="218"/>
      <c r="DV53" s="218"/>
      <c r="DW53" s="218"/>
      <c r="DX53" s="218"/>
      <c r="DY53" s="218"/>
      <c r="DZ53" s="218"/>
      <c r="EA53" s="218"/>
      <c r="EB53" s="218"/>
      <c r="EC53" s="218"/>
      <c r="ED53" s="218"/>
      <c r="EE53" s="218"/>
      <c r="EF53" s="218"/>
      <c r="EG53" s="218"/>
      <c r="EH53" s="218"/>
      <c r="EI53" s="218"/>
      <c r="EJ53" s="218"/>
      <c r="EK53" s="218"/>
      <c r="EL53" s="218"/>
      <c r="EM53" s="218"/>
      <c r="EN53" s="218"/>
      <c r="EO53" s="218"/>
      <c r="EP53" s="218"/>
      <c r="EQ53" s="218"/>
      <c r="ER53" s="218"/>
      <c r="ES53" s="218"/>
      <c r="ET53" s="218"/>
      <c r="EU53" s="218"/>
      <c r="EV53" s="218"/>
      <c r="EW53" s="218"/>
      <c r="EX53" s="218"/>
      <c r="EY53" s="218"/>
      <c r="EZ53" s="218"/>
      <c r="FA53" s="218"/>
      <c r="FB53" s="218"/>
      <c r="FC53" s="218"/>
      <c r="FD53" s="218"/>
      <c r="FE53" s="218"/>
      <c r="FF53" s="218"/>
    </row>
    <row r="54" spans="1:162" s="102" customFormat="1" ht="17.25" customHeight="1" x14ac:dyDescent="0.2">
      <c r="A54" s="209" t="s">
        <v>241</v>
      </c>
      <c r="B54" s="209"/>
      <c r="C54" s="217" t="s">
        <v>242</v>
      </c>
      <c r="D54" s="277">
        <v>0</v>
      </c>
      <c r="E54" s="277">
        <v>0</v>
      </c>
      <c r="F54" s="277">
        <v>28761233</v>
      </c>
      <c r="G54" s="277">
        <v>0</v>
      </c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8"/>
      <c r="CT54" s="218"/>
      <c r="CU54" s="218"/>
      <c r="CV54" s="218"/>
      <c r="CW54" s="218"/>
      <c r="CX54" s="218"/>
      <c r="CY54" s="218"/>
      <c r="CZ54" s="218"/>
      <c r="DA54" s="218"/>
      <c r="DB54" s="218"/>
      <c r="DC54" s="218"/>
      <c r="DD54" s="218"/>
      <c r="DE54" s="218"/>
      <c r="DF54" s="218"/>
      <c r="DG54" s="218"/>
      <c r="DH54" s="218"/>
      <c r="DI54" s="218"/>
      <c r="DJ54" s="218"/>
      <c r="DK54" s="218"/>
      <c r="DL54" s="218"/>
      <c r="DM54" s="218"/>
      <c r="DN54" s="218"/>
      <c r="DO54" s="218"/>
      <c r="DP54" s="218"/>
      <c r="DQ54" s="218"/>
      <c r="DR54" s="218"/>
      <c r="DS54" s="218"/>
      <c r="DT54" s="218"/>
      <c r="DU54" s="218"/>
      <c r="DV54" s="218"/>
      <c r="DW54" s="218"/>
      <c r="DX54" s="218"/>
      <c r="DY54" s="218"/>
      <c r="DZ54" s="218"/>
      <c r="EA54" s="218"/>
      <c r="EB54" s="218"/>
      <c r="EC54" s="218"/>
      <c r="ED54" s="218"/>
      <c r="EE54" s="218"/>
      <c r="EF54" s="218"/>
      <c r="EG54" s="218"/>
      <c r="EH54" s="218"/>
      <c r="EI54" s="218"/>
      <c r="EJ54" s="218"/>
      <c r="EK54" s="218"/>
      <c r="EL54" s="218"/>
      <c r="EM54" s="218"/>
      <c r="EN54" s="218"/>
      <c r="EO54" s="218"/>
      <c r="EP54" s="218"/>
      <c r="EQ54" s="218"/>
      <c r="ER54" s="218"/>
      <c r="ES54" s="218"/>
      <c r="ET54" s="218"/>
      <c r="EU54" s="218"/>
      <c r="EV54" s="218"/>
      <c r="EW54" s="218"/>
      <c r="EX54" s="218"/>
      <c r="EY54" s="218"/>
      <c r="EZ54" s="218"/>
      <c r="FA54" s="218"/>
      <c r="FB54" s="218"/>
      <c r="FC54" s="218"/>
      <c r="FD54" s="218"/>
      <c r="FE54" s="218"/>
      <c r="FF54" s="218"/>
    </row>
    <row r="55" spans="1:162" s="102" customFormat="1" ht="17.25" customHeight="1" x14ac:dyDescent="0.2">
      <c r="A55" s="210"/>
      <c r="B55" s="210"/>
      <c r="C55" s="220" t="s">
        <v>288</v>
      </c>
      <c r="D55" s="221">
        <f>SUM(D42:D54)</f>
        <v>-20000</v>
      </c>
      <c r="E55" s="221">
        <f t="shared" ref="E55:G55" si="0">SUM(E42:E54)</f>
        <v>0</v>
      </c>
      <c r="F55" s="221">
        <f t="shared" si="0"/>
        <v>1336658</v>
      </c>
      <c r="G55" s="221">
        <f t="shared" si="0"/>
        <v>-3333304</v>
      </c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8"/>
      <c r="BK55" s="218"/>
      <c r="BL55" s="218"/>
      <c r="BM55" s="218"/>
      <c r="BN55" s="218"/>
      <c r="BO55" s="218"/>
      <c r="BP55" s="218"/>
      <c r="BQ55" s="218"/>
      <c r="BR55" s="218"/>
      <c r="BS55" s="218"/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8"/>
      <c r="CI55" s="218"/>
      <c r="CJ55" s="218"/>
      <c r="CK55" s="218"/>
      <c r="CL55" s="218"/>
      <c r="CM55" s="218"/>
      <c r="CN55" s="218"/>
      <c r="CO55" s="218"/>
      <c r="CP55" s="218"/>
      <c r="CQ55" s="218"/>
      <c r="CR55" s="218"/>
      <c r="CS55" s="218"/>
      <c r="CT55" s="218"/>
      <c r="CU55" s="218"/>
      <c r="CV55" s="218"/>
      <c r="CW55" s="218"/>
      <c r="CX55" s="218"/>
      <c r="CY55" s="218"/>
      <c r="CZ55" s="218"/>
      <c r="DA55" s="218"/>
      <c r="DB55" s="218"/>
      <c r="DC55" s="218"/>
      <c r="DD55" s="218"/>
      <c r="DE55" s="218"/>
      <c r="DF55" s="218"/>
      <c r="DG55" s="218"/>
      <c r="DH55" s="218"/>
      <c r="DI55" s="218"/>
      <c r="DJ55" s="218"/>
      <c r="DK55" s="218"/>
      <c r="DL55" s="218"/>
      <c r="DM55" s="218"/>
      <c r="DN55" s="218"/>
      <c r="DO55" s="218"/>
      <c r="DP55" s="218"/>
      <c r="DQ55" s="218"/>
      <c r="DR55" s="218"/>
      <c r="DS55" s="218"/>
      <c r="DT55" s="218"/>
      <c r="DU55" s="218"/>
      <c r="DV55" s="218"/>
      <c r="DW55" s="218"/>
      <c r="DX55" s="218"/>
      <c r="DY55" s="218"/>
      <c r="DZ55" s="218"/>
      <c r="EA55" s="218"/>
      <c r="EB55" s="218"/>
      <c r="EC55" s="218"/>
      <c r="ED55" s="218"/>
      <c r="EE55" s="218"/>
      <c r="EF55" s="218"/>
      <c r="EG55" s="218"/>
      <c r="EH55" s="218"/>
      <c r="EI55" s="218"/>
      <c r="EJ55" s="218"/>
      <c r="EK55" s="218"/>
      <c r="EL55" s="218"/>
      <c r="EM55" s="218"/>
      <c r="EN55" s="218"/>
      <c r="EO55" s="218"/>
      <c r="EP55" s="218"/>
      <c r="EQ55" s="218"/>
      <c r="ER55" s="218"/>
      <c r="ES55" s="218"/>
      <c r="ET55" s="218"/>
      <c r="EU55" s="218"/>
      <c r="EV55" s="218"/>
      <c r="EW55" s="218"/>
      <c r="EX55" s="218"/>
      <c r="EY55" s="218"/>
      <c r="EZ55" s="218"/>
      <c r="FA55" s="218"/>
      <c r="FB55" s="218"/>
      <c r="FC55" s="218"/>
      <c r="FD55" s="218"/>
      <c r="FE55" s="218"/>
      <c r="FF55" s="218"/>
    </row>
    <row r="56" spans="1:162" s="102" customFormat="1" ht="17.25" customHeight="1" x14ac:dyDescent="0.2">
      <c r="A56" s="209" t="s">
        <v>187</v>
      </c>
      <c r="B56" s="209"/>
      <c r="C56" s="217" t="s">
        <v>188</v>
      </c>
      <c r="D56" s="305">
        <v>-7406604</v>
      </c>
      <c r="E56" s="306">
        <v>-6873538</v>
      </c>
      <c r="F56" s="307">
        <v>-74378040</v>
      </c>
      <c r="G56" s="308">
        <v>-111822333</v>
      </c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8"/>
      <c r="CT56" s="218"/>
      <c r="CU56" s="218"/>
      <c r="CV56" s="218"/>
      <c r="CW56" s="218"/>
      <c r="CX56" s="218"/>
      <c r="CY56" s="218"/>
      <c r="CZ56" s="218"/>
      <c r="DA56" s="218"/>
      <c r="DB56" s="218"/>
      <c r="DC56" s="218"/>
      <c r="DD56" s="218"/>
      <c r="DE56" s="218"/>
      <c r="DF56" s="218"/>
      <c r="DG56" s="218"/>
      <c r="DH56" s="218"/>
      <c r="DI56" s="218"/>
      <c r="DJ56" s="218"/>
      <c r="DK56" s="218"/>
      <c r="DL56" s="218"/>
      <c r="DM56" s="218"/>
      <c r="DN56" s="218"/>
      <c r="DO56" s="218"/>
      <c r="DP56" s="218"/>
      <c r="DQ56" s="218"/>
      <c r="DR56" s="218"/>
      <c r="DS56" s="218"/>
      <c r="DT56" s="218"/>
      <c r="DU56" s="218"/>
      <c r="DV56" s="218"/>
      <c r="DW56" s="218"/>
      <c r="DX56" s="218"/>
      <c r="DY56" s="218"/>
      <c r="DZ56" s="218"/>
      <c r="EA56" s="218"/>
      <c r="EB56" s="218"/>
      <c r="EC56" s="218"/>
      <c r="ED56" s="218"/>
      <c r="EE56" s="218"/>
      <c r="EF56" s="218"/>
      <c r="EG56" s="218"/>
      <c r="EH56" s="218"/>
      <c r="EI56" s="218"/>
      <c r="EJ56" s="218"/>
      <c r="EK56" s="218"/>
      <c r="EL56" s="218"/>
      <c r="EM56" s="218"/>
      <c r="EN56" s="218"/>
      <c r="EO56" s="218"/>
      <c r="EP56" s="218"/>
      <c r="EQ56" s="218"/>
      <c r="ER56" s="218"/>
      <c r="ES56" s="218"/>
      <c r="ET56" s="218"/>
      <c r="EU56" s="218"/>
      <c r="EV56" s="218"/>
      <c r="EW56" s="218"/>
      <c r="EX56" s="218"/>
      <c r="EY56" s="218"/>
      <c r="EZ56" s="218"/>
      <c r="FA56" s="218"/>
      <c r="FB56" s="218"/>
      <c r="FC56" s="218"/>
      <c r="FD56" s="218"/>
      <c r="FE56" s="218"/>
      <c r="FF56" s="218"/>
    </row>
    <row r="57" spans="1:162" s="102" customFormat="1" ht="17.25" customHeight="1" x14ac:dyDescent="0.2">
      <c r="A57" s="209" t="s">
        <v>189</v>
      </c>
      <c r="B57" s="209"/>
      <c r="C57" s="217" t="s">
        <v>190</v>
      </c>
      <c r="D57" s="305">
        <v>0</v>
      </c>
      <c r="E57" s="306">
        <v>0</v>
      </c>
      <c r="F57" s="307">
        <v>0</v>
      </c>
      <c r="G57" s="308">
        <v>1432186</v>
      </c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</row>
    <row r="58" spans="1:162" s="102" customFormat="1" ht="17.25" customHeight="1" x14ac:dyDescent="0.2">
      <c r="A58" s="209" t="s">
        <v>193</v>
      </c>
      <c r="B58" s="209"/>
      <c r="C58" s="217" t="s">
        <v>194</v>
      </c>
      <c r="D58" s="345">
        <v>-350000</v>
      </c>
      <c r="E58" s="345">
        <v>-213490</v>
      </c>
      <c r="F58" s="346">
        <v>-3500000</v>
      </c>
      <c r="G58" s="308">
        <v>-3336920</v>
      </c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  <c r="CU58" s="218"/>
      <c r="CV58" s="218"/>
      <c r="CW58" s="218"/>
      <c r="CX58" s="218"/>
      <c r="CY58" s="218"/>
      <c r="CZ58" s="218"/>
      <c r="DA58" s="218"/>
      <c r="DB58" s="218"/>
      <c r="DC58" s="218"/>
      <c r="DD58" s="218"/>
      <c r="DE58" s="218"/>
      <c r="DF58" s="218"/>
      <c r="DG58" s="218"/>
      <c r="DH58" s="218"/>
      <c r="DI58" s="218"/>
      <c r="DJ58" s="218"/>
      <c r="DK58" s="218"/>
      <c r="DL58" s="218"/>
      <c r="DM58" s="218"/>
      <c r="DN58" s="218"/>
      <c r="DO58" s="218"/>
      <c r="DP58" s="218"/>
      <c r="DQ58" s="218"/>
      <c r="DR58" s="218"/>
      <c r="DS58" s="218"/>
      <c r="DT58" s="218"/>
      <c r="DU58" s="218"/>
      <c r="DV58" s="218"/>
      <c r="DW58" s="218"/>
      <c r="DX58" s="218"/>
      <c r="DY58" s="218"/>
      <c r="DZ58" s="218"/>
      <c r="EA58" s="218"/>
      <c r="EB58" s="218"/>
      <c r="EC58" s="218"/>
      <c r="ED58" s="218"/>
      <c r="EE58" s="218"/>
      <c r="EF58" s="218"/>
      <c r="EG58" s="218"/>
      <c r="EH58" s="218"/>
      <c r="EI58" s="218"/>
      <c r="EJ58" s="218"/>
      <c r="EK58" s="218"/>
      <c r="EL58" s="218"/>
      <c r="EM58" s="218"/>
      <c r="EN58" s="218"/>
      <c r="EO58" s="218"/>
      <c r="EP58" s="218"/>
      <c r="EQ58" s="218"/>
      <c r="ER58" s="218"/>
      <c r="ES58" s="218"/>
      <c r="ET58" s="218"/>
      <c r="EU58" s="218"/>
      <c r="EV58" s="218"/>
      <c r="EW58" s="218"/>
      <c r="EX58" s="218"/>
      <c r="EY58" s="218"/>
      <c r="EZ58" s="218"/>
      <c r="FA58" s="218"/>
      <c r="FB58" s="218"/>
      <c r="FC58" s="218"/>
      <c r="FD58" s="218"/>
      <c r="FE58" s="218"/>
      <c r="FF58" s="218"/>
    </row>
    <row r="59" spans="1:162" ht="17.25" customHeight="1" x14ac:dyDescent="0.2">
      <c r="A59" s="209" t="s">
        <v>197</v>
      </c>
      <c r="B59" s="209"/>
      <c r="C59" s="217" t="s">
        <v>198</v>
      </c>
      <c r="D59" s="345">
        <v>0</v>
      </c>
      <c r="E59" s="345">
        <v>0</v>
      </c>
      <c r="F59" s="346">
        <v>0</v>
      </c>
      <c r="G59" s="308">
        <v>-97094</v>
      </c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  <c r="CU59" s="218"/>
      <c r="CV59" s="218"/>
      <c r="CW59" s="218"/>
      <c r="CX59" s="218"/>
      <c r="CY59" s="218"/>
      <c r="CZ59" s="218"/>
      <c r="DA59" s="218"/>
      <c r="DB59" s="218"/>
      <c r="DC59" s="218"/>
      <c r="DD59" s="218"/>
      <c r="DE59" s="218"/>
      <c r="DF59" s="218"/>
      <c r="DG59" s="218"/>
      <c r="DH59" s="218"/>
      <c r="DI59" s="218"/>
      <c r="DJ59" s="218"/>
      <c r="DK59" s="218"/>
      <c r="DL59" s="218"/>
      <c r="DM59" s="218"/>
      <c r="DN59" s="218"/>
      <c r="DO59" s="218"/>
      <c r="DP59" s="218"/>
      <c r="DQ59" s="218"/>
      <c r="DR59" s="218"/>
      <c r="DS59" s="218"/>
      <c r="DT59" s="218"/>
      <c r="DU59" s="218"/>
      <c r="DV59" s="218"/>
      <c r="DW59" s="218"/>
      <c r="DX59" s="218"/>
      <c r="DY59" s="218"/>
      <c r="DZ59" s="218"/>
      <c r="EA59" s="218"/>
      <c r="EB59" s="218"/>
      <c r="EC59" s="218"/>
      <c r="ED59" s="218"/>
      <c r="EE59" s="218"/>
      <c r="EF59" s="218"/>
      <c r="EG59" s="218"/>
      <c r="EH59" s="218"/>
      <c r="EI59" s="218"/>
      <c r="EJ59" s="218"/>
      <c r="EK59" s="218"/>
      <c r="EL59" s="218"/>
      <c r="EM59" s="218"/>
      <c r="EN59" s="218"/>
      <c r="EO59" s="218"/>
      <c r="EP59" s="218"/>
      <c r="EQ59" s="218"/>
      <c r="ER59" s="218"/>
      <c r="ES59" s="218"/>
      <c r="ET59" s="218"/>
      <c r="EU59" s="218"/>
      <c r="EV59" s="218"/>
      <c r="EW59" s="218"/>
      <c r="EX59" s="218"/>
      <c r="EY59" s="218"/>
      <c r="EZ59" s="218"/>
      <c r="FA59" s="218"/>
      <c r="FB59" s="218"/>
      <c r="FC59" s="218"/>
      <c r="FD59" s="218"/>
      <c r="FE59" s="218"/>
      <c r="FF59" s="218"/>
    </row>
    <row r="60" spans="1:162" ht="17.25" customHeight="1" x14ac:dyDescent="0.2">
      <c r="A60" s="209" t="s">
        <v>199</v>
      </c>
      <c r="B60" s="209"/>
      <c r="C60" s="217" t="s">
        <v>200</v>
      </c>
      <c r="D60" s="345">
        <v>-210000</v>
      </c>
      <c r="E60" s="345">
        <v>-196941</v>
      </c>
      <c r="F60" s="346">
        <v>-2100000</v>
      </c>
      <c r="G60" s="308">
        <v>-1623481</v>
      </c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  <c r="CU60" s="218"/>
      <c r="CV60" s="218"/>
      <c r="CW60" s="218"/>
      <c r="CX60" s="218"/>
      <c r="CY60" s="218"/>
      <c r="CZ60" s="218"/>
      <c r="DA60" s="218"/>
      <c r="DB60" s="218"/>
      <c r="DC60" s="218"/>
      <c r="DD60" s="218"/>
      <c r="DE60" s="218"/>
      <c r="DF60" s="218"/>
      <c r="DG60" s="218"/>
      <c r="DH60" s="218"/>
      <c r="DI60" s="218"/>
      <c r="DJ60" s="218"/>
      <c r="DK60" s="218"/>
      <c r="DL60" s="218"/>
      <c r="DM60" s="218"/>
      <c r="DN60" s="218"/>
      <c r="DO60" s="218"/>
      <c r="DP60" s="218"/>
      <c r="DQ60" s="218"/>
      <c r="DR60" s="218"/>
      <c r="DS60" s="218"/>
      <c r="DT60" s="218"/>
      <c r="DU60" s="218"/>
      <c r="DV60" s="218"/>
      <c r="DW60" s="218"/>
      <c r="DX60" s="218"/>
      <c r="DY60" s="218"/>
      <c r="DZ60" s="218"/>
      <c r="EA60" s="218"/>
      <c r="EB60" s="218"/>
      <c r="EC60" s="218"/>
      <c r="ED60" s="218"/>
      <c r="EE60" s="218"/>
      <c r="EF60" s="218"/>
      <c r="EG60" s="218"/>
      <c r="EH60" s="218"/>
      <c r="EI60" s="218"/>
      <c r="EJ60" s="218"/>
      <c r="EK60" s="218"/>
      <c r="EL60" s="218"/>
      <c r="EM60" s="218"/>
      <c r="EN60" s="218"/>
      <c r="EO60" s="218"/>
      <c r="EP60" s="218"/>
      <c r="EQ60" s="218"/>
      <c r="ER60" s="218"/>
      <c r="ES60" s="218"/>
      <c r="ET60" s="218"/>
      <c r="EU60" s="218"/>
      <c r="EV60" s="218"/>
      <c r="EW60" s="218"/>
      <c r="EX60" s="218"/>
      <c r="EY60" s="218"/>
      <c r="EZ60" s="218"/>
      <c r="FA60" s="218"/>
      <c r="FB60" s="218"/>
      <c r="FC60" s="218"/>
      <c r="FD60" s="218"/>
      <c r="FE60" s="218"/>
      <c r="FF60" s="218"/>
    </row>
    <row r="61" spans="1:162" s="60" customFormat="1" ht="17.25" customHeight="1" x14ac:dyDescent="0.2">
      <c r="A61" s="209" t="s">
        <v>201</v>
      </c>
      <c r="B61" s="209"/>
      <c r="C61" s="217" t="s">
        <v>202</v>
      </c>
      <c r="D61" s="345">
        <v>-1400000</v>
      </c>
      <c r="E61" s="345">
        <v>-1711253</v>
      </c>
      <c r="F61" s="346">
        <v>-14000000</v>
      </c>
      <c r="G61" s="308">
        <v>-8528145</v>
      </c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19"/>
      <c r="AX61" s="219"/>
      <c r="AY61" s="219"/>
      <c r="AZ61" s="219"/>
      <c r="BA61" s="219"/>
      <c r="BB61" s="219"/>
      <c r="BC61" s="219"/>
      <c r="BD61" s="219"/>
      <c r="BE61" s="219"/>
      <c r="BF61" s="219"/>
      <c r="BG61" s="219"/>
      <c r="BH61" s="219"/>
      <c r="BI61" s="219"/>
      <c r="BJ61" s="219"/>
      <c r="BK61" s="219"/>
      <c r="BL61" s="219"/>
      <c r="BM61" s="219"/>
      <c r="BN61" s="219"/>
      <c r="BO61" s="219"/>
      <c r="BP61" s="219"/>
      <c r="BQ61" s="219"/>
      <c r="BR61" s="219"/>
      <c r="BS61" s="219"/>
      <c r="BT61" s="219"/>
      <c r="BU61" s="219"/>
      <c r="BV61" s="219"/>
      <c r="BW61" s="219"/>
      <c r="BX61" s="219"/>
      <c r="BY61" s="219"/>
      <c r="BZ61" s="219"/>
      <c r="CA61" s="219"/>
      <c r="CB61" s="219"/>
      <c r="CC61" s="219"/>
      <c r="CD61" s="219"/>
      <c r="CE61" s="219"/>
      <c r="CF61" s="219"/>
      <c r="CG61" s="219"/>
      <c r="CH61" s="219"/>
      <c r="CI61" s="219"/>
      <c r="CJ61" s="219"/>
      <c r="CK61" s="219"/>
      <c r="CL61" s="219"/>
      <c r="CM61" s="219"/>
      <c r="CN61" s="219"/>
      <c r="CO61" s="219"/>
      <c r="CP61" s="219"/>
      <c r="CQ61" s="219"/>
      <c r="CR61" s="219"/>
      <c r="CS61" s="219"/>
      <c r="CT61" s="219"/>
      <c r="CU61" s="219"/>
      <c r="CV61" s="219"/>
      <c r="CW61" s="219"/>
      <c r="CX61" s="219"/>
      <c r="CY61" s="219"/>
      <c r="CZ61" s="219"/>
      <c r="DA61" s="219"/>
      <c r="DB61" s="219"/>
      <c r="DC61" s="219"/>
      <c r="DD61" s="219"/>
      <c r="DE61" s="219"/>
      <c r="DF61" s="219"/>
      <c r="DG61" s="219"/>
      <c r="DH61" s="219"/>
      <c r="DI61" s="219"/>
      <c r="DJ61" s="219"/>
      <c r="DK61" s="219"/>
      <c r="DL61" s="219"/>
      <c r="DM61" s="219"/>
      <c r="DN61" s="219"/>
      <c r="DO61" s="219"/>
      <c r="DP61" s="219"/>
      <c r="DQ61" s="219"/>
      <c r="DR61" s="219"/>
      <c r="DS61" s="219"/>
      <c r="DT61" s="219"/>
      <c r="DU61" s="219"/>
      <c r="DV61" s="219"/>
      <c r="DW61" s="219"/>
      <c r="DX61" s="219"/>
      <c r="DY61" s="219"/>
      <c r="DZ61" s="219"/>
      <c r="EA61" s="219"/>
      <c r="EB61" s="219"/>
      <c r="EC61" s="219"/>
      <c r="ED61" s="219"/>
      <c r="EE61" s="219"/>
      <c r="EF61" s="219"/>
      <c r="EG61" s="219"/>
      <c r="EH61" s="219"/>
      <c r="EI61" s="219"/>
      <c r="EJ61" s="219"/>
      <c r="EK61" s="219"/>
      <c r="EL61" s="219"/>
      <c r="EM61" s="219"/>
      <c r="EN61" s="219"/>
      <c r="EO61" s="219"/>
      <c r="EP61" s="219"/>
      <c r="EQ61" s="219"/>
      <c r="ER61" s="219"/>
      <c r="ES61" s="219"/>
      <c r="ET61" s="219"/>
      <c r="EU61" s="219"/>
      <c r="EV61" s="219"/>
      <c r="EW61" s="219"/>
      <c r="EX61" s="219"/>
      <c r="EY61" s="219"/>
      <c r="EZ61" s="219"/>
      <c r="FA61" s="219"/>
      <c r="FB61" s="219"/>
      <c r="FC61" s="219"/>
      <c r="FD61" s="219"/>
      <c r="FE61" s="219"/>
      <c r="FF61" s="219"/>
    </row>
    <row r="62" spans="1:162" ht="17.25" customHeight="1" x14ac:dyDescent="0.2">
      <c r="A62" s="209" t="s">
        <v>203</v>
      </c>
      <c r="B62" s="209"/>
      <c r="C62" s="217" t="s">
        <v>204</v>
      </c>
      <c r="D62" s="345">
        <v>-540000</v>
      </c>
      <c r="E62" s="345">
        <v>-373993</v>
      </c>
      <c r="F62" s="346">
        <v>-5400000</v>
      </c>
      <c r="G62" s="308">
        <v>-2843586</v>
      </c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218"/>
      <c r="BW62" s="218"/>
      <c r="BX62" s="218"/>
      <c r="BY62" s="218"/>
      <c r="BZ62" s="218"/>
      <c r="CA62" s="218"/>
      <c r="CB62" s="218"/>
      <c r="CC62" s="218"/>
      <c r="CD62" s="218"/>
      <c r="CE62" s="218"/>
      <c r="CF62" s="218"/>
      <c r="CG62" s="218"/>
      <c r="CH62" s="218"/>
      <c r="CI62" s="218"/>
      <c r="CJ62" s="218"/>
      <c r="CK62" s="218"/>
      <c r="CL62" s="218"/>
      <c r="CM62" s="218"/>
      <c r="CN62" s="218"/>
      <c r="CO62" s="218"/>
      <c r="CP62" s="218"/>
      <c r="CQ62" s="218"/>
      <c r="CR62" s="218"/>
      <c r="CS62" s="218"/>
      <c r="CT62" s="218"/>
      <c r="CU62" s="218"/>
      <c r="CV62" s="218"/>
      <c r="CW62" s="218"/>
      <c r="CX62" s="218"/>
      <c r="CY62" s="218"/>
      <c r="CZ62" s="218"/>
      <c r="DA62" s="218"/>
      <c r="DB62" s="218"/>
      <c r="DC62" s="218"/>
      <c r="DD62" s="218"/>
      <c r="DE62" s="218"/>
      <c r="DF62" s="218"/>
      <c r="DG62" s="218"/>
      <c r="DH62" s="218"/>
      <c r="DI62" s="218"/>
      <c r="DJ62" s="218"/>
      <c r="DK62" s="218"/>
      <c r="DL62" s="218"/>
      <c r="DM62" s="218"/>
      <c r="DN62" s="218"/>
      <c r="DO62" s="218"/>
      <c r="DP62" s="218"/>
      <c r="DQ62" s="218"/>
      <c r="DR62" s="218"/>
      <c r="DS62" s="218"/>
      <c r="DT62" s="218"/>
      <c r="DU62" s="218"/>
      <c r="DV62" s="218"/>
      <c r="DW62" s="218"/>
      <c r="DX62" s="218"/>
      <c r="DY62" s="218"/>
      <c r="DZ62" s="218"/>
      <c r="EA62" s="218"/>
      <c r="EB62" s="218"/>
      <c r="EC62" s="218"/>
      <c r="ED62" s="218"/>
      <c r="EE62" s="218"/>
      <c r="EF62" s="218"/>
      <c r="EG62" s="218"/>
      <c r="EH62" s="218"/>
      <c r="EI62" s="218"/>
      <c r="EJ62" s="218"/>
      <c r="EK62" s="218"/>
      <c r="EL62" s="218"/>
      <c r="EM62" s="218"/>
      <c r="EN62" s="218"/>
      <c r="EO62" s="218"/>
      <c r="EP62" s="218"/>
      <c r="EQ62" s="218"/>
      <c r="ER62" s="218"/>
      <c r="ES62" s="218"/>
      <c r="ET62" s="218"/>
      <c r="EU62" s="218"/>
      <c r="EV62" s="218"/>
      <c r="EW62" s="218"/>
      <c r="EX62" s="218"/>
      <c r="EY62" s="218"/>
      <c r="EZ62" s="218"/>
      <c r="FA62" s="218"/>
      <c r="FB62" s="218"/>
      <c r="FC62" s="218"/>
      <c r="FD62" s="218"/>
      <c r="FE62" s="218"/>
      <c r="FF62" s="218"/>
    </row>
    <row r="63" spans="1:162" ht="17.25" customHeight="1" x14ac:dyDescent="0.2">
      <c r="A63" s="209" t="s">
        <v>205</v>
      </c>
      <c r="B63" s="209"/>
      <c r="C63" s="217" t="s">
        <v>206</v>
      </c>
      <c r="D63" s="345">
        <v>0</v>
      </c>
      <c r="E63" s="345">
        <v>0</v>
      </c>
      <c r="F63" s="346">
        <v>0</v>
      </c>
      <c r="G63" s="308">
        <v>-135000</v>
      </c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8"/>
      <c r="BN63" s="218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  <c r="BZ63" s="218"/>
      <c r="CA63" s="218"/>
      <c r="CB63" s="218"/>
      <c r="CC63" s="218"/>
      <c r="CD63" s="218"/>
      <c r="CE63" s="218"/>
      <c r="CF63" s="218"/>
      <c r="CG63" s="218"/>
      <c r="CH63" s="218"/>
      <c r="CI63" s="218"/>
      <c r="CJ63" s="218"/>
      <c r="CK63" s="218"/>
      <c r="CL63" s="218"/>
      <c r="CM63" s="218"/>
      <c r="CN63" s="218"/>
      <c r="CO63" s="218"/>
      <c r="CP63" s="218"/>
      <c r="CQ63" s="218"/>
      <c r="CR63" s="218"/>
      <c r="CS63" s="218"/>
      <c r="CT63" s="218"/>
      <c r="CU63" s="218"/>
      <c r="CV63" s="218"/>
      <c r="CW63" s="218"/>
      <c r="CX63" s="218"/>
      <c r="CY63" s="218"/>
      <c r="CZ63" s="218"/>
      <c r="DA63" s="218"/>
      <c r="DB63" s="218"/>
      <c r="DC63" s="218"/>
      <c r="DD63" s="218"/>
      <c r="DE63" s="218"/>
      <c r="DF63" s="218"/>
      <c r="DG63" s="218"/>
      <c r="DH63" s="218"/>
      <c r="DI63" s="218"/>
      <c r="DJ63" s="218"/>
      <c r="DK63" s="218"/>
      <c r="DL63" s="218"/>
      <c r="DM63" s="218"/>
      <c r="DN63" s="218"/>
      <c r="DO63" s="218"/>
      <c r="DP63" s="218"/>
      <c r="DQ63" s="218"/>
      <c r="DR63" s="218"/>
      <c r="DS63" s="218"/>
      <c r="DT63" s="218"/>
      <c r="DU63" s="218"/>
      <c r="DV63" s="218"/>
      <c r="DW63" s="218"/>
      <c r="DX63" s="218"/>
      <c r="DY63" s="218"/>
      <c r="DZ63" s="218"/>
      <c r="EA63" s="218"/>
      <c r="EB63" s="218"/>
      <c r="EC63" s="218"/>
      <c r="ED63" s="218"/>
      <c r="EE63" s="218"/>
      <c r="EF63" s="218"/>
      <c r="EG63" s="218"/>
      <c r="EH63" s="218"/>
      <c r="EI63" s="218"/>
      <c r="EJ63" s="218"/>
      <c r="EK63" s="218"/>
      <c r="EL63" s="218"/>
      <c r="EM63" s="218"/>
      <c r="EN63" s="218"/>
      <c r="EO63" s="218"/>
      <c r="EP63" s="218"/>
      <c r="EQ63" s="218"/>
      <c r="ER63" s="218"/>
      <c r="ES63" s="218"/>
      <c r="ET63" s="218"/>
      <c r="EU63" s="218"/>
      <c r="EV63" s="218"/>
      <c r="EW63" s="218"/>
      <c r="EX63" s="218"/>
      <c r="EY63" s="218"/>
      <c r="EZ63" s="218"/>
      <c r="FA63" s="218"/>
      <c r="FB63" s="218"/>
      <c r="FC63" s="218"/>
      <c r="FD63" s="218"/>
      <c r="FE63" s="218"/>
      <c r="FF63" s="218"/>
    </row>
    <row r="64" spans="1:162" ht="17.25" customHeight="1" x14ac:dyDescent="0.2">
      <c r="A64" s="209" t="s">
        <v>209</v>
      </c>
      <c r="B64" s="209"/>
      <c r="C64" s="217" t="s">
        <v>210</v>
      </c>
      <c r="D64" s="345">
        <v>-230000</v>
      </c>
      <c r="E64" s="345">
        <v>-29500</v>
      </c>
      <c r="F64" s="346">
        <v>-2300000</v>
      </c>
      <c r="G64" s="308">
        <v>-671238</v>
      </c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  <c r="CF64" s="218"/>
      <c r="CG64" s="218"/>
      <c r="CH64" s="218"/>
      <c r="CI64" s="218"/>
      <c r="CJ64" s="218"/>
      <c r="CK64" s="218"/>
      <c r="CL64" s="218"/>
      <c r="CM64" s="218"/>
      <c r="CN64" s="218"/>
      <c r="CO64" s="218"/>
      <c r="CP64" s="218"/>
      <c r="CQ64" s="218"/>
      <c r="CR64" s="218"/>
      <c r="CS64" s="218"/>
      <c r="CT64" s="218"/>
      <c r="CU64" s="218"/>
      <c r="CV64" s="218"/>
      <c r="CW64" s="218"/>
      <c r="CX64" s="218"/>
      <c r="CY64" s="218"/>
      <c r="CZ64" s="218"/>
      <c r="DA64" s="218"/>
      <c r="DB64" s="218"/>
      <c r="DC64" s="218"/>
      <c r="DD64" s="218"/>
      <c r="DE64" s="218"/>
      <c r="DF64" s="218"/>
      <c r="DG64" s="218"/>
      <c r="DH64" s="218"/>
      <c r="DI64" s="218"/>
      <c r="DJ64" s="218"/>
      <c r="DK64" s="218"/>
      <c r="DL64" s="218"/>
      <c r="DM64" s="218"/>
      <c r="DN64" s="218"/>
      <c r="DO64" s="218"/>
      <c r="DP64" s="218"/>
      <c r="DQ64" s="218"/>
      <c r="DR64" s="218"/>
      <c r="DS64" s="218"/>
      <c r="DT64" s="218"/>
      <c r="DU64" s="218"/>
      <c r="DV64" s="218"/>
      <c r="DW64" s="218"/>
      <c r="DX64" s="218"/>
      <c r="DY64" s="218"/>
      <c r="DZ64" s="218"/>
      <c r="EA64" s="218"/>
      <c r="EB64" s="218"/>
      <c r="EC64" s="218"/>
      <c r="ED64" s="218"/>
      <c r="EE64" s="218"/>
      <c r="EF64" s="218"/>
      <c r="EG64" s="218"/>
      <c r="EH64" s="218"/>
      <c r="EI64" s="218"/>
      <c r="EJ64" s="218"/>
      <c r="EK64" s="218"/>
      <c r="EL64" s="218"/>
      <c r="EM64" s="218"/>
      <c r="EN64" s="218"/>
      <c r="EO64" s="218"/>
      <c r="EP64" s="218"/>
      <c r="EQ64" s="218"/>
      <c r="ER64" s="218"/>
      <c r="ES64" s="218"/>
      <c r="ET64" s="218"/>
      <c r="EU64" s="218"/>
      <c r="EV64" s="218"/>
      <c r="EW64" s="218"/>
      <c r="EX64" s="218"/>
      <c r="EY64" s="218"/>
      <c r="EZ64" s="218"/>
      <c r="FA64" s="218"/>
      <c r="FB64" s="218"/>
      <c r="FC64" s="218"/>
      <c r="FD64" s="218"/>
      <c r="FE64" s="218"/>
      <c r="FF64" s="218"/>
    </row>
    <row r="65" spans="1:162" ht="17.25" customHeight="1" x14ac:dyDescent="0.2">
      <c r="A65" s="209" t="s">
        <v>245</v>
      </c>
      <c r="B65" s="209"/>
      <c r="C65" s="217" t="s">
        <v>246</v>
      </c>
      <c r="D65" s="345">
        <v>0</v>
      </c>
      <c r="E65" s="345">
        <v>-20853</v>
      </c>
      <c r="F65" s="346">
        <v>0</v>
      </c>
      <c r="G65" s="308">
        <v>-20853</v>
      </c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8"/>
      <c r="BN65" s="218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  <c r="BZ65" s="218"/>
      <c r="CA65" s="218"/>
      <c r="CB65" s="218"/>
      <c r="CC65" s="218"/>
      <c r="CD65" s="218"/>
      <c r="CE65" s="218"/>
      <c r="CF65" s="218"/>
      <c r="CG65" s="218"/>
      <c r="CH65" s="218"/>
      <c r="CI65" s="218"/>
      <c r="CJ65" s="218"/>
      <c r="CK65" s="218"/>
      <c r="CL65" s="218"/>
      <c r="CM65" s="218"/>
      <c r="CN65" s="218"/>
      <c r="CO65" s="218"/>
      <c r="CP65" s="218"/>
      <c r="CQ65" s="218"/>
      <c r="CR65" s="218"/>
      <c r="CS65" s="218"/>
      <c r="CT65" s="218"/>
      <c r="CU65" s="218"/>
      <c r="CV65" s="218"/>
      <c r="CW65" s="218"/>
      <c r="CX65" s="218"/>
      <c r="CY65" s="218"/>
      <c r="CZ65" s="218"/>
      <c r="DA65" s="218"/>
      <c r="DB65" s="218"/>
      <c r="DC65" s="218"/>
      <c r="DD65" s="218"/>
      <c r="DE65" s="218"/>
      <c r="DF65" s="218"/>
      <c r="DG65" s="218"/>
      <c r="DH65" s="218"/>
      <c r="DI65" s="218"/>
      <c r="DJ65" s="218"/>
      <c r="DK65" s="218"/>
      <c r="DL65" s="218"/>
      <c r="DM65" s="218"/>
      <c r="DN65" s="218"/>
      <c r="DO65" s="218"/>
      <c r="DP65" s="218"/>
      <c r="DQ65" s="218"/>
      <c r="DR65" s="218"/>
      <c r="DS65" s="218"/>
      <c r="DT65" s="218"/>
      <c r="DU65" s="218"/>
      <c r="DV65" s="218"/>
      <c r="DW65" s="218"/>
      <c r="DX65" s="218"/>
      <c r="DY65" s="218"/>
      <c r="DZ65" s="218"/>
      <c r="EA65" s="218"/>
      <c r="EB65" s="218"/>
      <c r="EC65" s="218"/>
      <c r="ED65" s="218"/>
      <c r="EE65" s="218"/>
      <c r="EF65" s="218"/>
      <c r="EG65" s="218"/>
      <c r="EH65" s="218"/>
      <c r="EI65" s="218"/>
      <c r="EJ65" s="218"/>
      <c r="EK65" s="218"/>
      <c r="EL65" s="218"/>
      <c r="EM65" s="218"/>
      <c r="EN65" s="218"/>
      <c r="EO65" s="218"/>
      <c r="EP65" s="218"/>
      <c r="EQ65" s="218"/>
      <c r="ER65" s="218"/>
      <c r="ES65" s="218"/>
      <c r="ET65" s="218"/>
      <c r="EU65" s="218"/>
      <c r="EV65" s="218"/>
      <c r="EW65" s="218"/>
      <c r="EX65" s="218"/>
      <c r="EY65" s="218"/>
      <c r="EZ65" s="218"/>
      <c r="FA65" s="218"/>
      <c r="FB65" s="218"/>
      <c r="FC65" s="218"/>
      <c r="FD65" s="218"/>
      <c r="FE65" s="218"/>
      <c r="FF65" s="218"/>
    </row>
    <row r="66" spans="1:162" ht="17.25" customHeight="1" x14ac:dyDescent="0.2">
      <c r="A66" s="209" t="s">
        <v>247</v>
      </c>
      <c r="B66" s="209"/>
      <c r="C66" s="217" t="s">
        <v>248</v>
      </c>
      <c r="D66" s="345">
        <v>0</v>
      </c>
      <c r="E66" s="345">
        <v>0</v>
      </c>
      <c r="F66" s="346">
        <v>0</v>
      </c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8"/>
      <c r="BN66" s="218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  <c r="BZ66" s="218"/>
      <c r="CA66" s="218"/>
      <c r="CB66" s="218"/>
      <c r="CC66" s="218"/>
      <c r="CD66" s="218"/>
      <c r="CE66" s="218"/>
      <c r="CF66" s="218"/>
      <c r="CG66" s="218"/>
      <c r="CH66" s="218"/>
      <c r="CI66" s="218"/>
      <c r="CJ66" s="218"/>
      <c r="CK66" s="218"/>
      <c r="CL66" s="218"/>
      <c r="CM66" s="218"/>
      <c r="CN66" s="218"/>
      <c r="CO66" s="218"/>
      <c r="CP66" s="218"/>
      <c r="CQ66" s="218"/>
      <c r="CR66" s="218"/>
      <c r="CS66" s="218"/>
      <c r="CT66" s="218"/>
      <c r="CU66" s="218"/>
      <c r="CV66" s="218"/>
      <c r="CW66" s="218"/>
      <c r="CX66" s="218"/>
      <c r="CY66" s="218"/>
      <c r="CZ66" s="218"/>
      <c r="DA66" s="218"/>
      <c r="DB66" s="218"/>
      <c r="DC66" s="218"/>
      <c r="DD66" s="218"/>
      <c r="DE66" s="218"/>
      <c r="DF66" s="218"/>
      <c r="DG66" s="218"/>
      <c r="DH66" s="218"/>
      <c r="DI66" s="218"/>
      <c r="DJ66" s="218"/>
      <c r="DK66" s="218"/>
      <c r="DL66" s="218"/>
      <c r="DM66" s="218"/>
      <c r="DN66" s="218"/>
      <c r="DO66" s="218"/>
      <c r="DP66" s="218"/>
      <c r="DQ66" s="218"/>
      <c r="DR66" s="218"/>
      <c r="DS66" s="218"/>
      <c r="DT66" s="218"/>
      <c r="DU66" s="218"/>
      <c r="DV66" s="218"/>
      <c r="DW66" s="218"/>
      <c r="DX66" s="218"/>
      <c r="DY66" s="218"/>
      <c r="DZ66" s="218"/>
      <c r="EA66" s="218"/>
      <c r="EB66" s="218"/>
      <c r="EC66" s="218"/>
      <c r="ED66" s="218"/>
      <c r="EE66" s="218"/>
      <c r="EF66" s="218"/>
      <c r="EG66" s="218"/>
      <c r="EH66" s="218"/>
      <c r="EI66" s="218"/>
      <c r="EJ66" s="218"/>
      <c r="EK66" s="218"/>
      <c r="EL66" s="218"/>
      <c r="EM66" s="218"/>
      <c r="EN66" s="218"/>
      <c r="EO66" s="218"/>
      <c r="EP66" s="218"/>
      <c r="EQ66" s="218"/>
      <c r="ER66" s="218"/>
      <c r="ES66" s="218"/>
      <c r="ET66" s="218"/>
      <c r="EU66" s="218"/>
      <c r="EV66" s="218"/>
      <c r="EW66" s="218"/>
      <c r="EX66" s="218"/>
      <c r="EY66" s="218"/>
      <c r="EZ66" s="218"/>
      <c r="FA66" s="218"/>
      <c r="FB66" s="218"/>
      <c r="FC66" s="218"/>
      <c r="FD66" s="218"/>
      <c r="FE66" s="218"/>
      <c r="FF66" s="218"/>
    </row>
    <row r="67" spans="1:162" ht="17.25" customHeight="1" x14ac:dyDescent="0.2">
      <c r="A67" s="209" t="s">
        <v>251</v>
      </c>
      <c r="B67" s="209"/>
      <c r="C67" s="217" t="s">
        <v>286</v>
      </c>
      <c r="D67" s="345">
        <v>0</v>
      </c>
      <c r="E67" s="345">
        <v>0</v>
      </c>
      <c r="F67" s="346">
        <v>0</v>
      </c>
      <c r="G67" s="308">
        <v>0</v>
      </c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8"/>
      <c r="CT67" s="218"/>
      <c r="CU67" s="218"/>
      <c r="CV67" s="218"/>
      <c r="CW67" s="218"/>
      <c r="CX67" s="218"/>
      <c r="CY67" s="218"/>
      <c r="CZ67" s="218"/>
      <c r="DA67" s="218"/>
      <c r="DB67" s="218"/>
      <c r="DC67" s="218"/>
      <c r="DD67" s="218"/>
      <c r="DE67" s="218"/>
      <c r="DF67" s="218"/>
      <c r="DG67" s="218"/>
      <c r="DH67" s="218"/>
      <c r="DI67" s="218"/>
      <c r="DJ67" s="218"/>
      <c r="DK67" s="218"/>
      <c r="DL67" s="218"/>
      <c r="DM67" s="218"/>
      <c r="DN67" s="218"/>
      <c r="DO67" s="218"/>
      <c r="DP67" s="218"/>
      <c r="DQ67" s="218"/>
      <c r="DR67" s="218"/>
      <c r="DS67" s="218"/>
      <c r="DT67" s="218"/>
      <c r="DU67" s="218"/>
      <c r="DV67" s="218"/>
      <c r="DW67" s="218"/>
      <c r="DX67" s="218"/>
      <c r="DY67" s="218"/>
      <c r="DZ67" s="218"/>
      <c r="EA67" s="218"/>
      <c r="EB67" s="218"/>
      <c r="EC67" s="218"/>
      <c r="ED67" s="218"/>
      <c r="EE67" s="218"/>
      <c r="EF67" s="218"/>
      <c r="EG67" s="218"/>
      <c r="EH67" s="218"/>
      <c r="EI67" s="218"/>
      <c r="EJ67" s="218"/>
      <c r="EK67" s="218"/>
      <c r="EL67" s="218"/>
      <c r="EM67" s="218"/>
      <c r="EN67" s="218"/>
      <c r="EO67" s="218"/>
      <c r="EP67" s="218"/>
      <c r="EQ67" s="218"/>
      <c r="ER67" s="218"/>
      <c r="ES67" s="218"/>
      <c r="ET67" s="218"/>
      <c r="EU67" s="218"/>
      <c r="EV67" s="218"/>
      <c r="EW67" s="218"/>
      <c r="EX67" s="218"/>
      <c r="EY67" s="218"/>
      <c r="EZ67" s="218"/>
      <c r="FA67" s="218"/>
      <c r="FB67" s="218"/>
      <c r="FC67" s="218"/>
      <c r="FD67" s="218"/>
      <c r="FE67" s="218"/>
      <c r="FF67" s="218"/>
    </row>
    <row r="68" spans="1:162" ht="17.25" customHeight="1" x14ac:dyDescent="0.2">
      <c r="A68" s="209" t="s">
        <v>211</v>
      </c>
      <c r="B68" s="209"/>
      <c r="C68" s="209" t="s">
        <v>212</v>
      </c>
      <c r="D68" s="345">
        <v>-137882</v>
      </c>
      <c r="E68" s="345">
        <v>-56305</v>
      </c>
      <c r="F68" s="346">
        <v>-1371400</v>
      </c>
      <c r="G68" s="308">
        <v>-827551</v>
      </c>
    </row>
    <row r="69" spans="1:162" ht="17.25" customHeight="1" x14ac:dyDescent="0.2">
      <c r="A69" s="209" t="s">
        <v>213</v>
      </c>
      <c r="B69" s="209"/>
      <c r="C69" s="209" t="s">
        <v>214</v>
      </c>
      <c r="D69" s="345">
        <v>-53000</v>
      </c>
      <c r="E69" s="345">
        <v>0</v>
      </c>
      <c r="F69" s="346">
        <v>-530000</v>
      </c>
      <c r="G69" s="308">
        <v>-7000</v>
      </c>
    </row>
    <row r="70" spans="1:162" ht="17.25" customHeight="1" x14ac:dyDescent="0.2">
      <c r="A70" s="209" t="s">
        <v>215</v>
      </c>
      <c r="B70" s="209"/>
      <c r="C70" s="209" t="s">
        <v>216</v>
      </c>
      <c r="D70" s="345">
        <v>-50000</v>
      </c>
      <c r="E70" s="345">
        <v>0</v>
      </c>
      <c r="F70" s="346">
        <v>-500000</v>
      </c>
      <c r="G70" s="308">
        <v>-243577</v>
      </c>
    </row>
    <row r="71" spans="1:162" ht="17.25" customHeight="1" x14ac:dyDescent="0.2">
      <c r="A71" s="209" t="s">
        <v>221</v>
      </c>
      <c r="B71" s="209"/>
      <c r="C71" s="209" t="s">
        <v>222</v>
      </c>
      <c r="D71" s="345">
        <v>-455700</v>
      </c>
      <c r="E71" s="345">
        <v>-1251190</v>
      </c>
      <c r="F71" s="346">
        <v>-8167000</v>
      </c>
      <c r="G71" s="308">
        <v>-7322439</v>
      </c>
    </row>
    <row r="72" spans="1:162" ht="17.25" customHeight="1" x14ac:dyDescent="0.2">
      <c r="A72" s="209" t="s">
        <v>223</v>
      </c>
      <c r="B72" s="209"/>
      <c r="C72" s="209" t="s">
        <v>224</v>
      </c>
      <c r="D72" s="345">
        <v>-140000</v>
      </c>
      <c r="E72" s="345">
        <v>0</v>
      </c>
      <c r="F72" s="346">
        <v>-1400000</v>
      </c>
    </row>
    <row r="73" spans="1:162" ht="17.25" customHeight="1" x14ac:dyDescent="0.2">
      <c r="A73" s="209" t="s">
        <v>225</v>
      </c>
      <c r="B73" s="209"/>
      <c r="C73" s="209" t="s">
        <v>226</v>
      </c>
      <c r="D73" s="345">
        <v>-65000</v>
      </c>
      <c r="E73" s="345">
        <v>-14178</v>
      </c>
      <c r="F73" s="346">
        <v>-650000</v>
      </c>
      <c r="G73" s="346">
        <v>-248525</v>
      </c>
    </row>
    <row r="74" spans="1:162" ht="17.25" customHeight="1" x14ac:dyDescent="0.2">
      <c r="A74" s="209" t="s">
        <v>227</v>
      </c>
      <c r="B74" s="209"/>
      <c r="C74" s="209" t="s">
        <v>228</v>
      </c>
      <c r="D74" s="305">
        <v>0</v>
      </c>
      <c r="E74" s="306">
        <v>0</v>
      </c>
      <c r="F74" s="307">
        <v>0</v>
      </c>
      <c r="G74" s="308">
        <v>0</v>
      </c>
    </row>
    <row r="75" spans="1:162" ht="17.25" customHeight="1" x14ac:dyDescent="0.2">
      <c r="A75" s="209" t="s">
        <v>235</v>
      </c>
      <c r="B75" s="209"/>
      <c r="C75" s="209" t="s">
        <v>236</v>
      </c>
      <c r="D75" s="292">
        <v>0</v>
      </c>
      <c r="E75" s="292">
        <v>0</v>
      </c>
      <c r="F75" s="292">
        <v>0</v>
      </c>
      <c r="G75" s="292">
        <v>0</v>
      </c>
    </row>
    <row r="76" spans="1:162" ht="17.25" customHeight="1" x14ac:dyDescent="0.2">
      <c r="A76" s="209" t="s">
        <v>277</v>
      </c>
      <c r="B76" s="209"/>
      <c r="C76" s="209" t="s">
        <v>278</v>
      </c>
      <c r="D76" s="278">
        <v>0</v>
      </c>
      <c r="E76" s="278">
        <v>0</v>
      </c>
      <c r="F76" s="278">
        <v>0</v>
      </c>
      <c r="G76" s="278">
        <v>0</v>
      </c>
    </row>
    <row r="77" spans="1:162" ht="17.25" customHeight="1" x14ac:dyDescent="0.2">
      <c r="A77" s="209" t="s">
        <v>279</v>
      </c>
      <c r="B77" s="209"/>
      <c r="C77" s="209" t="s">
        <v>280</v>
      </c>
      <c r="D77" s="215">
        <v>0</v>
      </c>
      <c r="E77" s="215">
        <v>0</v>
      </c>
      <c r="F77" s="238">
        <v>0</v>
      </c>
      <c r="G77" s="215">
        <v>0</v>
      </c>
    </row>
    <row r="78" spans="1:162" ht="17.25" customHeight="1" x14ac:dyDescent="0.2">
      <c r="A78" s="210"/>
      <c r="B78" s="210"/>
      <c r="C78" s="210" t="s">
        <v>289</v>
      </c>
      <c r="D78" s="216">
        <f>SUM(D56:D77)</f>
        <v>-11038186</v>
      </c>
      <c r="E78" s="216">
        <f>SUM(E56:E77)</f>
        <v>-10741241</v>
      </c>
      <c r="F78" s="239">
        <f>SUM(F56:F77)</f>
        <v>-114296440</v>
      </c>
      <c r="G78" s="216">
        <f>SUM(G56:G77)</f>
        <v>-136295556</v>
      </c>
    </row>
    <row r="79" spans="1:162" ht="17.25" customHeight="1" x14ac:dyDescent="0.2">
      <c r="A79" s="209" t="s">
        <v>187</v>
      </c>
      <c r="B79" s="209"/>
      <c r="C79" s="209" t="s">
        <v>188</v>
      </c>
      <c r="D79" s="309">
        <v>-12096490</v>
      </c>
      <c r="E79" s="310">
        <v>-9106611</v>
      </c>
      <c r="F79" s="311">
        <v>-151629060</v>
      </c>
      <c r="G79" s="312">
        <v>-158057227</v>
      </c>
    </row>
    <row r="80" spans="1:162" ht="17.25" customHeight="1" x14ac:dyDescent="0.2">
      <c r="A80" s="209" t="s">
        <v>189</v>
      </c>
      <c r="B80" s="209"/>
      <c r="C80" s="209" t="s">
        <v>190</v>
      </c>
      <c r="D80" s="309">
        <v>0</v>
      </c>
      <c r="E80" s="310">
        <v>0</v>
      </c>
      <c r="F80" s="311">
        <v>0</v>
      </c>
      <c r="G80" s="312">
        <v>-2448056</v>
      </c>
    </row>
    <row r="81" spans="1:7" ht="17.25" customHeight="1" x14ac:dyDescent="0.2">
      <c r="A81" s="209" t="s">
        <v>195</v>
      </c>
      <c r="B81" s="209"/>
      <c r="C81" s="209" t="s">
        <v>196</v>
      </c>
      <c r="D81" s="309">
        <v>0</v>
      </c>
      <c r="E81" s="310">
        <v>-2978957</v>
      </c>
      <c r="F81" s="311">
        <v>0</v>
      </c>
      <c r="G81" s="312">
        <v>-2978957</v>
      </c>
    </row>
    <row r="82" spans="1:7" ht="17.25" customHeight="1" x14ac:dyDescent="0.2">
      <c r="A82" s="209" t="s">
        <v>199</v>
      </c>
      <c r="B82" s="209"/>
      <c r="C82" s="209" t="s">
        <v>200</v>
      </c>
      <c r="D82" s="347">
        <v>-380100</v>
      </c>
      <c r="E82" s="348">
        <v>-510554</v>
      </c>
      <c r="F82" s="348">
        <v>-7505900</v>
      </c>
      <c r="G82" s="348">
        <v>-5025511</v>
      </c>
    </row>
    <row r="83" spans="1:7" ht="17.25" customHeight="1" x14ac:dyDescent="0.2">
      <c r="A83" s="209" t="s">
        <v>201</v>
      </c>
      <c r="B83" s="209"/>
      <c r="C83" s="209" t="s">
        <v>202</v>
      </c>
      <c r="D83" s="347">
        <v>-664500</v>
      </c>
      <c r="E83" s="348">
        <v>-892657</v>
      </c>
      <c r="F83" s="348">
        <v>-7660000</v>
      </c>
      <c r="G83" s="348">
        <v>-5105922</v>
      </c>
    </row>
    <row r="84" spans="1:7" ht="17.25" customHeight="1" x14ac:dyDescent="0.2">
      <c r="A84" s="209" t="s">
        <v>203</v>
      </c>
      <c r="B84" s="209"/>
      <c r="C84" s="209" t="s">
        <v>204</v>
      </c>
      <c r="D84" s="347">
        <v>-140000</v>
      </c>
      <c r="E84" s="348">
        <v>-11600</v>
      </c>
      <c r="F84" s="348">
        <v>-2564000</v>
      </c>
      <c r="G84" s="348">
        <v>-3682394</v>
      </c>
    </row>
    <row r="85" spans="1:7" ht="17.25" customHeight="1" x14ac:dyDescent="0.2">
      <c r="A85" s="209" t="s">
        <v>205</v>
      </c>
      <c r="B85" s="209"/>
      <c r="C85" s="209" t="s">
        <v>206</v>
      </c>
      <c r="D85" s="349">
        <v>0</v>
      </c>
      <c r="E85" s="349">
        <v>-229500</v>
      </c>
      <c r="F85" s="349">
        <v>0</v>
      </c>
      <c r="G85" s="349">
        <v>-229500</v>
      </c>
    </row>
    <row r="86" spans="1:7" ht="17.25" customHeight="1" x14ac:dyDescent="0.2">
      <c r="A86" s="209" t="s">
        <v>207</v>
      </c>
      <c r="B86" s="209"/>
      <c r="C86" s="209" t="s">
        <v>208</v>
      </c>
      <c r="D86" s="349">
        <v>0</v>
      </c>
      <c r="E86" s="349">
        <v>-384000</v>
      </c>
      <c r="F86" s="349">
        <v>-4172010</v>
      </c>
      <c r="G86" s="349">
        <v>-8423026</v>
      </c>
    </row>
    <row r="87" spans="1:7" ht="17.25" customHeight="1" x14ac:dyDescent="0.2">
      <c r="A87" s="209" t="s">
        <v>251</v>
      </c>
      <c r="B87" s="209"/>
      <c r="C87" s="209" t="s">
        <v>252</v>
      </c>
      <c r="D87" s="349">
        <v>-443300</v>
      </c>
      <c r="E87" s="349">
        <v>-154836</v>
      </c>
      <c r="F87" s="349">
        <v>-11824200</v>
      </c>
      <c r="G87" s="349">
        <v>-14458780</v>
      </c>
    </row>
    <row r="88" spans="1:7" ht="17.25" customHeight="1" x14ac:dyDescent="0.2">
      <c r="A88" s="209" t="s">
        <v>211</v>
      </c>
      <c r="B88" s="209"/>
      <c r="C88" s="209" t="s">
        <v>212</v>
      </c>
      <c r="D88" s="349">
        <v>-168552</v>
      </c>
      <c r="E88" s="349">
        <v>-424947</v>
      </c>
      <c r="F88" s="349">
        <v>-1683600</v>
      </c>
      <c r="G88" s="349">
        <v>-3324236</v>
      </c>
    </row>
    <row r="89" spans="1:7" ht="17.25" customHeight="1" x14ac:dyDescent="0.2">
      <c r="A89" s="209" t="s">
        <v>253</v>
      </c>
      <c r="B89" s="209"/>
      <c r="C89" s="209" t="s">
        <v>254</v>
      </c>
      <c r="D89" s="349">
        <v>-2313905</v>
      </c>
      <c r="E89" s="349">
        <v>-1644383</v>
      </c>
      <c r="F89" s="349">
        <v>-33001945</v>
      </c>
      <c r="G89" s="349">
        <v>-22514822</v>
      </c>
    </row>
    <row r="90" spans="1:7" ht="17.25" customHeight="1" x14ac:dyDescent="0.2">
      <c r="A90" s="209" t="s">
        <v>213</v>
      </c>
      <c r="B90" s="209"/>
      <c r="C90" s="209" t="s">
        <v>214</v>
      </c>
      <c r="D90" s="349">
        <v>-9500000</v>
      </c>
      <c r="E90" s="349">
        <v>-4533849</v>
      </c>
      <c r="F90" s="349">
        <v>-36750000</v>
      </c>
      <c r="G90" s="349">
        <v>-31413568</v>
      </c>
    </row>
    <row r="91" spans="1:7" ht="17.25" customHeight="1" x14ac:dyDescent="0.2">
      <c r="A91" s="209" t="s">
        <v>215</v>
      </c>
      <c r="B91" s="209"/>
      <c r="C91" s="209" t="s">
        <v>216</v>
      </c>
      <c r="D91" s="349">
        <v>-450699</v>
      </c>
      <c r="E91" s="349">
        <v>-376306</v>
      </c>
      <c r="F91" s="349">
        <v>-6294359</v>
      </c>
      <c r="G91" s="349">
        <v>-7511795</v>
      </c>
    </row>
    <row r="92" spans="1:7" ht="17.25" customHeight="1" x14ac:dyDescent="0.2">
      <c r="A92" s="209" t="s">
        <v>217</v>
      </c>
      <c r="B92" s="209"/>
      <c r="C92" s="209" t="s">
        <v>218</v>
      </c>
      <c r="D92" s="349">
        <v>0</v>
      </c>
      <c r="E92" s="349">
        <v>0</v>
      </c>
      <c r="F92" s="349">
        <v>-17320000</v>
      </c>
      <c r="G92" s="349">
        <v>-16136631</v>
      </c>
    </row>
    <row r="93" spans="1:7" ht="17.25" customHeight="1" x14ac:dyDescent="0.2">
      <c r="A93" s="209" t="s">
        <v>255</v>
      </c>
      <c r="B93" s="209"/>
      <c r="C93" s="209" t="s">
        <v>256</v>
      </c>
      <c r="D93" s="349">
        <v>-80000</v>
      </c>
      <c r="E93" s="349">
        <v>-229963</v>
      </c>
      <c r="F93" s="349">
        <v>-4968000</v>
      </c>
      <c r="G93" s="349">
        <v>-4465009</v>
      </c>
    </row>
    <row r="94" spans="1:7" ht="17.25" customHeight="1" x14ac:dyDescent="0.2">
      <c r="A94" s="209" t="s">
        <v>219</v>
      </c>
      <c r="B94" s="209"/>
      <c r="C94" s="209" t="s">
        <v>220</v>
      </c>
      <c r="D94" s="349">
        <v>-150000</v>
      </c>
      <c r="E94" s="349">
        <v>-467075</v>
      </c>
      <c r="F94" s="349">
        <v>-2940000</v>
      </c>
      <c r="G94" s="349">
        <v>-3194611</v>
      </c>
    </row>
    <row r="95" spans="1:7" ht="17.25" customHeight="1" x14ac:dyDescent="0.2">
      <c r="A95" s="209" t="s">
        <v>221</v>
      </c>
      <c r="B95" s="209"/>
      <c r="C95" s="209" t="s">
        <v>222</v>
      </c>
      <c r="D95" s="350">
        <v>0</v>
      </c>
      <c r="E95" s="350">
        <v>-245000</v>
      </c>
      <c r="F95" s="350">
        <v>0</v>
      </c>
      <c r="G95" s="350">
        <v>-245000</v>
      </c>
    </row>
    <row r="96" spans="1:7" ht="17.25" customHeight="1" x14ac:dyDescent="0.2">
      <c r="A96" s="209" t="s">
        <v>223</v>
      </c>
      <c r="B96" s="209"/>
      <c r="C96" s="209" t="s">
        <v>224</v>
      </c>
      <c r="D96" s="350">
        <v>-247535</v>
      </c>
      <c r="E96" s="350">
        <v>-688126</v>
      </c>
      <c r="F96" s="350">
        <v>-9523705</v>
      </c>
      <c r="G96" s="350">
        <v>-6749694</v>
      </c>
    </row>
    <row r="97" spans="1:7" ht="17.25" customHeight="1" x14ac:dyDescent="0.2">
      <c r="A97" s="209" t="s">
        <v>225</v>
      </c>
      <c r="B97" s="209"/>
      <c r="C97" s="209" t="s">
        <v>226</v>
      </c>
      <c r="D97" s="350">
        <v>-80000</v>
      </c>
      <c r="E97" s="350">
        <v>-15850</v>
      </c>
      <c r="F97" s="350">
        <v>-1351000</v>
      </c>
      <c r="G97" s="350">
        <v>-204419</v>
      </c>
    </row>
    <row r="98" spans="1:7" ht="17.25" customHeight="1" x14ac:dyDescent="0.2">
      <c r="A98" s="209" t="s">
        <v>227</v>
      </c>
      <c r="B98" s="209"/>
      <c r="C98" s="209" t="s">
        <v>228</v>
      </c>
      <c r="D98" s="349">
        <v>0</v>
      </c>
      <c r="E98" s="349">
        <v>0</v>
      </c>
      <c r="F98" s="349">
        <v>0</v>
      </c>
      <c r="G98" s="349">
        <v>0</v>
      </c>
    </row>
    <row r="99" spans="1:7" ht="17.25" customHeight="1" x14ac:dyDescent="0.2">
      <c r="A99" s="209" t="s">
        <v>231</v>
      </c>
      <c r="B99" s="209"/>
      <c r="C99" s="209" t="s">
        <v>232</v>
      </c>
      <c r="D99" s="347">
        <v>0</v>
      </c>
      <c r="E99" s="348">
        <v>0</v>
      </c>
      <c r="F99" s="348">
        <v>0</v>
      </c>
      <c r="G99" s="348">
        <v>0</v>
      </c>
    </row>
    <row r="100" spans="1:7" ht="17.25" customHeight="1" x14ac:dyDescent="0.2">
      <c r="A100" s="209" t="s">
        <v>241</v>
      </c>
      <c r="B100" s="209"/>
      <c r="C100" s="209" t="s">
        <v>242</v>
      </c>
      <c r="D100" s="309">
        <v>0</v>
      </c>
      <c r="E100" s="310">
        <v>0</v>
      </c>
      <c r="F100" s="311">
        <v>0</v>
      </c>
      <c r="G100" s="312">
        <v>0</v>
      </c>
    </row>
    <row r="101" spans="1:7" ht="17.25" customHeight="1" x14ac:dyDescent="0.2">
      <c r="A101" s="209" t="s">
        <v>277</v>
      </c>
      <c r="B101" s="209"/>
      <c r="C101" s="209" t="s">
        <v>278</v>
      </c>
      <c r="D101" s="309">
        <v>0</v>
      </c>
      <c r="E101" s="215">
        <v>0</v>
      </c>
      <c r="F101" s="238">
        <v>0</v>
      </c>
      <c r="G101" s="215">
        <v>0</v>
      </c>
    </row>
    <row r="102" spans="1:7" ht="17.25" customHeight="1" x14ac:dyDescent="0.2">
      <c r="A102" s="209" t="s">
        <v>279</v>
      </c>
      <c r="B102" s="209"/>
      <c r="C102" s="209" t="s">
        <v>280</v>
      </c>
      <c r="D102" s="215">
        <v>0</v>
      </c>
      <c r="E102" s="215">
        <v>0</v>
      </c>
      <c r="F102" s="238">
        <v>0</v>
      </c>
      <c r="G102" s="215">
        <v>0</v>
      </c>
    </row>
    <row r="103" spans="1:7" ht="17.25" customHeight="1" x14ac:dyDescent="0.2">
      <c r="A103" s="210"/>
      <c r="B103" s="210"/>
      <c r="C103" s="210" t="s">
        <v>273</v>
      </c>
      <c r="D103" s="216">
        <f>SUM(D79:D102)</f>
        <v>-26715081</v>
      </c>
      <c r="E103" s="216">
        <f>SUM(E79:E102)</f>
        <v>-22894214</v>
      </c>
      <c r="F103" s="239">
        <f>SUM(F79:F102)</f>
        <v>-299187779</v>
      </c>
      <c r="G103" s="216">
        <f>SUM(G79:G102)</f>
        <v>-296169158</v>
      </c>
    </row>
    <row r="104" spans="1:7" s="60" customFormat="1" ht="17.25" customHeight="1" x14ac:dyDescent="0.2">
      <c r="A104" s="209" t="s">
        <v>257</v>
      </c>
      <c r="B104" s="209"/>
      <c r="C104" s="209" t="s">
        <v>258</v>
      </c>
      <c r="D104" s="313">
        <v>-1371399</v>
      </c>
      <c r="E104" s="314">
        <v>0</v>
      </c>
      <c r="F104" s="315">
        <v>-97336000</v>
      </c>
      <c r="G104" s="293">
        <v>-107482405</v>
      </c>
    </row>
    <row r="105" spans="1:7" ht="17.25" customHeight="1" x14ac:dyDescent="0.2">
      <c r="A105" s="209" t="s">
        <v>187</v>
      </c>
      <c r="B105" s="209"/>
      <c r="C105" s="209" t="s">
        <v>188</v>
      </c>
      <c r="D105" s="313">
        <v>0</v>
      </c>
      <c r="E105" s="314">
        <v>-1981146</v>
      </c>
      <c r="F105" s="315">
        <v>-13471943</v>
      </c>
      <c r="G105" s="293">
        <v>-17825028</v>
      </c>
    </row>
    <row r="106" spans="1:7" ht="17.25" customHeight="1" x14ac:dyDescent="0.2">
      <c r="A106" s="209" t="s">
        <v>189</v>
      </c>
      <c r="B106" s="209"/>
      <c r="C106" s="209" t="s">
        <v>190</v>
      </c>
      <c r="D106" s="313">
        <v>0</v>
      </c>
      <c r="E106" s="314">
        <v>0</v>
      </c>
      <c r="F106" s="315">
        <v>0</v>
      </c>
      <c r="G106" s="293">
        <v>2598700</v>
      </c>
    </row>
    <row r="107" spans="1:7" ht="17.25" customHeight="1" x14ac:dyDescent="0.2">
      <c r="A107" s="209" t="s">
        <v>243</v>
      </c>
      <c r="B107" s="209"/>
      <c r="C107" s="209" t="s">
        <v>244</v>
      </c>
      <c r="D107" s="313">
        <v>-630000</v>
      </c>
      <c r="E107" s="314">
        <v>0</v>
      </c>
      <c r="F107" s="315">
        <v>-1400000</v>
      </c>
      <c r="G107" s="293">
        <v>-2439101</v>
      </c>
    </row>
    <row r="108" spans="1:7" ht="17.25" customHeight="1" x14ac:dyDescent="0.2">
      <c r="A108" s="209" t="s">
        <v>191</v>
      </c>
      <c r="B108" s="209"/>
      <c r="C108" s="209" t="s">
        <v>192</v>
      </c>
      <c r="D108" s="313">
        <v>-18099</v>
      </c>
      <c r="E108" s="314">
        <v>0</v>
      </c>
      <c r="F108" s="315">
        <v>-4200000</v>
      </c>
      <c r="G108" s="293">
        <v>-3351400</v>
      </c>
    </row>
    <row r="109" spans="1:7" ht="17.25" customHeight="1" x14ac:dyDescent="0.2">
      <c r="A109" s="209" t="s">
        <v>193</v>
      </c>
      <c r="B109" s="209"/>
      <c r="C109" s="209" t="s">
        <v>194</v>
      </c>
      <c r="D109" s="313">
        <v>0</v>
      </c>
      <c r="E109" s="314">
        <v>-2870</v>
      </c>
      <c r="F109" s="315">
        <v>-72396</v>
      </c>
      <c r="G109" s="293">
        <v>-38989</v>
      </c>
    </row>
    <row r="110" spans="1:7" ht="17.25" customHeight="1" x14ac:dyDescent="0.2">
      <c r="A110" s="209" t="s">
        <v>195</v>
      </c>
      <c r="B110" s="209"/>
      <c r="C110" s="209" t="s">
        <v>196</v>
      </c>
      <c r="D110" s="313">
        <v>0</v>
      </c>
      <c r="E110" s="314">
        <v>-500010</v>
      </c>
      <c r="F110" s="315">
        <v>-1000000</v>
      </c>
      <c r="G110" s="320">
        <v>-1339188</v>
      </c>
    </row>
    <row r="111" spans="1:7" ht="17.25" customHeight="1" x14ac:dyDescent="0.2">
      <c r="A111" s="209" t="s">
        <v>197</v>
      </c>
      <c r="B111" s="209"/>
      <c r="C111" s="209" t="s">
        <v>198</v>
      </c>
      <c r="D111" s="313">
        <v>0</v>
      </c>
      <c r="E111" s="314">
        <v>513000</v>
      </c>
      <c r="F111" s="315">
        <v>-688254</v>
      </c>
      <c r="G111" s="320">
        <v>-1134461</v>
      </c>
    </row>
    <row r="112" spans="1:7" ht="17.25" customHeight="1" x14ac:dyDescent="0.2">
      <c r="A112" s="209" t="s">
        <v>259</v>
      </c>
      <c r="B112" s="209"/>
      <c r="C112" s="209" t="s">
        <v>260</v>
      </c>
      <c r="D112" s="313">
        <v>0</v>
      </c>
      <c r="E112" s="314">
        <v>0</v>
      </c>
      <c r="F112" s="315">
        <v>-2442000</v>
      </c>
      <c r="G112" s="320">
        <v>-4174594</v>
      </c>
    </row>
    <row r="113" spans="1:7" ht="17.25" customHeight="1" x14ac:dyDescent="0.2">
      <c r="A113" s="209" t="s">
        <v>249</v>
      </c>
      <c r="B113" s="209"/>
      <c r="C113" s="209" t="s">
        <v>250</v>
      </c>
      <c r="D113" s="313">
        <v>-80169</v>
      </c>
      <c r="E113" s="314">
        <v>0</v>
      </c>
      <c r="F113" s="315">
        <v>-3582622</v>
      </c>
      <c r="G113" s="320">
        <v>-899950</v>
      </c>
    </row>
    <row r="114" spans="1:7" ht="17.25" customHeight="1" x14ac:dyDescent="0.2">
      <c r="A114" s="209" t="s">
        <v>199</v>
      </c>
      <c r="B114" s="209"/>
      <c r="C114" s="209" t="s">
        <v>200</v>
      </c>
      <c r="D114" s="313">
        <v>-14915</v>
      </c>
      <c r="E114" s="314">
        <v>-138399</v>
      </c>
      <c r="F114" s="315">
        <v>-652805</v>
      </c>
      <c r="G114" s="320">
        <v>-1002629</v>
      </c>
    </row>
    <row r="115" spans="1:7" ht="17.25" customHeight="1" x14ac:dyDescent="0.2">
      <c r="A115" s="209" t="s">
        <v>201</v>
      </c>
      <c r="B115" s="209"/>
      <c r="C115" s="209" t="s">
        <v>202</v>
      </c>
      <c r="D115" s="313">
        <v>-160862</v>
      </c>
      <c r="E115" s="314">
        <v>-486708</v>
      </c>
      <c r="F115" s="315">
        <v>-116005</v>
      </c>
      <c r="G115" s="320">
        <v>-2598492</v>
      </c>
    </row>
    <row r="116" spans="1:7" ht="17.25" customHeight="1" x14ac:dyDescent="0.2">
      <c r="A116" s="209" t="s">
        <v>203</v>
      </c>
      <c r="B116" s="209"/>
      <c r="C116" s="209" t="s">
        <v>204</v>
      </c>
      <c r="D116" s="313">
        <v>0</v>
      </c>
      <c r="E116" s="314">
        <v>-275102</v>
      </c>
      <c r="F116" s="315">
        <v>-1608620</v>
      </c>
      <c r="G116" s="320">
        <v>-2498537</v>
      </c>
    </row>
    <row r="117" spans="1:7" ht="17.25" customHeight="1" x14ac:dyDescent="0.2">
      <c r="A117" s="209" t="s">
        <v>205</v>
      </c>
      <c r="B117" s="209"/>
      <c r="C117" s="209" t="s">
        <v>206</v>
      </c>
      <c r="D117" s="313">
        <v>0</v>
      </c>
      <c r="E117" s="314">
        <v>0</v>
      </c>
      <c r="F117" s="315">
        <v>-218060</v>
      </c>
      <c r="G117" s="320">
        <v>-59896</v>
      </c>
    </row>
    <row r="118" spans="1:7" ht="17.25" customHeight="1" x14ac:dyDescent="0.2">
      <c r="A118" s="209" t="s">
        <v>239</v>
      </c>
      <c r="B118" s="209"/>
      <c r="C118" s="209" t="s">
        <v>240</v>
      </c>
      <c r="D118" s="313">
        <v>0</v>
      </c>
      <c r="E118" s="314">
        <v>0</v>
      </c>
      <c r="F118" s="315">
        <v>-750000</v>
      </c>
      <c r="G118" s="320">
        <v>-516550</v>
      </c>
    </row>
    <row r="119" spans="1:7" ht="17.25" customHeight="1" x14ac:dyDescent="0.2">
      <c r="A119" s="209" t="s">
        <v>207</v>
      </c>
      <c r="B119" s="209"/>
      <c r="C119" s="209" t="s">
        <v>208</v>
      </c>
      <c r="D119" s="313">
        <v>-27257</v>
      </c>
      <c r="E119" s="314">
        <v>0</v>
      </c>
      <c r="F119" s="315">
        <v>-54515</v>
      </c>
      <c r="G119" s="320">
        <v>0</v>
      </c>
    </row>
    <row r="120" spans="1:7" ht="17.25" customHeight="1" x14ac:dyDescent="0.2">
      <c r="A120" s="209" t="s">
        <v>209</v>
      </c>
      <c r="B120" s="209"/>
      <c r="C120" s="209" t="s">
        <v>210</v>
      </c>
      <c r="D120" s="313">
        <v>-34980</v>
      </c>
      <c r="E120" s="314">
        <v>0</v>
      </c>
      <c r="F120" s="315">
        <v>-109028</v>
      </c>
      <c r="G120" s="320">
        <v>-7314</v>
      </c>
    </row>
    <row r="121" spans="1:7" ht="17.25" customHeight="1" x14ac:dyDescent="0.2">
      <c r="A121" s="209" t="s">
        <v>211</v>
      </c>
      <c r="B121" s="209"/>
      <c r="C121" s="209" t="s">
        <v>212</v>
      </c>
      <c r="D121" s="313">
        <v>-1207539</v>
      </c>
      <c r="E121" s="314">
        <v>-1377</v>
      </c>
      <c r="F121" s="315">
        <v>-350534</v>
      </c>
      <c r="G121" s="320">
        <v>-405969</v>
      </c>
    </row>
    <row r="122" spans="1:7" ht="17.25" customHeight="1" x14ac:dyDescent="0.2">
      <c r="A122" s="209" t="s">
        <v>213</v>
      </c>
      <c r="B122" s="209"/>
      <c r="C122" s="209" t="s">
        <v>214</v>
      </c>
      <c r="D122" s="313">
        <v>0</v>
      </c>
      <c r="E122" s="314">
        <v>0</v>
      </c>
      <c r="F122" s="315">
        <v>-2206882</v>
      </c>
      <c r="G122" s="320">
        <v>-794022</v>
      </c>
    </row>
    <row r="123" spans="1:7" ht="17.25" customHeight="1" x14ac:dyDescent="0.2">
      <c r="A123" s="209" t="s">
        <v>215</v>
      </c>
      <c r="B123" s="209"/>
      <c r="C123" s="209" t="s">
        <v>216</v>
      </c>
      <c r="D123" s="313">
        <v>0</v>
      </c>
      <c r="E123" s="314">
        <v>0</v>
      </c>
      <c r="F123" s="315">
        <v>0</v>
      </c>
      <c r="G123" s="320">
        <v>-11761</v>
      </c>
    </row>
    <row r="124" spans="1:7" ht="17.25" customHeight="1" x14ac:dyDescent="0.2">
      <c r="A124" s="209" t="s">
        <v>255</v>
      </c>
      <c r="B124" s="209"/>
      <c r="C124" s="209" t="s">
        <v>256</v>
      </c>
      <c r="D124" s="313">
        <v>-2726</v>
      </c>
      <c r="E124" s="314">
        <v>0</v>
      </c>
      <c r="F124" s="315">
        <v>-38160</v>
      </c>
      <c r="G124" s="320">
        <v>-48850</v>
      </c>
    </row>
    <row r="125" spans="1:7" ht="17.25" customHeight="1" x14ac:dyDescent="0.2">
      <c r="A125" s="209" t="s">
        <v>219</v>
      </c>
      <c r="B125" s="209"/>
      <c r="C125" s="209" t="s">
        <v>220</v>
      </c>
      <c r="D125" s="313">
        <v>-39251</v>
      </c>
      <c r="E125" s="314">
        <v>-1538</v>
      </c>
      <c r="F125" s="315">
        <v>-27260</v>
      </c>
      <c r="G125" s="320">
        <v>-3523</v>
      </c>
    </row>
    <row r="126" spans="1:7" ht="17.25" customHeight="1" x14ac:dyDescent="0.2">
      <c r="A126" s="209" t="s">
        <v>225</v>
      </c>
      <c r="B126" s="209"/>
      <c r="C126" s="209" t="s">
        <v>226</v>
      </c>
      <c r="D126" s="313">
        <v>0</v>
      </c>
      <c r="E126" s="314">
        <v>-1308</v>
      </c>
      <c r="F126" s="315">
        <v>-196255</v>
      </c>
      <c r="G126" s="320">
        <v>-29926</v>
      </c>
    </row>
    <row r="127" spans="1:7" ht="17.25" customHeight="1" x14ac:dyDescent="0.2">
      <c r="A127" s="209" t="s">
        <v>227</v>
      </c>
      <c r="B127" s="209"/>
      <c r="C127" s="209" t="s">
        <v>228</v>
      </c>
      <c r="D127" s="279">
        <v>0</v>
      </c>
      <c r="E127" s="314">
        <v>0</v>
      </c>
      <c r="F127" s="279">
        <v>0</v>
      </c>
      <c r="G127" s="279">
        <v>0</v>
      </c>
    </row>
    <row r="128" spans="1:7" ht="17.25" customHeight="1" x14ac:dyDescent="0.2">
      <c r="A128" s="209" t="s">
        <v>233</v>
      </c>
      <c r="B128" s="209"/>
      <c r="C128" s="209" t="s">
        <v>234</v>
      </c>
      <c r="D128" s="279">
        <v>0</v>
      </c>
      <c r="E128" s="314">
        <v>0</v>
      </c>
      <c r="F128" s="279">
        <v>0</v>
      </c>
      <c r="G128" s="279">
        <f>4896849</f>
        <v>4896849</v>
      </c>
    </row>
    <row r="129" spans="1:9" ht="17.25" customHeight="1" x14ac:dyDescent="0.2">
      <c r="A129" s="209" t="s">
        <v>241</v>
      </c>
      <c r="B129" s="209"/>
      <c r="C129" s="209" t="s">
        <v>242</v>
      </c>
      <c r="D129" s="279">
        <v>0</v>
      </c>
      <c r="E129" s="314">
        <v>0</v>
      </c>
      <c r="F129" s="279">
        <v>171275000</v>
      </c>
      <c r="G129" s="279">
        <v>63000000</v>
      </c>
    </row>
    <row r="130" spans="1:9" ht="17.25" customHeight="1" x14ac:dyDescent="0.2">
      <c r="A130" s="209" t="s">
        <v>281</v>
      </c>
      <c r="B130" s="209"/>
      <c r="C130" s="209" t="s">
        <v>216</v>
      </c>
      <c r="D130" s="279">
        <v>0</v>
      </c>
      <c r="E130" s="314">
        <v>0</v>
      </c>
      <c r="F130" s="279">
        <v>0</v>
      </c>
      <c r="G130" s="279">
        <v>25672008</v>
      </c>
    </row>
    <row r="131" spans="1:9" s="60" customFormat="1" ht="17.25" customHeight="1" x14ac:dyDescent="0.2">
      <c r="A131" s="209" t="s">
        <v>279</v>
      </c>
      <c r="B131" s="209"/>
      <c r="C131" s="209" t="s">
        <v>280</v>
      </c>
      <c r="D131" s="279">
        <v>0</v>
      </c>
      <c r="E131" s="314">
        <v>0</v>
      </c>
      <c r="F131" s="279">
        <v>0</v>
      </c>
      <c r="G131" s="279">
        <v>0</v>
      </c>
    </row>
    <row r="132" spans="1:9" ht="17.25" customHeight="1" x14ac:dyDescent="0.2">
      <c r="A132" s="209" t="s">
        <v>282</v>
      </c>
      <c r="B132" s="209"/>
      <c r="C132" s="209" t="s">
        <v>234</v>
      </c>
      <c r="D132" s="279">
        <v>0</v>
      </c>
      <c r="E132" s="314">
        <v>0</v>
      </c>
      <c r="F132" s="279">
        <v>0</v>
      </c>
      <c r="G132" s="279">
        <v>0</v>
      </c>
    </row>
    <row r="133" spans="1:9" ht="17.25" customHeight="1" x14ac:dyDescent="0.2">
      <c r="A133" s="210"/>
      <c r="B133" s="210"/>
      <c r="C133" s="210" t="s">
        <v>290</v>
      </c>
      <c r="D133" s="279">
        <f>SUM(D104:D132)</f>
        <v>-3587197</v>
      </c>
      <c r="E133" s="285">
        <f t="shared" ref="E133:G133" si="1">SUM(E104:E132)</f>
        <v>-2875458</v>
      </c>
      <c r="F133" s="285">
        <f t="shared" si="1"/>
        <v>40753661</v>
      </c>
      <c r="G133" s="285">
        <f t="shared" si="1"/>
        <v>-50495028</v>
      </c>
      <c r="H133" s="222"/>
    </row>
    <row r="134" spans="1:9" ht="17.25" customHeight="1" x14ac:dyDescent="0.2">
      <c r="A134" s="209" t="s">
        <v>257</v>
      </c>
      <c r="B134" s="209"/>
      <c r="C134" s="209" t="s">
        <v>258</v>
      </c>
      <c r="D134" s="318">
        <v>0</v>
      </c>
      <c r="E134" s="327">
        <v>0</v>
      </c>
      <c r="F134" s="328">
        <v>-97300000</v>
      </c>
      <c r="G134" s="329">
        <v>-96984821</v>
      </c>
      <c r="H134" s="294"/>
      <c r="I134" s="290"/>
    </row>
    <row r="135" spans="1:9" ht="17.25" customHeight="1" x14ac:dyDescent="0.2">
      <c r="A135" s="209" t="s">
        <v>261</v>
      </c>
      <c r="B135" s="209"/>
      <c r="C135" s="209" t="s">
        <v>262</v>
      </c>
      <c r="D135" s="318">
        <v>0</v>
      </c>
      <c r="E135" s="327">
        <v>0</v>
      </c>
      <c r="F135" s="328">
        <v>-25168000</v>
      </c>
      <c r="G135" s="329">
        <v>-17429848</v>
      </c>
      <c r="H135" s="294"/>
      <c r="I135" s="290"/>
    </row>
    <row r="136" spans="1:9" ht="17.25" customHeight="1" x14ac:dyDescent="0.2">
      <c r="A136" s="209" t="s">
        <v>237</v>
      </c>
      <c r="B136" s="209"/>
      <c r="C136" s="209" t="s">
        <v>296</v>
      </c>
      <c r="D136" s="318">
        <v>0</v>
      </c>
      <c r="E136" s="327">
        <v>0</v>
      </c>
      <c r="F136" s="328">
        <v>0</v>
      </c>
      <c r="G136" s="329">
        <v>-49019848</v>
      </c>
      <c r="H136" s="294"/>
      <c r="I136" s="290"/>
    </row>
    <row r="137" spans="1:9" ht="17.25" customHeight="1" x14ac:dyDescent="0.2">
      <c r="A137" s="209" t="s">
        <v>263</v>
      </c>
      <c r="B137" s="209"/>
      <c r="C137" s="209" t="s">
        <v>264</v>
      </c>
      <c r="D137" s="318">
        <v>0</v>
      </c>
      <c r="E137" s="327">
        <v>0</v>
      </c>
      <c r="F137" s="328">
        <v>-38592000</v>
      </c>
      <c r="G137" s="329">
        <v>-30243710</v>
      </c>
      <c r="H137" s="294"/>
      <c r="I137" s="290"/>
    </row>
    <row r="138" spans="1:9" ht="17.25" customHeight="1" x14ac:dyDescent="0.2">
      <c r="A138" s="209" t="s">
        <v>187</v>
      </c>
      <c r="B138" s="209"/>
      <c r="C138" s="209" t="s">
        <v>188</v>
      </c>
      <c r="D138" s="318">
        <v>-1246726</v>
      </c>
      <c r="E138" s="327">
        <v>-1799385</v>
      </c>
      <c r="F138" s="328">
        <v>-12247220</v>
      </c>
      <c r="G138" s="329">
        <v>-16281852</v>
      </c>
      <c r="H138" s="294"/>
      <c r="I138" s="290"/>
    </row>
    <row r="139" spans="1:9" ht="17.25" customHeight="1" x14ac:dyDescent="0.2">
      <c r="A139" s="209" t="s">
        <v>189</v>
      </c>
      <c r="B139" s="209"/>
      <c r="C139" s="209" t="s">
        <v>190</v>
      </c>
      <c r="D139" s="318">
        <v>0</v>
      </c>
      <c r="E139" s="327">
        <v>0</v>
      </c>
      <c r="F139" s="328">
        <v>0</v>
      </c>
      <c r="G139" s="329">
        <v>88588</v>
      </c>
      <c r="H139" s="294"/>
      <c r="I139" s="290"/>
    </row>
    <row r="140" spans="1:9" ht="17.25" customHeight="1" x14ac:dyDescent="0.2">
      <c r="A140" s="209" t="s">
        <v>243</v>
      </c>
      <c r="B140" s="209"/>
      <c r="C140" s="209" t="s">
        <v>244</v>
      </c>
      <c r="D140" s="318">
        <v>-2300000</v>
      </c>
      <c r="E140" s="327">
        <v>-2369313</v>
      </c>
      <c r="F140" s="328">
        <v>-6900000</v>
      </c>
      <c r="G140" s="329">
        <v>-3367465</v>
      </c>
      <c r="H140" s="294"/>
      <c r="I140" s="290"/>
    </row>
    <row r="141" spans="1:9" ht="17.25" customHeight="1" x14ac:dyDescent="0.2">
      <c r="A141" s="209" t="s">
        <v>191</v>
      </c>
      <c r="B141" s="209"/>
      <c r="C141" s="209" t="s">
        <v>192</v>
      </c>
      <c r="D141" s="318">
        <v>0</v>
      </c>
      <c r="E141" s="327">
        <v>0</v>
      </c>
      <c r="F141" s="328">
        <v>-4000000</v>
      </c>
      <c r="G141" s="329">
        <v>-7426851</v>
      </c>
      <c r="H141" s="294"/>
      <c r="I141" s="290"/>
    </row>
    <row r="142" spans="1:9" ht="17.25" customHeight="1" x14ac:dyDescent="0.2">
      <c r="A142" s="209" t="s">
        <v>193</v>
      </c>
      <c r="B142" s="209"/>
      <c r="C142" s="209" t="s">
        <v>194</v>
      </c>
      <c r="D142" s="318">
        <v>-16454</v>
      </c>
      <c r="E142" s="327">
        <v>-2607</v>
      </c>
      <c r="F142" s="328">
        <v>-65816</v>
      </c>
      <c r="G142" s="329">
        <v>-254662</v>
      </c>
      <c r="H142" s="294"/>
      <c r="I142" s="290"/>
    </row>
    <row r="143" spans="1:9" ht="17.25" customHeight="1" x14ac:dyDescent="0.2">
      <c r="A143" s="209" t="s">
        <v>195</v>
      </c>
      <c r="B143" s="209"/>
      <c r="C143" s="209" t="s">
        <v>196</v>
      </c>
      <c r="D143" s="318">
        <v>0</v>
      </c>
      <c r="E143" s="327">
        <v>-526705</v>
      </c>
      <c r="F143" s="328">
        <v>0</v>
      </c>
      <c r="G143" s="329">
        <v>-526705</v>
      </c>
      <c r="H143" s="294"/>
      <c r="I143" s="290"/>
    </row>
    <row r="144" spans="1:9" ht="17.25" customHeight="1" x14ac:dyDescent="0.2">
      <c r="A144" s="209" t="s">
        <v>197</v>
      </c>
      <c r="B144" s="209"/>
      <c r="C144" s="209" t="s">
        <v>198</v>
      </c>
      <c r="D144" s="318">
        <v>-12402409</v>
      </c>
      <c r="E144" s="327">
        <v>14219789</v>
      </c>
      <c r="F144" s="328">
        <v>-70884045</v>
      </c>
      <c r="G144" s="329">
        <v>-59662996</v>
      </c>
      <c r="H144" s="294"/>
      <c r="I144" s="290"/>
    </row>
    <row r="145" spans="1:9" ht="17.25" customHeight="1" x14ac:dyDescent="0.2">
      <c r="A145" s="209" t="s">
        <v>259</v>
      </c>
      <c r="B145" s="209"/>
      <c r="C145" s="209" t="s">
        <v>260</v>
      </c>
      <c r="D145" s="318">
        <v>0</v>
      </c>
      <c r="E145" s="327">
        <v>0</v>
      </c>
      <c r="F145" s="328">
        <v>-2571000</v>
      </c>
      <c r="G145" s="329">
        <v>-4855122</v>
      </c>
      <c r="H145" s="294"/>
      <c r="I145" s="290"/>
    </row>
    <row r="146" spans="1:9" ht="17.25" customHeight="1" x14ac:dyDescent="0.2">
      <c r="A146" s="209" t="s">
        <v>249</v>
      </c>
      <c r="B146" s="209"/>
      <c r="C146" s="209" t="s">
        <v>250</v>
      </c>
      <c r="D146" s="318">
        <v>0</v>
      </c>
      <c r="E146" s="327">
        <v>0</v>
      </c>
      <c r="F146" s="328">
        <v>-3951618</v>
      </c>
      <c r="G146" s="329">
        <v>-4207580</v>
      </c>
      <c r="H146" s="294"/>
      <c r="I146" s="290"/>
    </row>
    <row r="147" spans="1:9" ht="17.25" customHeight="1" x14ac:dyDescent="0.2">
      <c r="A147" s="209" t="s">
        <v>199</v>
      </c>
      <c r="B147" s="209"/>
      <c r="C147" s="209" t="s">
        <v>200</v>
      </c>
      <c r="D147" s="318">
        <v>-72881</v>
      </c>
      <c r="E147" s="327">
        <v>-139149</v>
      </c>
      <c r="F147" s="328">
        <v>-593458</v>
      </c>
      <c r="G147" s="329">
        <v>-919750</v>
      </c>
      <c r="H147" s="294"/>
      <c r="I147" s="290"/>
    </row>
    <row r="148" spans="1:9" ht="17.25" customHeight="1" x14ac:dyDescent="0.2">
      <c r="A148" s="209" t="s">
        <v>201</v>
      </c>
      <c r="B148" s="209"/>
      <c r="C148" s="209" t="s">
        <v>202</v>
      </c>
      <c r="D148" s="318">
        <v>-13559</v>
      </c>
      <c r="E148" s="327">
        <v>-442056</v>
      </c>
      <c r="F148" s="328">
        <v>-105460</v>
      </c>
      <c r="G148" s="329">
        <v>-2345964</v>
      </c>
      <c r="H148" s="294"/>
      <c r="I148" s="290"/>
    </row>
    <row r="149" spans="1:9" ht="17.25" customHeight="1" x14ac:dyDescent="0.2">
      <c r="A149" s="209" t="s">
        <v>203</v>
      </c>
      <c r="B149" s="209"/>
      <c r="C149" s="209" t="s">
        <v>204</v>
      </c>
      <c r="D149" s="318">
        <v>-146238</v>
      </c>
      <c r="E149" s="327">
        <v>-243718</v>
      </c>
      <c r="F149" s="328">
        <v>-1462380</v>
      </c>
      <c r="G149" s="329">
        <v>-2130279</v>
      </c>
      <c r="H149" s="294"/>
      <c r="I149" s="290"/>
    </row>
    <row r="150" spans="1:9" ht="17.25" customHeight="1" x14ac:dyDescent="0.2">
      <c r="A150" s="209" t="s">
        <v>205</v>
      </c>
      <c r="B150" s="209"/>
      <c r="C150" s="209" t="s">
        <v>206</v>
      </c>
      <c r="D150" s="318">
        <v>0</v>
      </c>
      <c r="E150" s="327">
        <v>0</v>
      </c>
      <c r="F150" s="328">
        <v>-198236</v>
      </c>
      <c r="G150" s="329">
        <v>-54401</v>
      </c>
      <c r="H150" s="294"/>
      <c r="I150" s="290"/>
    </row>
    <row r="151" spans="1:9" ht="17.25" customHeight="1" x14ac:dyDescent="0.2">
      <c r="A151" s="209" t="s">
        <v>239</v>
      </c>
      <c r="B151" s="209"/>
      <c r="C151" s="209" t="s">
        <v>240</v>
      </c>
      <c r="D151" s="318">
        <v>0</v>
      </c>
      <c r="E151" s="327">
        <v>0</v>
      </c>
      <c r="F151" s="328">
        <v>-1000000</v>
      </c>
      <c r="G151" s="329">
        <v>-1218090</v>
      </c>
      <c r="H151" s="294"/>
      <c r="I151" s="290"/>
    </row>
    <row r="152" spans="1:9" ht="17.25" customHeight="1" x14ac:dyDescent="0.2">
      <c r="A152" s="209" t="s">
        <v>207</v>
      </c>
      <c r="B152" s="209"/>
      <c r="C152" s="209" t="s">
        <v>208</v>
      </c>
      <c r="D152" s="318">
        <v>0</v>
      </c>
      <c r="E152" s="327">
        <v>0</v>
      </c>
      <c r="F152" s="328">
        <v>-49559</v>
      </c>
      <c r="G152" s="329">
        <v>0</v>
      </c>
      <c r="H152" s="294"/>
      <c r="I152" s="290"/>
    </row>
    <row r="153" spans="1:9" ht="17.25" customHeight="1" x14ac:dyDescent="0.2">
      <c r="A153" s="209" t="s">
        <v>209</v>
      </c>
      <c r="B153" s="209"/>
      <c r="C153" s="209" t="s">
        <v>210</v>
      </c>
      <c r="D153" s="318">
        <v>-24779</v>
      </c>
      <c r="E153" s="327">
        <v>0</v>
      </c>
      <c r="F153" s="328">
        <v>-99116</v>
      </c>
      <c r="G153" s="329">
        <v>-6643</v>
      </c>
      <c r="H153" s="294"/>
      <c r="I153" s="290"/>
    </row>
    <row r="154" spans="1:9" ht="17.25" customHeight="1" x14ac:dyDescent="0.2">
      <c r="A154" s="209" t="s">
        <v>245</v>
      </c>
      <c r="B154" s="209"/>
      <c r="C154" s="209" t="s">
        <v>246</v>
      </c>
      <c r="D154" s="318">
        <v>0</v>
      </c>
      <c r="E154" s="327">
        <v>0</v>
      </c>
      <c r="F154" s="328">
        <v>-11451800</v>
      </c>
      <c r="G154" s="329">
        <v>-13425062</v>
      </c>
      <c r="H154" s="294"/>
      <c r="I154" s="290"/>
    </row>
    <row r="155" spans="1:9" ht="17.25" customHeight="1" x14ac:dyDescent="0.2">
      <c r="A155" s="209" t="s">
        <v>211</v>
      </c>
      <c r="B155" s="209"/>
      <c r="C155" s="209" t="s">
        <v>212</v>
      </c>
      <c r="D155" s="318">
        <v>-31800</v>
      </c>
      <c r="E155" s="327">
        <v>-1250</v>
      </c>
      <c r="F155" s="328">
        <v>-318667</v>
      </c>
      <c r="G155" s="329">
        <v>-171187</v>
      </c>
      <c r="H155" s="294"/>
      <c r="I155" s="290"/>
    </row>
    <row r="156" spans="1:9" ht="17.25" customHeight="1" x14ac:dyDescent="0.2">
      <c r="A156" s="209" t="s">
        <v>213</v>
      </c>
      <c r="B156" s="209"/>
      <c r="C156" s="209" t="s">
        <v>214</v>
      </c>
      <c r="D156" s="318">
        <v>-1271094</v>
      </c>
      <c r="E156" s="327">
        <v>0</v>
      </c>
      <c r="F156" s="328">
        <v>-2323035</v>
      </c>
      <c r="G156" s="329">
        <v>-804835</v>
      </c>
      <c r="H156" s="294"/>
      <c r="I156" s="290"/>
    </row>
    <row r="157" spans="1:9" ht="17.25" customHeight="1" x14ac:dyDescent="0.2">
      <c r="A157" s="209" t="s">
        <v>215</v>
      </c>
      <c r="B157" s="209"/>
      <c r="C157" s="209" t="s">
        <v>216</v>
      </c>
      <c r="D157" s="318">
        <v>0</v>
      </c>
      <c r="E157" s="327">
        <v>0</v>
      </c>
      <c r="F157" s="328">
        <v>0</v>
      </c>
      <c r="G157" s="329">
        <v>-4096532</v>
      </c>
      <c r="H157" s="294"/>
      <c r="I157" s="290"/>
    </row>
    <row r="158" spans="1:9" ht="17.25" customHeight="1" x14ac:dyDescent="0.2">
      <c r="A158" s="209" t="s">
        <v>298</v>
      </c>
      <c r="B158" s="209"/>
      <c r="C158" s="209" t="s">
        <v>299</v>
      </c>
      <c r="D158" s="318">
        <v>0</v>
      </c>
      <c r="E158" s="327">
        <v>0</v>
      </c>
      <c r="F158" s="328">
        <v>0</v>
      </c>
      <c r="G158" s="329">
        <v>22222209</v>
      </c>
      <c r="H158" s="294"/>
      <c r="I158" s="290"/>
    </row>
    <row r="159" spans="1:9" ht="17.25" customHeight="1" x14ac:dyDescent="0.2">
      <c r="A159" s="209" t="s">
        <v>255</v>
      </c>
      <c r="B159" s="209"/>
      <c r="C159" s="209" t="s">
        <v>256</v>
      </c>
      <c r="D159" s="318">
        <v>0</v>
      </c>
      <c r="E159" s="327">
        <v>0</v>
      </c>
      <c r="F159" s="328">
        <v>-34691</v>
      </c>
      <c r="G159" s="329">
        <v>-44369</v>
      </c>
      <c r="H159" s="294"/>
      <c r="I159" s="290"/>
    </row>
    <row r="160" spans="1:9" ht="17.25" customHeight="1" x14ac:dyDescent="0.2">
      <c r="A160" s="209" t="s">
        <v>219</v>
      </c>
      <c r="B160" s="209"/>
      <c r="C160" s="209" t="s">
        <v>220</v>
      </c>
      <c r="D160" s="318">
        <v>-2478</v>
      </c>
      <c r="E160" s="327">
        <v>-1397</v>
      </c>
      <c r="F160" s="328">
        <v>-24780</v>
      </c>
      <c r="G160" s="329">
        <v>-3197</v>
      </c>
      <c r="H160" s="294"/>
      <c r="I160" s="290"/>
    </row>
    <row r="161" spans="1:9" ht="17.25" customHeight="1" x14ac:dyDescent="0.2">
      <c r="A161" s="209" t="s">
        <v>225</v>
      </c>
      <c r="B161" s="209"/>
      <c r="C161" s="209" t="s">
        <v>226</v>
      </c>
      <c r="D161" s="318">
        <v>-35682</v>
      </c>
      <c r="E161" s="327">
        <v>-1188</v>
      </c>
      <c r="F161" s="328">
        <v>-178410</v>
      </c>
      <c r="G161" s="329">
        <v>-18239</v>
      </c>
      <c r="H161" s="294"/>
      <c r="I161" s="290"/>
    </row>
    <row r="162" spans="1:9" ht="17.25" customHeight="1" x14ac:dyDescent="0.2">
      <c r="A162" s="209" t="s">
        <v>309</v>
      </c>
      <c r="B162" s="209"/>
      <c r="C162" s="209" t="s">
        <v>310</v>
      </c>
      <c r="D162" s="350">
        <v>0</v>
      </c>
      <c r="E162" s="350">
        <v>-3921198</v>
      </c>
      <c r="F162" s="350"/>
      <c r="G162" s="350">
        <v>-3921198</v>
      </c>
      <c r="H162" s="295"/>
      <c r="I162" s="290"/>
    </row>
    <row r="163" spans="1:9" ht="17.25" customHeight="1" x14ac:dyDescent="0.2">
      <c r="A163" s="209" t="s">
        <v>227</v>
      </c>
      <c r="B163" s="209"/>
      <c r="C163" s="209" t="s">
        <v>228</v>
      </c>
      <c r="D163" s="318">
        <v>0</v>
      </c>
      <c r="E163" s="327">
        <v>0</v>
      </c>
      <c r="F163" s="328">
        <v>0</v>
      </c>
      <c r="G163" s="329">
        <v>0</v>
      </c>
      <c r="H163" s="294"/>
      <c r="I163" s="290"/>
    </row>
    <row r="164" spans="1:9" ht="17.25" customHeight="1" x14ac:dyDescent="0.2">
      <c r="A164" s="209" t="s">
        <v>231</v>
      </c>
      <c r="B164" s="209"/>
      <c r="C164" s="209" t="s">
        <v>232</v>
      </c>
      <c r="D164" s="318">
        <v>0</v>
      </c>
      <c r="E164" s="327">
        <v>0</v>
      </c>
      <c r="F164" s="328">
        <v>0</v>
      </c>
      <c r="G164" s="329">
        <v>0</v>
      </c>
      <c r="H164" s="294"/>
      <c r="I164" s="290"/>
    </row>
    <row r="165" spans="1:9" ht="17.25" customHeight="1" x14ac:dyDescent="0.2">
      <c r="A165" s="209" t="s">
        <v>233</v>
      </c>
      <c r="B165" s="209"/>
      <c r="C165" s="209" t="s">
        <v>234</v>
      </c>
      <c r="D165" s="318">
        <v>0</v>
      </c>
      <c r="E165" s="327">
        <v>-63677</v>
      </c>
      <c r="F165" s="328">
        <v>0</v>
      </c>
      <c r="G165" s="329">
        <v>-153351</v>
      </c>
      <c r="H165" s="294"/>
      <c r="I165" s="290"/>
    </row>
    <row r="166" spans="1:9" s="60" customFormat="1" ht="17.25" customHeight="1" x14ac:dyDescent="0.2">
      <c r="A166" s="209" t="s">
        <v>241</v>
      </c>
      <c r="B166" s="209"/>
      <c r="C166" s="209" t="s">
        <v>242</v>
      </c>
      <c r="D166" s="318">
        <v>119350000</v>
      </c>
      <c r="E166" s="327">
        <v>132119</v>
      </c>
      <c r="F166" s="328">
        <v>238700000</v>
      </c>
      <c r="G166" s="329">
        <v>261690479</v>
      </c>
      <c r="H166" s="294"/>
      <c r="I166" s="290"/>
    </row>
    <row r="167" spans="1:9" ht="17.25" customHeight="1" x14ac:dyDescent="0.2">
      <c r="A167" s="209" t="s">
        <v>281</v>
      </c>
      <c r="B167" s="209"/>
      <c r="C167" s="209" t="s">
        <v>216</v>
      </c>
      <c r="D167" s="318">
        <v>0</v>
      </c>
      <c r="E167" s="327">
        <v>0</v>
      </c>
      <c r="F167" s="328">
        <v>0</v>
      </c>
      <c r="G167" s="329">
        <v>191050</v>
      </c>
      <c r="H167" s="294"/>
      <c r="I167" s="290"/>
    </row>
    <row r="168" spans="1:9" ht="17.25" customHeight="1" x14ac:dyDescent="0.2">
      <c r="A168" s="209" t="s">
        <v>283</v>
      </c>
      <c r="B168" s="209"/>
      <c r="C168" s="209" t="s">
        <v>284</v>
      </c>
      <c r="D168" s="318">
        <v>0</v>
      </c>
      <c r="E168" s="327">
        <v>0</v>
      </c>
      <c r="F168" s="328">
        <v>0</v>
      </c>
      <c r="G168" s="329">
        <v>0</v>
      </c>
      <c r="I168" s="290"/>
    </row>
    <row r="169" spans="1:9" ht="17.25" customHeight="1" x14ac:dyDescent="0.2">
      <c r="A169" s="209" t="s">
        <v>277</v>
      </c>
      <c r="B169" s="209"/>
      <c r="C169" s="209" t="s">
        <v>278</v>
      </c>
      <c r="D169" s="318">
        <v>0</v>
      </c>
      <c r="E169" s="327">
        <v>0</v>
      </c>
      <c r="F169" s="328">
        <v>0</v>
      </c>
      <c r="G169" s="329">
        <v>0</v>
      </c>
      <c r="I169" s="290"/>
    </row>
    <row r="170" spans="1:9" ht="17.25" customHeight="1" x14ac:dyDescent="0.2">
      <c r="A170" s="210"/>
      <c r="B170" s="210"/>
      <c r="C170" s="210" t="s">
        <v>274</v>
      </c>
      <c r="D170" s="216">
        <f>SUM(D134:D169)</f>
        <v>101785900</v>
      </c>
      <c r="E170" s="216">
        <f>SUM(E134:E169)</f>
        <v>4840265</v>
      </c>
      <c r="F170" s="239">
        <f>SUM(F134:F169)</f>
        <v>-40819291</v>
      </c>
      <c r="G170" s="216">
        <f>SUM(G134:G169)</f>
        <v>-35382231</v>
      </c>
      <c r="H170" s="216"/>
      <c r="I170" s="290"/>
    </row>
    <row r="171" spans="1:9" ht="17.25" customHeight="1" x14ac:dyDescent="0.2">
      <c r="A171" s="209" t="s">
        <v>257</v>
      </c>
      <c r="B171" s="209"/>
      <c r="C171" s="209" t="s">
        <v>258</v>
      </c>
      <c r="D171" s="330">
        <v>0</v>
      </c>
      <c r="E171" s="331">
        <v>0</v>
      </c>
      <c r="F171" s="332">
        <v>-487782500</v>
      </c>
      <c r="G171" s="333">
        <v>-535730666</v>
      </c>
      <c r="I171" s="290"/>
    </row>
    <row r="172" spans="1:9" ht="17.25" customHeight="1" x14ac:dyDescent="0.2">
      <c r="A172" s="209" t="s">
        <v>187</v>
      </c>
      <c r="B172" s="209"/>
      <c r="C172" s="209" t="s">
        <v>188</v>
      </c>
      <c r="D172" s="330">
        <v>-3278891</v>
      </c>
      <c r="E172" s="331">
        <v>-4743853</v>
      </c>
      <c r="F172" s="332">
        <v>-32210197</v>
      </c>
      <c r="G172" s="333">
        <v>-42596981</v>
      </c>
      <c r="I172" s="290"/>
    </row>
    <row r="173" spans="1:9" ht="17.25" customHeight="1" x14ac:dyDescent="0.2">
      <c r="A173" s="209" t="s">
        <v>189</v>
      </c>
      <c r="B173" s="209"/>
      <c r="C173" s="209" t="s">
        <v>190</v>
      </c>
      <c r="D173" s="330">
        <v>0</v>
      </c>
      <c r="E173" s="331">
        <v>0</v>
      </c>
      <c r="F173" s="332">
        <v>0</v>
      </c>
      <c r="G173" s="333">
        <v>-2515101</v>
      </c>
      <c r="I173" s="290"/>
    </row>
    <row r="174" spans="1:9" ht="17.25" customHeight="1" x14ac:dyDescent="0.2">
      <c r="A174" s="209" t="s">
        <v>243</v>
      </c>
      <c r="B174" s="209"/>
      <c r="C174" s="209" t="s">
        <v>244</v>
      </c>
      <c r="D174" s="330">
        <v>0</v>
      </c>
      <c r="E174" s="331">
        <v>0</v>
      </c>
      <c r="F174" s="332">
        <v>-10727273</v>
      </c>
      <c r="G174" s="333">
        <v>-12728859</v>
      </c>
      <c r="I174" s="290"/>
    </row>
    <row r="175" spans="1:9" ht="17.25" customHeight="1" x14ac:dyDescent="0.2">
      <c r="A175" s="209" t="s">
        <v>191</v>
      </c>
      <c r="B175" s="209"/>
      <c r="C175" s="209" t="s">
        <v>192</v>
      </c>
      <c r="D175" s="330">
        <v>0</v>
      </c>
      <c r="E175" s="331">
        <v>0</v>
      </c>
      <c r="F175" s="332">
        <v>0</v>
      </c>
      <c r="G175" s="333">
        <v>0</v>
      </c>
      <c r="I175" s="290"/>
    </row>
    <row r="176" spans="1:9" ht="17.25" customHeight="1" x14ac:dyDescent="0.2">
      <c r="A176" s="209" t="s">
        <v>193</v>
      </c>
      <c r="B176" s="209"/>
      <c r="C176" s="209" t="s">
        <v>194</v>
      </c>
      <c r="D176" s="330">
        <v>-43273</v>
      </c>
      <c r="E176" s="331">
        <v>-6872</v>
      </c>
      <c r="F176" s="332">
        <v>-173092</v>
      </c>
      <c r="G176" s="333">
        <v>-39791</v>
      </c>
      <c r="I176" s="290"/>
    </row>
    <row r="177" spans="1:9" ht="17.25" customHeight="1" x14ac:dyDescent="0.2">
      <c r="A177" s="209" t="s">
        <v>195</v>
      </c>
      <c r="B177" s="209"/>
      <c r="C177" s="209" t="s">
        <v>196</v>
      </c>
      <c r="D177" s="330">
        <v>0</v>
      </c>
      <c r="E177" s="331">
        <v>0</v>
      </c>
      <c r="F177" s="332">
        <v>0</v>
      </c>
      <c r="G177" s="333">
        <v>0</v>
      </c>
      <c r="I177" s="290"/>
    </row>
    <row r="178" spans="1:9" ht="17.25" customHeight="1" x14ac:dyDescent="0.2">
      <c r="A178" s="209" t="s">
        <v>197</v>
      </c>
      <c r="B178" s="209"/>
      <c r="C178" s="209" t="s">
        <v>198</v>
      </c>
      <c r="D178" s="330">
        <v>0</v>
      </c>
      <c r="E178" s="331">
        <v>0</v>
      </c>
      <c r="F178" s="332">
        <v>-33375000</v>
      </c>
      <c r="G178" s="333">
        <v>-26254525</v>
      </c>
      <c r="I178" s="290"/>
    </row>
    <row r="179" spans="1:9" ht="17.25" customHeight="1" x14ac:dyDescent="0.2">
      <c r="A179" s="209" t="s">
        <v>259</v>
      </c>
      <c r="B179" s="209"/>
      <c r="C179" s="209" t="s">
        <v>260</v>
      </c>
      <c r="D179" s="330">
        <v>0</v>
      </c>
      <c r="E179" s="331">
        <v>0</v>
      </c>
      <c r="F179" s="332">
        <v>-75975000</v>
      </c>
      <c r="G179" s="333">
        <v>-95564387</v>
      </c>
      <c r="I179" s="290"/>
    </row>
    <row r="180" spans="1:9" ht="17.25" customHeight="1" x14ac:dyDescent="0.2">
      <c r="A180" s="209" t="s">
        <v>249</v>
      </c>
      <c r="B180" s="209"/>
      <c r="C180" s="209" t="s">
        <v>250</v>
      </c>
      <c r="D180" s="330">
        <v>0</v>
      </c>
      <c r="E180" s="331">
        <v>0</v>
      </c>
      <c r="F180" s="332">
        <v>-6721887</v>
      </c>
      <c r="G180" s="333">
        <v>-2108892</v>
      </c>
      <c r="I180" s="290"/>
    </row>
    <row r="181" spans="1:9" ht="17.25" customHeight="1" x14ac:dyDescent="0.2">
      <c r="A181" s="209" t="s">
        <v>199</v>
      </c>
      <c r="B181" s="209"/>
      <c r="C181" s="209" t="s">
        <v>200</v>
      </c>
      <c r="D181" s="330">
        <v>-191676</v>
      </c>
      <c r="E181" s="331">
        <v>-331396</v>
      </c>
      <c r="F181" s="332">
        <v>-1560790</v>
      </c>
      <c r="G181" s="333">
        <v>-2343595</v>
      </c>
      <c r="I181" s="290"/>
    </row>
    <row r="182" spans="1:9" ht="17.25" customHeight="1" x14ac:dyDescent="0.2">
      <c r="A182" s="209" t="s">
        <v>201</v>
      </c>
      <c r="B182" s="209"/>
      <c r="C182" s="209" t="s">
        <v>202</v>
      </c>
      <c r="D182" s="330">
        <v>-35661</v>
      </c>
      <c r="E182" s="331">
        <v>-1165417</v>
      </c>
      <c r="F182" s="332">
        <v>-277365</v>
      </c>
      <c r="G182" s="333">
        <v>-6087521</v>
      </c>
      <c r="I182" s="290"/>
    </row>
    <row r="183" spans="1:9" ht="17.25" customHeight="1" x14ac:dyDescent="0.2">
      <c r="A183" s="209" t="s">
        <v>203</v>
      </c>
      <c r="B183" s="209"/>
      <c r="C183" s="209" t="s">
        <v>204</v>
      </c>
      <c r="D183" s="330">
        <v>-384607</v>
      </c>
      <c r="E183" s="331">
        <v>-651019</v>
      </c>
      <c r="F183" s="332">
        <v>-3846070</v>
      </c>
      <c r="G183" s="333">
        <v>-5597574</v>
      </c>
      <c r="I183" s="290"/>
    </row>
    <row r="184" spans="1:9" ht="17.25" customHeight="1" x14ac:dyDescent="0.2">
      <c r="A184" s="209" t="s">
        <v>205</v>
      </c>
      <c r="B184" s="209"/>
      <c r="C184" s="209" t="s">
        <v>206</v>
      </c>
      <c r="D184" s="330">
        <v>0</v>
      </c>
      <c r="E184" s="331">
        <v>0</v>
      </c>
      <c r="F184" s="332">
        <v>-521360</v>
      </c>
      <c r="G184" s="333">
        <v>-143420</v>
      </c>
      <c r="I184" s="290"/>
    </row>
    <row r="185" spans="1:9" ht="17.25" customHeight="1" x14ac:dyDescent="0.2">
      <c r="A185" s="209" t="s">
        <v>239</v>
      </c>
      <c r="B185" s="209"/>
      <c r="C185" s="209" t="s">
        <v>240</v>
      </c>
      <c r="D185" s="330">
        <v>0</v>
      </c>
      <c r="E185" s="331">
        <v>0</v>
      </c>
      <c r="F185" s="332">
        <v>-10727273</v>
      </c>
      <c r="G185" s="333">
        <v>-6980746</v>
      </c>
      <c r="I185" s="290"/>
    </row>
    <row r="186" spans="1:9" ht="17.25" customHeight="1" x14ac:dyDescent="0.2">
      <c r="A186" s="209" t="s">
        <v>207</v>
      </c>
      <c r="B186" s="209"/>
      <c r="C186" s="209" t="s">
        <v>208</v>
      </c>
      <c r="D186" s="330">
        <v>0</v>
      </c>
      <c r="E186" s="331">
        <v>0</v>
      </c>
      <c r="F186" s="332">
        <v>-130340</v>
      </c>
      <c r="G186" s="333">
        <v>0</v>
      </c>
      <c r="I186" s="290"/>
    </row>
    <row r="187" spans="1:9" ht="17.25" customHeight="1" x14ac:dyDescent="0.2">
      <c r="A187" s="209" t="s">
        <v>209</v>
      </c>
      <c r="B187" s="209"/>
      <c r="C187" s="209" t="s">
        <v>210</v>
      </c>
      <c r="D187" s="330">
        <v>-65170</v>
      </c>
      <c r="E187" s="331">
        <v>0</v>
      </c>
      <c r="F187" s="332">
        <v>-260680</v>
      </c>
      <c r="G187" s="333">
        <v>-17513</v>
      </c>
      <c r="I187" s="290"/>
    </row>
    <row r="188" spans="1:9" ht="17.25" customHeight="1" x14ac:dyDescent="0.2">
      <c r="A188" s="209" t="s">
        <v>211</v>
      </c>
      <c r="B188" s="209"/>
      <c r="C188" s="209" t="s">
        <v>212</v>
      </c>
      <c r="D188" s="330">
        <v>-83634</v>
      </c>
      <c r="E188" s="331">
        <v>-3298</v>
      </c>
      <c r="F188" s="332">
        <v>-838093</v>
      </c>
      <c r="G188" s="333">
        <v>-456828</v>
      </c>
      <c r="I188" s="290"/>
    </row>
    <row r="189" spans="1:9" ht="17.25" customHeight="1" x14ac:dyDescent="0.2">
      <c r="A189" s="209" t="s">
        <v>213</v>
      </c>
      <c r="B189" s="209"/>
      <c r="C189" s="209" t="s">
        <v>214</v>
      </c>
      <c r="D189" s="330">
        <v>0</v>
      </c>
      <c r="E189" s="331">
        <v>0</v>
      </c>
      <c r="F189" s="332">
        <v>-1000000</v>
      </c>
      <c r="G189" s="333">
        <v>-1350650</v>
      </c>
      <c r="I189" s="290"/>
    </row>
    <row r="190" spans="1:9" ht="17.25" customHeight="1" x14ac:dyDescent="0.2">
      <c r="A190" s="209" t="s">
        <v>215</v>
      </c>
      <c r="B190" s="209"/>
      <c r="C190" s="209" t="s">
        <v>216</v>
      </c>
      <c r="D190" s="330">
        <v>0</v>
      </c>
      <c r="E190" s="331">
        <v>0</v>
      </c>
      <c r="F190" s="332">
        <v>0</v>
      </c>
      <c r="G190" s="333">
        <v>-26855</v>
      </c>
      <c r="I190" s="290"/>
    </row>
    <row r="191" spans="1:9" ht="17.25" customHeight="1" x14ac:dyDescent="0.2">
      <c r="A191" s="209" t="s">
        <v>255</v>
      </c>
      <c r="B191" s="209"/>
      <c r="C191" s="209" t="s">
        <v>256</v>
      </c>
      <c r="D191" s="330">
        <v>0</v>
      </c>
      <c r="E191" s="331">
        <v>0</v>
      </c>
      <c r="F191" s="332">
        <v>-91238</v>
      </c>
      <c r="G191" s="333">
        <v>-116969</v>
      </c>
      <c r="I191" s="290"/>
    </row>
    <row r="192" spans="1:9" ht="17.25" customHeight="1" x14ac:dyDescent="0.2">
      <c r="A192" s="209" t="s">
        <v>219</v>
      </c>
      <c r="B192" s="209"/>
      <c r="C192" s="209" t="s">
        <v>220</v>
      </c>
      <c r="D192" s="330">
        <v>-6517</v>
      </c>
      <c r="E192" s="331">
        <v>-3683</v>
      </c>
      <c r="F192" s="332">
        <v>-65170</v>
      </c>
      <c r="G192" s="333">
        <v>-8429</v>
      </c>
      <c r="I192" s="290"/>
    </row>
    <row r="193" spans="1:9" s="60" customFormat="1" ht="17.25" customHeight="1" x14ac:dyDescent="0.2">
      <c r="A193" s="209" t="s">
        <v>225</v>
      </c>
      <c r="B193" s="209"/>
      <c r="C193" s="209" t="s">
        <v>226</v>
      </c>
      <c r="D193" s="330">
        <v>-93845</v>
      </c>
      <c r="E193" s="331">
        <v>-3132</v>
      </c>
      <c r="F193" s="332">
        <v>-469225</v>
      </c>
      <c r="G193" s="333">
        <v>-40870</v>
      </c>
      <c r="I193" s="290"/>
    </row>
    <row r="194" spans="1:9" ht="17.25" customHeight="1" x14ac:dyDescent="0.2">
      <c r="A194" s="209" t="s">
        <v>227</v>
      </c>
      <c r="B194" s="209"/>
      <c r="C194" s="209" t="s">
        <v>228</v>
      </c>
      <c r="D194" s="330">
        <v>0</v>
      </c>
      <c r="E194" s="331">
        <v>0</v>
      </c>
      <c r="F194" s="332">
        <v>0</v>
      </c>
      <c r="G194" s="333">
        <v>0</v>
      </c>
      <c r="I194" s="290"/>
    </row>
    <row r="195" spans="1:9" ht="17.25" customHeight="1" x14ac:dyDescent="0.2">
      <c r="A195" s="209" t="s">
        <v>233</v>
      </c>
      <c r="B195" s="209"/>
      <c r="C195" s="209" t="s">
        <v>234</v>
      </c>
      <c r="D195" s="330">
        <v>0</v>
      </c>
      <c r="E195" s="331">
        <v>0</v>
      </c>
      <c r="F195" s="332">
        <v>0</v>
      </c>
      <c r="G195" s="333">
        <v>28062172</v>
      </c>
      <c r="I195" s="290"/>
    </row>
    <row r="196" spans="1:9" ht="17.25" customHeight="1" x14ac:dyDescent="0.2">
      <c r="A196" s="209" t="s">
        <v>235</v>
      </c>
      <c r="B196" s="209"/>
      <c r="C196" s="209" t="s">
        <v>236</v>
      </c>
      <c r="D196" s="330">
        <v>0</v>
      </c>
      <c r="E196" s="280">
        <v>0</v>
      </c>
      <c r="F196" s="332">
        <v>0</v>
      </c>
      <c r="G196" s="333">
        <v>-594414</v>
      </c>
      <c r="I196" s="290"/>
    </row>
    <row r="197" spans="1:9" ht="17.25" customHeight="1" x14ac:dyDescent="0.2">
      <c r="A197" s="209" t="s">
        <v>241</v>
      </c>
      <c r="B197" s="209"/>
      <c r="C197" s="209" t="s">
        <v>242</v>
      </c>
      <c r="D197" s="330">
        <v>0</v>
      </c>
      <c r="E197" s="280">
        <v>0</v>
      </c>
      <c r="F197" s="332">
        <v>623872611</v>
      </c>
      <c r="G197" s="333">
        <v>699182113</v>
      </c>
      <c r="I197" s="290"/>
    </row>
    <row r="198" spans="1:9" ht="17.25" customHeight="1" x14ac:dyDescent="0.2">
      <c r="A198" s="209" t="s">
        <v>281</v>
      </c>
      <c r="B198" s="209"/>
      <c r="C198" s="209" t="s">
        <v>216</v>
      </c>
      <c r="D198" s="330">
        <v>0</v>
      </c>
      <c r="E198" s="215">
        <v>0</v>
      </c>
      <c r="F198" s="238">
        <v>0</v>
      </c>
      <c r="G198" s="333">
        <v>41689965</v>
      </c>
      <c r="I198" s="290"/>
    </row>
    <row r="199" spans="1:9" s="60" customFormat="1" ht="17.25" customHeight="1" x14ac:dyDescent="0.2">
      <c r="A199" s="210"/>
      <c r="B199" s="210"/>
      <c r="C199" s="210" t="s">
        <v>291</v>
      </c>
      <c r="D199" s="216">
        <f>SUM(D171:D198)</f>
        <v>-4183274</v>
      </c>
      <c r="E199" s="216">
        <f>SUM(E171:E198)</f>
        <v>-6908670</v>
      </c>
      <c r="F199" s="216">
        <f>SUM(F171:F198)</f>
        <v>-42879942</v>
      </c>
      <c r="G199" s="216">
        <f>SUM(G171:G198)</f>
        <v>27629664</v>
      </c>
      <c r="I199" s="290"/>
    </row>
    <row r="200" spans="1:9" ht="17.25" customHeight="1" x14ac:dyDescent="0.2">
      <c r="A200" s="209" t="s">
        <v>237</v>
      </c>
      <c r="B200" s="209"/>
      <c r="C200" s="209" t="s">
        <v>238</v>
      </c>
      <c r="D200" s="281">
        <v>0</v>
      </c>
      <c r="E200" s="281">
        <v>0</v>
      </c>
      <c r="F200" s="281">
        <v>-68900000</v>
      </c>
      <c r="G200" s="281">
        <v>-73336876</v>
      </c>
      <c r="I200" s="290"/>
    </row>
    <row r="201" spans="1:9" ht="17.25" customHeight="1" x14ac:dyDescent="0.2">
      <c r="A201" s="209" t="s">
        <v>243</v>
      </c>
      <c r="B201" s="209"/>
      <c r="C201" s="209" t="s">
        <v>244</v>
      </c>
      <c r="D201" s="281">
        <v>0</v>
      </c>
      <c r="E201" s="285">
        <v>0</v>
      </c>
      <c r="F201" s="281">
        <v>-650000</v>
      </c>
      <c r="G201" s="281">
        <v>-337286</v>
      </c>
      <c r="I201" s="290"/>
    </row>
    <row r="202" spans="1:9" ht="17.25" customHeight="1" x14ac:dyDescent="0.2">
      <c r="A202" s="209" t="s">
        <v>197</v>
      </c>
      <c r="B202" s="209"/>
      <c r="C202" s="209" t="s">
        <v>198</v>
      </c>
      <c r="D202" s="281">
        <v>0</v>
      </c>
      <c r="E202" s="285">
        <v>0</v>
      </c>
      <c r="F202" s="281">
        <v>-51000</v>
      </c>
      <c r="G202" s="281">
        <v>0</v>
      </c>
      <c r="I202" s="290"/>
    </row>
    <row r="203" spans="1:9" ht="17.25" customHeight="1" x14ac:dyDescent="0.2">
      <c r="A203" s="209" t="s">
        <v>239</v>
      </c>
      <c r="B203" s="209"/>
      <c r="C203" s="209" t="s">
        <v>240</v>
      </c>
      <c r="D203" s="281">
        <v>0</v>
      </c>
      <c r="E203" s="285">
        <v>0</v>
      </c>
      <c r="F203" s="281">
        <v>-720000</v>
      </c>
      <c r="G203" s="281">
        <v>-930443</v>
      </c>
      <c r="I203" s="290"/>
    </row>
    <row r="204" spans="1:9" ht="17.25" customHeight="1" x14ac:dyDescent="0.2">
      <c r="A204" s="209" t="s">
        <v>285</v>
      </c>
      <c r="B204" s="209"/>
      <c r="C204" s="209" t="s">
        <v>286</v>
      </c>
      <c r="D204" s="281">
        <v>0</v>
      </c>
      <c r="E204" s="285">
        <v>0</v>
      </c>
      <c r="F204" s="281">
        <v>0</v>
      </c>
      <c r="G204" s="281">
        <v>-46615</v>
      </c>
      <c r="I204" s="290"/>
    </row>
    <row r="205" spans="1:9" ht="17.25" customHeight="1" x14ac:dyDescent="0.2">
      <c r="A205" s="209" t="s">
        <v>217</v>
      </c>
      <c r="B205" s="209"/>
      <c r="C205" s="209" t="s">
        <v>299</v>
      </c>
      <c r="D205" s="281">
        <v>0</v>
      </c>
      <c r="E205" s="285">
        <v>0</v>
      </c>
      <c r="F205" s="281">
        <v>0</v>
      </c>
      <c r="G205" s="281">
        <v>30868863</v>
      </c>
      <c r="I205" s="290"/>
    </row>
    <row r="206" spans="1:9" ht="17.25" customHeight="1" x14ac:dyDescent="0.2">
      <c r="A206" s="209" t="s">
        <v>221</v>
      </c>
      <c r="B206" s="209"/>
      <c r="C206" s="209" t="s">
        <v>222</v>
      </c>
      <c r="D206" s="285"/>
      <c r="E206" s="285">
        <v>0</v>
      </c>
      <c r="F206" s="285"/>
      <c r="G206" s="285">
        <v>-333333</v>
      </c>
      <c r="I206" s="290"/>
    </row>
    <row r="207" spans="1:9" ht="17.25" customHeight="1" x14ac:dyDescent="0.2">
      <c r="A207" s="209"/>
      <c r="B207" s="209"/>
      <c r="C207" s="209"/>
      <c r="D207" s="285"/>
      <c r="E207" s="285">
        <v>0</v>
      </c>
      <c r="F207" s="285"/>
      <c r="G207" s="285">
        <v>-1741862</v>
      </c>
      <c r="I207" s="290"/>
    </row>
    <row r="208" spans="1:9" ht="17.25" customHeight="1" x14ac:dyDescent="0.2">
      <c r="A208" s="209" t="s">
        <v>241</v>
      </c>
      <c r="B208" s="209"/>
      <c r="C208" s="209" t="s">
        <v>242</v>
      </c>
      <c r="D208" s="281">
        <v>0</v>
      </c>
      <c r="E208" s="334">
        <v>3350000</v>
      </c>
      <c r="F208" s="281">
        <v>77168000</v>
      </c>
      <c r="G208" s="281">
        <v>48508000</v>
      </c>
      <c r="I208" s="290"/>
    </row>
    <row r="209" spans="1:9" ht="17.25" customHeight="1" x14ac:dyDescent="0.2">
      <c r="A209" s="210"/>
      <c r="B209" s="210"/>
      <c r="C209" s="210" t="s">
        <v>292</v>
      </c>
      <c r="D209" s="216">
        <f>SUM(D200:D208)</f>
        <v>0</v>
      </c>
      <c r="E209" s="216">
        <f t="shared" ref="E209:G209" si="2">SUM(E200:E208)</f>
        <v>3350000</v>
      </c>
      <c r="F209" s="216">
        <f t="shared" si="2"/>
        <v>6847000</v>
      </c>
      <c r="G209" s="216">
        <f t="shared" si="2"/>
        <v>2650448</v>
      </c>
      <c r="I209" s="290"/>
    </row>
    <row r="210" spans="1:9" ht="17.25" customHeight="1" x14ac:dyDescent="0.2">
      <c r="A210" s="209" t="s">
        <v>257</v>
      </c>
      <c r="B210" s="209"/>
      <c r="C210" s="209" t="s">
        <v>258</v>
      </c>
      <c r="D210" s="335">
        <v>0</v>
      </c>
      <c r="E210" s="336">
        <v>0</v>
      </c>
      <c r="F210" s="337">
        <v>-148575000</v>
      </c>
      <c r="G210" s="338">
        <v>-167484683</v>
      </c>
      <c r="I210" s="290"/>
    </row>
    <row r="211" spans="1:9" ht="17.25" customHeight="1" x14ac:dyDescent="0.2">
      <c r="A211" s="209" t="s">
        <v>261</v>
      </c>
      <c r="B211" s="209"/>
      <c r="C211" s="209" t="s">
        <v>262</v>
      </c>
      <c r="D211" s="335">
        <v>0</v>
      </c>
      <c r="E211" s="336">
        <v>0</v>
      </c>
      <c r="F211" s="337">
        <v>-5010200</v>
      </c>
      <c r="G211" s="338">
        <v>-3781236</v>
      </c>
      <c r="I211" s="290"/>
    </row>
    <row r="212" spans="1:9" ht="17.25" customHeight="1" x14ac:dyDescent="0.2">
      <c r="A212" s="209" t="s">
        <v>263</v>
      </c>
      <c r="B212" s="209"/>
      <c r="C212" s="209" t="s">
        <v>264</v>
      </c>
      <c r="D212" s="335">
        <v>0</v>
      </c>
      <c r="E212" s="336">
        <v>-179322620</v>
      </c>
      <c r="F212" s="337">
        <v>-148488000</v>
      </c>
      <c r="G212" s="338">
        <v>-323262732</v>
      </c>
      <c r="I212" s="290"/>
    </row>
    <row r="213" spans="1:9" ht="17.25" customHeight="1" x14ac:dyDescent="0.2">
      <c r="A213" s="209" t="s">
        <v>187</v>
      </c>
      <c r="B213" s="209"/>
      <c r="C213" s="209" t="s">
        <v>188</v>
      </c>
      <c r="D213" s="335">
        <v>-1122054</v>
      </c>
      <c r="E213" s="336">
        <v>-1617628</v>
      </c>
      <c r="F213" s="337">
        <v>-11022502</v>
      </c>
      <c r="G213" s="338">
        <v>-14525335</v>
      </c>
      <c r="I213" s="290"/>
    </row>
    <row r="214" spans="1:9" ht="17.25" customHeight="1" x14ac:dyDescent="0.2">
      <c r="A214" s="209" t="s">
        <v>189</v>
      </c>
      <c r="B214" s="209"/>
      <c r="C214" s="209" t="s">
        <v>190</v>
      </c>
      <c r="D214" s="335">
        <v>0</v>
      </c>
      <c r="E214" s="336">
        <v>0</v>
      </c>
      <c r="F214" s="337">
        <v>0</v>
      </c>
      <c r="G214" s="338">
        <v>4923070</v>
      </c>
      <c r="I214" s="290"/>
    </row>
    <row r="215" spans="1:9" ht="17.25" customHeight="1" x14ac:dyDescent="0.2">
      <c r="A215" s="209" t="s">
        <v>243</v>
      </c>
      <c r="B215" s="209"/>
      <c r="C215" s="209" t="s">
        <v>244</v>
      </c>
      <c r="D215" s="335">
        <v>0</v>
      </c>
      <c r="E215" s="336">
        <v>0</v>
      </c>
      <c r="F215" s="337">
        <v>-6250000</v>
      </c>
      <c r="G215" s="338">
        <v>-4613991</v>
      </c>
      <c r="I215" s="290"/>
    </row>
    <row r="216" spans="1:9" ht="17.25" customHeight="1" x14ac:dyDescent="0.2">
      <c r="A216" s="209" t="s">
        <v>191</v>
      </c>
      <c r="B216" s="209"/>
      <c r="C216" s="209" t="s">
        <v>192</v>
      </c>
      <c r="D216" s="335">
        <v>0</v>
      </c>
      <c r="E216" s="336">
        <v>0</v>
      </c>
      <c r="F216" s="337">
        <v>-3470000</v>
      </c>
      <c r="G216" s="338">
        <v>-5248097</v>
      </c>
      <c r="I216" s="290"/>
    </row>
    <row r="217" spans="1:9" ht="17.25" customHeight="1" x14ac:dyDescent="0.2">
      <c r="A217" s="209" t="s">
        <v>193</v>
      </c>
      <c r="B217" s="209"/>
      <c r="C217" s="209" t="s">
        <v>194</v>
      </c>
      <c r="D217" s="335">
        <v>-14808</v>
      </c>
      <c r="E217" s="336">
        <v>-2343</v>
      </c>
      <c r="F217" s="337">
        <v>-59232</v>
      </c>
      <c r="G217" s="338">
        <v>-601102</v>
      </c>
      <c r="I217" s="290"/>
    </row>
    <row r="218" spans="1:9" ht="17.25" customHeight="1" x14ac:dyDescent="0.2">
      <c r="A218" s="209" t="s">
        <v>195</v>
      </c>
      <c r="B218" s="209"/>
      <c r="C218" s="209" t="s">
        <v>196</v>
      </c>
      <c r="D218" s="335">
        <v>0</v>
      </c>
      <c r="E218" s="336">
        <v>0</v>
      </c>
      <c r="F218" s="337">
        <v>0</v>
      </c>
      <c r="G218" s="338">
        <v>0</v>
      </c>
      <c r="I218" s="290"/>
    </row>
    <row r="219" spans="1:9" ht="17.25" customHeight="1" x14ac:dyDescent="0.2">
      <c r="A219" s="209" t="s">
        <v>197</v>
      </c>
      <c r="B219" s="209"/>
      <c r="C219" s="209" t="s">
        <v>198</v>
      </c>
      <c r="D219" s="335">
        <v>0</v>
      </c>
      <c r="E219" s="336">
        <v>11148080</v>
      </c>
      <c r="F219" s="337">
        <v>-121134936</v>
      </c>
      <c r="G219" s="338">
        <v>-90728932</v>
      </c>
      <c r="I219" s="290"/>
    </row>
    <row r="220" spans="1:9" ht="17.25" customHeight="1" x14ac:dyDescent="0.2">
      <c r="A220" s="209" t="s">
        <v>259</v>
      </c>
      <c r="B220" s="209"/>
      <c r="C220" s="209" t="s">
        <v>260</v>
      </c>
      <c r="D220" s="335">
        <v>0</v>
      </c>
      <c r="E220" s="336">
        <v>0</v>
      </c>
      <c r="F220" s="337">
        <v>-4956000</v>
      </c>
      <c r="G220" s="338">
        <v>-6454500</v>
      </c>
      <c r="I220" s="290"/>
    </row>
    <row r="221" spans="1:9" ht="17.25" customHeight="1" x14ac:dyDescent="0.2">
      <c r="A221" s="209" t="s">
        <v>249</v>
      </c>
      <c r="B221" s="209"/>
      <c r="C221" s="209" t="s">
        <v>250</v>
      </c>
      <c r="D221" s="335">
        <v>0</v>
      </c>
      <c r="E221" s="336">
        <v>0</v>
      </c>
      <c r="F221" s="337">
        <v>-1435856</v>
      </c>
      <c r="G221" s="338">
        <v>-2143834</v>
      </c>
      <c r="I221" s="290"/>
    </row>
    <row r="222" spans="1:9" ht="17.25" customHeight="1" x14ac:dyDescent="0.2">
      <c r="A222" s="209" t="s">
        <v>199</v>
      </c>
      <c r="B222" s="209"/>
      <c r="C222" s="209" t="s">
        <v>200</v>
      </c>
      <c r="D222" s="335">
        <v>-65593</v>
      </c>
      <c r="E222" s="336">
        <v>-113005</v>
      </c>
      <c r="F222" s="337">
        <v>-534115</v>
      </c>
      <c r="G222" s="338">
        <v>-782531</v>
      </c>
      <c r="I222" s="290"/>
    </row>
    <row r="223" spans="1:9" ht="17.25" customHeight="1" x14ac:dyDescent="0.2">
      <c r="A223" s="209" t="s">
        <v>201</v>
      </c>
      <c r="B223" s="209"/>
      <c r="C223" s="209" t="s">
        <v>202</v>
      </c>
      <c r="D223" s="335">
        <v>-12203</v>
      </c>
      <c r="E223" s="336">
        <v>-397403</v>
      </c>
      <c r="F223" s="337">
        <v>-94915</v>
      </c>
      <c r="G223" s="338">
        <v>-2086667</v>
      </c>
      <c r="I223" s="290"/>
    </row>
    <row r="224" spans="1:9" ht="17.25" customHeight="1" x14ac:dyDescent="0.2">
      <c r="A224" s="209" t="s">
        <v>203</v>
      </c>
      <c r="B224" s="209"/>
      <c r="C224" s="209" t="s">
        <v>204</v>
      </c>
      <c r="D224" s="335">
        <v>-131615</v>
      </c>
      <c r="E224" s="336">
        <v>-221994</v>
      </c>
      <c r="F224" s="337">
        <v>-1316150</v>
      </c>
      <c r="G224" s="338">
        <v>-1922715</v>
      </c>
      <c r="I224" s="290"/>
    </row>
    <row r="225" spans="1:9" ht="17.25" customHeight="1" x14ac:dyDescent="0.2">
      <c r="A225" s="209" t="s">
        <v>205</v>
      </c>
      <c r="B225" s="209"/>
      <c r="C225" s="209" t="s">
        <v>206</v>
      </c>
      <c r="D225" s="335">
        <v>0</v>
      </c>
      <c r="E225" s="336">
        <v>0</v>
      </c>
      <c r="F225" s="337">
        <v>-178412</v>
      </c>
      <c r="G225" s="338">
        <v>-48906</v>
      </c>
      <c r="I225" s="290"/>
    </row>
    <row r="226" spans="1:9" ht="17.25" customHeight="1" x14ac:dyDescent="0.2">
      <c r="A226" s="209" t="s">
        <v>239</v>
      </c>
      <c r="B226" s="209"/>
      <c r="C226" s="209" t="s">
        <v>240</v>
      </c>
      <c r="D226" s="335">
        <v>0</v>
      </c>
      <c r="E226" s="336">
        <v>-185916</v>
      </c>
      <c r="F226" s="337">
        <v>0</v>
      </c>
      <c r="G226" s="338">
        <v>-1001175</v>
      </c>
      <c r="I226" s="290"/>
    </row>
    <row r="227" spans="1:9" ht="17.25" customHeight="1" x14ac:dyDescent="0.2">
      <c r="A227" s="209" t="s">
        <v>207</v>
      </c>
      <c r="B227" s="209"/>
      <c r="C227" s="209" t="s">
        <v>208</v>
      </c>
      <c r="D227" s="335">
        <v>0</v>
      </c>
      <c r="E227" s="336">
        <v>0</v>
      </c>
      <c r="F227" s="337">
        <v>-44603</v>
      </c>
      <c r="G227" s="338">
        <v>0</v>
      </c>
      <c r="I227" s="290"/>
    </row>
    <row r="228" spans="1:9" ht="17.25" customHeight="1" x14ac:dyDescent="0.2">
      <c r="A228" s="209" t="s">
        <v>209</v>
      </c>
      <c r="B228" s="209"/>
      <c r="C228" s="209" t="s">
        <v>210</v>
      </c>
      <c r="D228" s="335">
        <v>-22302</v>
      </c>
      <c r="E228" s="336">
        <v>0</v>
      </c>
      <c r="F228" s="337">
        <v>-89208</v>
      </c>
      <c r="G228" s="338">
        <v>-186539</v>
      </c>
      <c r="I228" s="290"/>
    </row>
    <row r="229" spans="1:9" s="60" customFormat="1" ht="17.25" customHeight="1" x14ac:dyDescent="0.2">
      <c r="A229" s="209" t="s">
        <v>247</v>
      </c>
      <c r="B229" s="209"/>
      <c r="C229" s="209" t="s">
        <v>248</v>
      </c>
      <c r="D229" s="335">
        <v>0</v>
      </c>
      <c r="E229" s="336">
        <v>0</v>
      </c>
      <c r="F229" s="337">
        <v>-7201645</v>
      </c>
      <c r="G229" s="338">
        <v>-9801567</v>
      </c>
      <c r="I229" s="290"/>
    </row>
    <row r="230" spans="1:9" ht="17.25" customHeight="1" x14ac:dyDescent="0.2">
      <c r="A230" s="209" t="s">
        <v>211</v>
      </c>
      <c r="B230" s="209"/>
      <c r="C230" s="209" t="s">
        <v>212</v>
      </c>
      <c r="D230" s="335">
        <v>-28620</v>
      </c>
      <c r="E230" s="336">
        <v>-1124</v>
      </c>
      <c r="F230" s="337">
        <v>-286800</v>
      </c>
      <c r="G230" s="338">
        <v>-193877</v>
      </c>
      <c r="I230" s="290"/>
    </row>
    <row r="231" spans="1:9" ht="17.25" customHeight="1" x14ac:dyDescent="0.2">
      <c r="A231" s="209" t="s">
        <v>215</v>
      </c>
      <c r="B231" s="209"/>
      <c r="C231" s="209" t="s">
        <v>216</v>
      </c>
      <c r="D231" s="335">
        <v>0</v>
      </c>
      <c r="E231" s="336">
        <v>0</v>
      </c>
      <c r="F231" s="337">
        <v>0</v>
      </c>
      <c r="G231" s="338">
        <v>-503186</v>
      </c>
      <c r="I231" s="290"/>
    </row>
    <row r="232" spans="1:9" ht="17.25" customHeight="1" x14ac:dyDescent="0.2">
      <c r="A232" s="247" t="s">
        <v>298</v>
      </c>
      <c r="B232" s="209"/>
      <c r="C232" s="247" t="s">
        <v>299</v>
      </c>
      <c r="D232" s="335">
        <v>0</v>
      </c>
      <c r="E232" s="336">
        <v>0</v>
      </c>
      <c r="F232" s="337">
        <v>0</v>
      </c>
      <c r="G232" s="338">
        <v>150099937</v>
      </c>
      <c r="I232" s="290"/>
    </row>
    <row r="233" spans="1:9" ht="17.25" customHeight="1" x14ac:dyDescent="0.2">
      <c r="A233" s="209" t="s">
        <v>255</v>
      </c>
      <c r="B233" s="209"/>
      <c r="C233" s="209" t="s">
        <v>256</v>
      </c>
      <c r="D233" s="335">
        <v>0</v>
      </c>
      <c r="E233" s="336">
        <v>0</v>
      </c>
      <c r="F233" s="337">
        <v>-31222</v>
      </c>
      <c r="G233" s="338">
        <v>-39887</v>
      </c>
      <c r="I233" s="290"/>
    </row>
    <row r="234" spans="1:9" ht="17.25" customHeight="1" x14ac:dyDescent="0.2">
      <c r="A234" s="209" t="s">
        <v>219</v>
      </c>
      <c r="B234" s="209"/>
      <c r="C234" s="209" t="s">
        <v>220</v>
      </c>
      <c r="D234" s="335">
        <v>-2230</v>
      </c>
      <c r="E234" s="336">
        <v>-1255</v>
      </c>
      <c r="F234" s="337">
        <v>-22300</v>
      </c>
      <c r="G234" s="338">
        <v>-2874</v>
      </c>
      <c r="I234" s="290"/>
    </row>
    <row r="235" spans="1:9" ht="17.25" customHeight="1" x14ac:dyDescent="0.2">
      <c r="A235" s="209" t="s">
        <v>225</v>
      </c>
      <c r="B235" s="209"/>
      <c r="C235" s="209" t="s">
        <v>226</v>
      </c>
      <c r="D235" s="335">
        <v>-32114</v>
      </c>
      <c r="E235" s="336">
        <v>-1068</v>
      </c>
      <c r="F235" s="337">
        <v>-160570</v>
      </c>
      <c r="G235" s="338">
        <v>-133279</v>
      </c>
      <c r="I235" s="290"/>
    </row>
    <row r="236" spans="1:9" ht="17.25" customHeight="1" x14ac:dyDescent="0.2">
      <c r="A236" s="209" t="s">
        <v>309</v>
      </c>
      <c r="B236" s="209"/>
      <c r="C236" s="209" t="s">
        <v>310</v>
      </c>
      <c r="D236" s="350">
        <v>0</v>
      </c>
      <c r="E236" s="350">
        <v>-448000</v>
      </c>
      <c r="F236" s="350">
        <v>0</v>
      </c>
      <c r="G236" s="350">
        <v>-448000</v>
      </c>
      <c r="I236" s="290"/>
    </row>
    <row r="237" spans="1:9" ht="17.25" customHeight="1" x14ac:dyDescent="0.2">
      <c r="A237" s="209" t="s">
        <v>227</v>
      </c>
      <c r="B237" s="209"/>
      <c r="C237" s="209" t="s">
        <v>228</v>
      </c>
      <c r="D237" s="335">
        <v>0</v>
      </c>
      <c r="E237" s="282">
        <v>0</v>
      </c>
      <c r="F237" s="337">
        <v>0</v>
      </c>
      <c r="G237" s="338">
        <v>0</v>
      </c>
      <c r="I237" s="290"/>
    </row>
    <row r="238" spans="1:9" ht="17.25" customHeight="1" x14ac:dyDescent="0.2">
      <c r="A238" s="209" t="s">
        <v>231</v>
      </c>
      <c r="B238" s="209"/>
      <c r="C238" s="209" t="s">
        <v>232</v>
      </c>
      <c r="D238" s="282">
        <v>0</v>
      </c>
      <c r="E238" s="282">
        <v>0</v>
      </c>
      <c r="F238" s="337">
        <v>0</v>
      </c>
      <c r="G238" s="338">
        <v>0</v>
      </c>
      <c r="I238" s="290"/>
    </row>
    <row r="239" spans="1:9" ht="17.25" customHeight="1" x14ac:dyDescent="0.2">
      <c r="A239" s="209" t="s">
        <v>233</v>
      </c>
      <c r="B239" s="209"/>
      <c r="C239" s="209" t="s">
        <v>234</v>
      </c>
      <c r="D239" s="282">
        <v>0</v>
      </c>
      <c r="E239" s="282">
        <f>-3062965-676828</f>
        <v>-3739793</v>
      </c>
      <c r="F239" s="337">
        <v>0</v>
      </c>
      <c r="G239" s="338">
        <v>2015612</v>
      </c>
      <c r="I239" s="290"/>
    </row>
    <row r="240" spans="1:9" ht="17.25" customHeight="1" x14ac:dyDescent="0.2">
      <c r="A240" s="209" t="s">
        <v>241</v>
      </c>
      <c r="B240" s="209"/>
      <c r="C240" s="209" t="s">
        <v>242</v>
      </c>
      <c r="D240" s="282">
        <v>0</v>
      </c>
      <c r="E240" s="282">
        <v>405000</v>
      </c>
      <c r="F240" s="337">
        <v>1169826295</v>
      </c>
      <c r="G240" s="338">
        <v>1254503683</v>
      </c>
      <c r="I240" s="290"/>
    </row>
    <row r="241" spans="1:9" s="60" customFormat="1" ht="17.25" customHeight="1" x14ac:dyDescent="0.2">
      <c r="A241" s="210"/>
      <c r="B241" s="210"/>
      <c r="C241" s="210" t="s">
        <v>293</v>
      </c>
      <c r="D241" s="216">
        <f>SUM(D210:D240)</f>
        <v>-1431539</v>
      </c>
      <c r="E241" s="216">
        <f>SUM(E210:E240)</f>
        <v>-174499069</v>
      </c>
      <c r="F241" s="239">
        <f>SUM(F210:F240)</f>
        <v>709464629</v>
      </c>
      <c r="G241" s="216">
        <f>SUM(G210:G240)</f>
        <v>775546657</v>
      </c>
      <c r="I241" s="290"/>
    </row>
    <row r="242" spans="1:9" ht="17.25" customHeight="1" x14ac:dyDescent="0.2">
      <c r="A242" s="209" t="s">
        <v>257</v>
      </c>
      <c r="B242" s="209"/>
      <c r="C242" s="209" t="s">
        <v>258</v>
      </c>
      <c r="D242" s="339">
        <v>0</v>
      </c>
      <c r="E242" s="340">
        <v>0</v>
      </c>
      <c r="F242" s="341">
        <v>0</v>
      </c>
      <c r="G242" s="342">
        <v>-4501437</v>
      </c>
      <c r="I242" s="290"/>
    </row>
    <row r="243" spans="1:9" ht="17.25" customHeight="1" x14ac:dyDescent="0.2">
      <c r="A243" s="209" t="s">
        <v>187</v>
      </c>
      <c r="B243" s="209"/>
      <c r="C243" s="209" t="s">
        <v>188</v>
      </c>
      <c r="D243" s="339">
        <v>-5559153</v>
      </c>
      <c r="E243" s="340">
        <v>-10492498</v>
      </c>
      <c r="F243" s="341">
        <v>-54610364</v>
      </c>
      <c r="G243" s="342">
        <v>-85463500</v>
      </c>
      <c r="I243" s="290"/>
    </row>
    <row r="244" spans="1:9" ht="17.25" customHeight="1" x14ac:dyDescent="0.2">
      <c r="A244" s="209" t="s">
        <v>189</v>
      </c>
      <c r="B244" s="209"/>
      <c r="C244" s="209" t="s">
        <v>190</v>
      </c>
      <c r="D244" s="339">
        <v>0</v>
      </c>
      <c r="E244" s="340">
        <v>0</v>
      </c>
      <c r="F244" s="341">
        <v>0</v>
      </c>
      <c r="G244" s="342">
        <v>-4297150</v>
      </c>
      <c r="I244" s="290"/>
    </row>
    <row r="245" spans="1:9" ht="17.25" customHeight="1" x14ac:dyDescent="0.2">
      <c r="A245" s="209" t="s">
        <v>191</v>
      </c>
      <c r="B245" s="209"/>
      <c r="C245" s="209" t="s">
        <v>192</v>
      </c>
      <c r="D245" s="339">
        <v>0</v>
      </c>
      <c r="E245" s="340">
        <v>0</v>
      </c>
      <c r="F245" s="341">
        <v>-12400000</v>
      </c>
      <c r="G245" s="342">
        <v>-18525852</v>
      </c>
      <c r="I245" s="290"/>
    </row>
    <row r="246" spans="1:9" ht="17.25" customHeight="1" x14ac:dyDescent="0.2">
      <c r="A246" s="209" t="s">
        <v>193</v>
      </c>
      <c r="B246" s="209"/>
      <c r="C246" s="209" t="s">
        <v>194</v>
      </c>
      <c r="D246" s="339">
        <v>-73366</v>
      </c>
      <c r="E246" s="340">
        <v>-11637</v>
      </c>
      <c r="F246" s="341">
        <v>-293464</v>
      </c>
      <c r="G246" s="342">
        <v>-18444</v>
      </c>
      <c r="I246" s="290"/>
    </row>
    <row r="247" spans="1:9" ht="17.25" customHeight="1" x14ac:dyDescent="0.2">
      <c r="A247" s="209" t="s">
        <v>195</v>
      </c>
      <c r="B247" s="209"/>
      <c r="C247" s="209" t="s">
        <v>196</v>
      </c>
      <c r="D247" s="339">
        <v>0</v>
      </c>
      <c r="E247" s="340">
        <v>0</v>
      </c>
      <c r="F247" s="341">
        <v>0</v>
      </c>
      <c r="G247" s="342">
        <v>0</v>
      </c>
      <c r="I247" s="290"/>
    </row>
    <row r="248" spans="1:9" ht="17.25" customHeight="1" x14ac:dyDescent="0.2">
      <c r="A248" s="209" t="s">
        <v>197</v>
      </c>
      <c r="B248" s="209"/>
      <c r="C248" s="209" t="s">
        <v>198</v>
      </c>
      <c r="D248" s="339">
        <v>0</v>
      </c>
      <c r="E248" s="340">
        <v>0</v>
      </c>
      <c r="F248" s="341">
        <v>-74201000</v>
      </c>
      <c r="G248" s="342">
        <v>-72218769</v>
      </c>
      <c r="I248" s="290"/>
    </row>
    <row r="249" spans="1:9" ht="17.25" customHeight="1" x14ac:dyDescent="0.2">
      <c r="A249" s="209" t="s">
        <v>249</v>
      </c>
      <c r="B249" s="209"/>
      <c r="C249" s="209" t="s">
        <v>250</v>
      </c>
      <c r="D249" s="339">
        <v>0</v>
      </c>
      <c r="E249" s="340">
        <v>0</v>
      </c>
      <c r="F249" s="341">
        <v>0</v>
      </c>
      <c r="G249" s="342">
        <v>-938224</v>
      </c>
      <c r="I249" s="290"/>
    </row>
    <row r="250" spans="1:9" ht="17.25" customHeight="1" x14ac:dyDescent="0.2">
      <c r="A250" s="209" t="s">
        <v>199</v>
      </c>
      <c r="B250" s="209"/>
      <c r="C250" s="209" t="s">
        <v>200</v>
      </c>
      <c r="D250" s="339">
        <v>-324975</v>
      </c>
      <c r="E250" s="340">
        <v>-561219</v>
      </c>
      <c r="F250" s="341">
        <v>-2646225</v>
      </c>
      <c r="G250" s="342">
        <v>-3835434</v>
      </c>
      <c r="I250" s="290"/>
    </row>
    <row r="251" spans="1:9" ht="17.25" customHeight="1" x14ac:dyDescent="0.2">
      <c r="A251" s="209" t="s">
        <v>201</v>
      </c>
      <c r="B251" s="209"/>
      <c r="C251" s="209" t="s">
        <v>202</v>
      </c>
      <c r="D251" s="339">
        <v>-60461</v>
      </c>
      <c r="E251" s="340">
        <v>-1975010</v>
      </c>
      <c r="F251" s="341">
        <v>-470250</v>
      </c>
      <c r="G251" s="342">
        <v>-10248072</v>
      </c>
      <c r="I251" s="290"/>
    </row>
    <row r="252" spans="1:9" ht="17.25" customHeight="1" x14ac:dyDescent="0.2">
      <c r="A252" s="209" t="s">
        <v>203</v>
      </c>
      <c r="B252" s="209"/>
      <c r="C252" s="209" t="s">
        <v>204</v>
      </c>
      <c r="D252" s="339">
        <v>-652077</v>
      </c>
      <c r="E252" s="340">
        <v>-1102495</v>
      </c>
      <c r="F252" s="341">
        <v>-6520770</v>
      </c>
      <c r="G252" s="342">
        <v>-9601731</v>
      </c>
      <c r="I252" s="290"/>
    </row>
    <row r="253" spans="1:9" ht="17.25" customHeight="1" x14ac:dyDescent="0.2">
      <c r="A253" s="209" t="s">
        <v>205</v>
      </c>
      <c r="B253" s="209"/>
      <c r="C253" s="209" t="s">
        <v>206</v>
      </c>
      <c r="D253" s="339">
        <v>0</v>
      </c>
      <c r="E253" s="340">
        <v>0</v>
      </c>
      <c r="F253" s="341">
        <v>-883932</v>
      </c>
      <c r="G253" s="342">
        <v>-242877</v>
      </c>
      <c r="I253" s="290"/>
    </row>
    <row r="254" spans="1:9" ht="17.25" customHeight="1" x14ac:dyDescent="0.2">
      <c r="A254" s="209" t="s">
        <v>207</v>
      </c>
      <c r="B254" s="209"/>
      <c r="C254" s="209" t="s">
        <v>208</v>
      </c>
      <c r="D254" s="339">
        <v>0</v>
      </c>
      <c r="E254" s="340">
        <v>0</v>
      </c>
      <c r="F254" s="341">
        <v>-220983</v>
      </c>
      <c r="G254" s="342">
        <v>0</v>
      </c>
      <c r="I254" s="290"/>
    </row>
    <row r="255" spans="1:9" ht="17.25" customHeight="1" x14ac:dyDescent="0.2">
      <c r="A255" s="209" t="s">
        <v>265</v>
      </c>
      <c r="B255" s="209"/>
      <c r="C255" s="209" t="s">
        <v>266</v>
      </c>
      <c r="D255" s="339">
        <v>0</v>
      </c>
      <c r="E255" s="340">
        <v>0</v>
      </c>
      <c r="F255" s="341">
        <v>-121229000</v>
      </c>
      <c r="G255" s="342">
        <v>-73228500</v>
      </c>
      <c r="I255" s="290"/>
    </row>
    <row r="256" spans="1:9" ht="17.25" customHeight="1" x14ac:dyDescent="0.2">
      <c r="A256" s="209" t="s">
        <v>209</v>
      </c>
      <c r="B256" s="209"/>
      <c r="C256" s="209" t="s">
        <v>210</v>
      </c>
      <c r="D256" s="339">
        <v>-110492</v>
      </c>
      <c r="E256" s="340">
        <v>0</v>
      </c>
      <c r="F256" s="341">
        <v>-441968</v>
      </c>
      <c r="G256" s="342">
        <v>-29659</v>
      </c>
      <c r="I256" s="290"/>
    </row>
    <row r="257" spans="1:9" s="60" customFormat="1" ht="17.25" customHeight="1" x14ac:dyDescent="0.2">
      <c r="A257" s="209" t="s">
        <v>211</v>
      </c>
      <c r="B257" s="209"/>
      <c r="C257" s="209" t="s">
        <v>212</v>
      </c>
      <c r="D257" s="339">
        <v>-150192</v>
      </c>
      <c r="E257" s="340">
        <v>-5582</v>
      </c>
      <c r="F257" s="341">
        <v>-1504885</v>
      </c>
      <c r="G257" s="342">
        <v>-660816</v>
      </c>
      <c r="H257" s="103"/>
      <c r="I257" s="290"/>
    </row>
    <row r="258" spans="1:9" ht="17.25" customHeight="1" x14ac:dyDescent="0.2">
      <c r="A258" s="209" t="s">
        <v>267</v>
      </c>
      <c r="B258" s="209"/>
      <c r="C258" s="209" t="s">
        <v>268</v>
      </c>
      <c r="D258" s="339">
        <v>-1250000</v>
      </c>
      <c r="E258" s="340">
        <v>0</v>
      </c>
      <c r="F258" s="341">
        <v>-23600000</v>
      </c>
      <c r="G258" s="342">
        <v>-13923107</v>
      </c>
      <c r="I258" s="290"/>
    </row>
    <row r="259" spans="1:9" ht="17.25" customHeight="1" x14ac:dyDescent="0.2">
      <c r="A259" s="209" t="s">
        <v>253</v>
      </c>
      <c r="B259" s="209"/>
      <c r="C259" s="209" t="s">
        <v>254</v>
      </c>
      <c r="D259" s="339">
        <v>-600000</v>
      </c>
      <c r="E259" s="340">
        <v>0</v>
      </c>
      <c r="F259" s="341">
        <v>-29140000</v>
      </c>
      <c r="G259" s="342">
        <v>-44160540</v>
      </c>
      <c r="I259" s="290"/>
    </row>
    <row r="260" spans="1:9" ht="17.25" customHeight="1" x14ac:dyDescent="0.2">
      <c r="A260" s="209" t="s">
        <v>213</v>
      </c>
      <c r="B260" s="209"/>
      <c r="C260" s="209" t="s">
        <v>214</v>
      </c>
      <c r="D260" s="339">
        <v>-341667</v>
      </c>
      <c r="E260" s="340">
        <v>0</v>
      </c>
      <c r="F260" s="341">
        <v>-3416670</v>
      </c>
      <c r="G260" s="342">
        <v>-3424084</v>
      </c>
      <c r="I260" s="290"/>
    </row>
    <row r="261" spans="1:9" ht="17.25" customHeight="1" x14ac:dyDescent="0.2">
      <c r="A261" s="209" t="s">
        <v>215</v>
      </c>
      <c r="B261" s="209"/>
      <c r="C261" s="209" t="s">
        <v>216</v>
      </c>
      <c r="D261" s="339">
        <v>-33800</v>
      </c>
      <c r="E261" s="340">
        <v>0</v>
      </c>
      <c r="F261" s="341">
        <v>-45171200</v>
      </c>
      <c r="G261" s="342">
        <v>-78544359</v>
      </c>
      <c r="I261" s="290"/>
    </row>
    <row r="262" spans="1:9" ht="17.25" customHeight="1" x14ac:dyDescent="0.2">
      <c r="A262" s="209" t="s">
        <v>255</v>
      </c>
      <c r="B262" s="209"/>
      <c r="C262" s="209" t="s">
        <v>256</v>
      </c>
      <c r="D262" s="339">
        <v>0</v>
      </c>
      <c r="E262" s="340">
        <v>0</v>
      </c>
      <c r="F262" s="341">
        <v>-154688</v>
      </c>
      <c r="G262" s="342">
        <v>-198077</v>
      </c>
      <c r="I262" s="290"/>
    </row>
    <row r="263" spans="1:9" ht="17.25" customHeight="1" x14ac:dyDescent="0.2">
      <c r="A263" s="209" t="s">
        <v>219</v>
      </c>
      <c r="B263" s="209"/>
      <c r="C263" s="209" t="s">
        <v>220</v>
      </c>
      <c r="D263" s="339">
        <v>-11049</v>
      </c>
      <c r="E263" s="340">
        <v>-6237</v>
      </c>
      <c r="F263" s="341">
        <v>-110490</v>
      </c>
      <c r="G263" s="342">
        <v>-16062</v>
      </c>
      <c r="I263" s="290"/>
    </row>
    <row r="264" spans="1:9" ht="17.25" customHeight="1" x14ac:dyDescent="0.2">
      <c r="A264" s="209" t="s">
        <v>225</v>
      </c>
      <c r="B264" s="209"/>
      <c r="C264" s="209" t="s">
        <v>226</v>
      </c>
      <c r="D264" s="339">
        <v>-159108</v>
      </c>
      <c r="E264" s="340">
        <v>-5304</v>
      </c>
      <c r="F264" s="341">
        <v>-795540</v>
      </c>
      <c r="G264" s="342">
        <v>-69184</v>
      </c>
      <c r="I264" s="290"/>
    </row>
    <row r="265" spans="1:9" ht="17.25" customHeight="1" x14ac:dyDescent="0.2">
      <c r="A265" s="209" t="s">
        <v>227</v>
      </c>
      <c r="B265" s="209"/>
      <c r="C265" s="209" t="s">
        <v>228</v>
      </c>
      <c r="D265" s="283">
        <v>0</v>
      </c>
      <c r="E265" s="283">
        <v>0</v>
      </c>
      <c r="F265" s="341">
        <v>0</v>
      </c>
      <c r="G265" s="342">
        <v>0</v>
      </c>
      <c r="I265" s="290"/>
    </row>
    <row r="266" spans="1:9" ht="17.25" customHeight="1" x14ac:dyDescent="0.2">
      <c r="A266" s="209" t="s">
        <v>241</v>
      </c>
      <c r="B266" s="209"/>
      <c r="C266" s="209" t="s">
        <v>242</v>
      </c>
      <c r="D266" s="283">
        <v>0</v>
      </c>
      <c r="E266" s="283">
        <v>0</v>
      </c>
      <c r="F266" s="341">
        <v>424553460</v>
      </c>
      <c r="G266" s="342">
        <v>420058002</v>
      </c>
      <c r="I266" s="290"/>
    </row>
    <row r="267" spans="1:9" ht="17.25" customHeight="1" x14ac:dyDescent="0.2">
      <c r="A267" s="209" t="s">
        <v>279</v>
      </c>
      <c r="B267" s="209"/>
      <c r="C267" s="209" t="s">
        <v>280</v>
      </c>
      <c r="D267" s="215">
        <v>0</v>
      </c>
      <c r="E267" s="215">
        <v>0</v>
      </c>
      <c r="F267" s="238">
        <v>0</v>
      </c>
      <c r="G267" s="215">
        <v>0</v>
      </c>
      <c r="I267" s="290"/>
    </row>
    <row r="268" spans="1:9" ht="17.25" customHeight="1" x14ac:dyDescent="0.2">
      <c r="A268" s="210"/>
      <c r="B268" s="210"/>
      <c r="C268" s="210" t="s">
        <v>294</v>
      </c>
      <c r="D268" s="216">
        <f>SUM(D242:D267)</f>
        <v>-9326340</v>
      </c>
      <c r="E268" s="216">
        <f>SUM(E242:E267)</f>
        <v>-14159982</v>
      </c>
      <c r="F268" s="239">
        <f>SUM(F242:F267)</f>
        <v>46742031</v>
      </c>
      <c r="G268" s="216">
        <f>SUM(G242:G267)</f>
        <v>-4087876</v>
      </c>
      <c r="I268" s="290"/>
    </row>
    <row r="269" spans="1:9" ht="17.25" customHeight="1" x14ac:dyDescent="0.2">
      <c r="A269" s="209" t="s">
        <v>187</v>
      </c>
      <c r="B269" s="209"/>
      <c r="C269" s="209" t="s">
        <v>188</v>
      </c>
      <c r="D269" s="295">
        <v>0</v>
      </c>
      <c r="E269" s="343">
        <v>-3827098</v>
      </c>
      <c r="F269" s="295">
        <v>0</v>
      </c>
      <c r="G269" s="344">
        <v>-58325297</v>
      </c>
      <c r="I269" s="290"/>
    </row>
    <row r="270" spans="1:9" ht="17.25" customHeight="1" x14ac:dyDescent="0.2">
      <c r="A270" s="209" t="s">
        <v>197</v>
      </c>
      <c r="B270" s="209"/>
      <c r="C270" s="209" t="s">
        <v>198</v>
      </c>
      <c r="D270" s="295">
        <v>0</v>
      </c>
      <c r="E270" s="343">
        <v>0</v>
      </c>
      <c r="F270" s="295">
        <v>0</v>
      </c>
      <c r="G270" s="344">
        <v>-19669747</v>
      </c>
      <c r="I270" s="290"/>
    </row>
    <row r="271" spans="1:9" ht="17.25" customHeight="1" x14ac:dyDescent="0.2">
      <c r="A271" s="209" t="s">
        <v>249</v>
      </c>
      <c r="B271" s="209"/>
      <c r="C271" s="209" t="s">
        <v>250</v>
      </c>
      <c r="D271" s="295">
        <v>0</v>
      </c>
      <c r="E271" s="343">
        <v>0</v>
      </c>
      <c r="F271" s="295">
        <v>0</v>
      </c>
      <c r="G271" s="344">
        <v>-723750</v>
      </c>
      <c r="I271" s="290"/>
    </row>
    <row r="272" spans="1:9" ht="17.25" customHeight="1" x14ac:dyDescent="0.2">
      <c r="A272" s="209" t="s">
        <v>199</v>
      </c>
      <c r="B272" s="209"/>
      <c r="C272" s="209" t="s">
        <v>200</v>
      </c>
      <c r="D272" s="295">
        <v>0</v>
      </c>
      <c r="E272" s="343">
        <v>0</v>
      </c>
      <c r="F272" s="295">
        <v>0</v>
      </c>
      <c r="G272" s="344">
        <v>-2245000</v>
      </c>
      <c r="I272" s="290"/>
    </row>
    <row r="273" spans="1:9" ht="17.25" customHeight="1" x14ac:dyDescent="0.2">
      <c r="A273" s="209" t="s">
        <v>207</v>
      </c>
      <c r="B273" s="209"/>
      <c r="C273" s="209" t="s">
        <v>208</v>
      </c>
      <c r="D273" s="295">
        <v>0</v>
      </c>
      <c r="E273" s="343">
        <v>-256000</v>
      </c>
      <c r="F273" s="295">
        <v>0</v>
      </c>
      <c r="G273" s="344">
        <v>-5784306</v>
      </c>
      <c r="I273" s="290"/>
    </row>
    <row r="274" spans="1:9" ht="17.25" customHeight="1" x14ac:dyDescent="0.2">
      <c r="A274" s="209" t="s">
        <v>251</v>
      </c>
      <c r="B274" s="209"/>
      <c r="C274" s="209" t="s">
        <v>252</v>
      </c>
      <c r="D274" s="295">
        <v>0</v>
      </c>
      <c r="E274" s="343">
        <v>-138240</v>
      </c>
      <c r="F274" s="295">
        <v>0</v>
      </c>
      <c r="G274" s="344">
        <v>-24055942</v>
      </c>
      <c r="I274" s="290"/>
    </row>
    <row r="275" spans="1:9" ht="17.25" customHeight="1" x14ac:dyDescent="0.2">
      <c r="A275" s="209" t="s">
        <v>253</v>
      </c>
      <c r="B275" s="209"/>
      <c r="C275" s="209" t="s">
        <v>254</v>
      </c>
      <c r="D275" s="295">
        <v>0</v>
      </c>
      <c r="E275" s="343">
        <v>0</v>
      </c>
      <c r="F275" s="295">
        <v>0</v>
      </c>
      <c r="G275" s="344">
        <v>-9395881</v>
      </c>
      <c r="I275" s="290"/>
    </row>
    <row r="276" spans="1:9" ht="17.25" customHeight="1" x14ac:dyDescent="0.2">
      <c r="A276" s="209" t="s">
        <v>213</v>
      </c>
      <c r="B276" s="209"/>
      <c r="C276" s="209" t="s">
        <v>214</v>
      </c>
      <c r="D276" s="295">
        <v>0</v>
      </c>
      <c r="E276" s="343">
        <v>0</v>
      </c>
      <c r="F276" s="295">
        <v>0</v>
      </c>
      <c r="G276" s="344">
        <v>-1013600</v>
      </c>
      <c r="I276" s="290"/>
    </row>
    <row r="277" spans="1:9" ht="17.25" customHeight="1" x14ac:dyDescent="0.2">
      <c r="A277" s="209" t="s">
        <v>215</v>
      </c>
      <c r="B277" s="209"/>
      <c r="C277" s="209" t="s">
        <v>216</v>
      </c>
      <c r="D277" s="295">
        <v>0</v>
      </c>
      <c r="E277" s="343">
        <v>0</v>
      </c>
      <c r="F277" s="295">
        <v>0</v>
      </c>
      <c r="G277" s="344">
        <v>-2361621</v>
      </c>
      <c r="I277" s="290"/>
    </row>
    <row r="278" spans="1:9" ht="17.25" customHeight="1" x14ac:dyDescent="0.2">
      <c r="A278" s="209" t="s">
        <v>255</v>
      </c>
      <c r="B278" s="209"/>
      <c r="C278" s="209" t="s">
        <v>256</v>
      </c>
      <c r="D278" s="295">
        <v>0</v>
      </c>
      <c r="E278" s="343">
        <v>0</v>
      </c>
      <c r="F278" s="295">
        <v>0</v>
      </c>
      <c r="G278" s="344">
        <v>-1469953</v>
      </c>
      <c r="I278" s="290"/>
    </row>
    <row r="279" spans="1:9" ht="17.25" customHeight="1" x14ac:dyDescent="0.2">
      <c r="A279" s="209" t="s">
        <v>219</v>
      </c>
      <c r="B279" s="209"/>
      <c r="C279" s="209" t="s">
        <v>220</v>
      </c>
      <c r="D279" s="295">
        <v>0</v>
      </c>
      <c r="E279" s="343">
        <v>0</v>
      </c>
      <c r="F279" s="295">
        <v>0</v>
      </c>
      <c r="G279" s="344">
        <v>-692000</v>
      </c>
      <c r="I279" s="290"/>
    </row>
    <row r="280" spans="1:9" ht="17.25" customHeight="1" x14ac:dyDescent="0.2">
      <c r="A280" s="209" t="s">
        <v>225</v>
      </c>
      <c r="B280" s="209"/>
      <c r="C280" s="209" t="s">
        <v>226</v>
      </c>
      <c r="D280" s="295">
        <v>0</v>
      </c>
      <c r="E280" s="343">
        <v>0</v>
      </c>
      <c r="F280" s="295">
        <v>0</v>
      </c>
      <c r="G280" s="344">
        <v>-663133</v>
      </c>
      <c r="I280" s="290"/>
    </row>
    <row r="281" spans="1:9" ht="17.25" customHeight="1" x14ac:dyDescent="0.2">
      <c r="A281" s="209" t="s">
        <v>241</v>
      </c>
      <c r="B281" s="209"/>
      <c r="C281" s="209" t="s">
        <v>242</v>
      </c>
      <c r="D281" s="284">
        <v>0</v>
      </c>
      <c r="E281" s="343">
        <v>2446950</v>
      </c>
      <c r="F281" s="284">
        <v>0</v>
      </c>
      <c r="G281" s="344">
        <v>169478594</v>
      </c>
      <c r="I281" s="290"/>
    </row>
    <row r="282" spans="1:9" ht="17.25" customHeight="1" x14ac:dyDescent="0.2">
      <c r="A282" s="59" t="s">
        <v>276</v>
      </c>
      <c r="B282" s="59"/>
      <c r="C282" s="59"/>
      <c r="D282" s="216">
        <f>SUM(D269:D281)</f>
        <v>0</v>
      </c>
      <c r="E282" s="216">
        <f t="shared" ref="E282:G282" si="3">SUM(E269:E281)</f>
        <v>-1774388</v>
      </c>
      <c r="F282" s="216">
        <f t="shared" si="3"/>
        <v>0</v>
      </c>
      <c r="G282" s="216">
        <f t="shared" si="3"/>
        <v>43078364</v>
      </c>
      <c r="I282" s="290"/>
    </row>
    <row r="283" spans="1:9" ht="17.25" customHeight="1" x14ac:dyDescent="0.15">
      <c r="A283" s="61"/>
      <c r="B283" s="61"/>
      <c r="C283" s="61"/>
      <c r="D283" s="214">
        <v>0</v>
      </c>
      <c r="E283" s="214">
        <v>0</v>
      </c>
      <c r="F283" s="237">
        <v>0</v>
      </c>
      <c r="G283" s="214">
        <v>0</v>
      </c>
      <c r="I283" s="290"/>
    </row>
    <row r="287" spans="1:9" ht="17.25" customHeight="1" x14ac:dyDescent="0.15">
      <c r="D287" s="289">
        <f>+D282+D268+D241+D209+D199+D170+D133+D103+D78+D55+D41</f>
        <v>20885521</v>
      </c>
      <c r="E287" s="289">
        <f t="shared" ref="E287:G287" si="4">+E282+E268+E241+E209+E199+E170+E133+E103+E78+E55+E41</f>
        <v>-238383185</v>
      </c>
      <c r="F287" s="289">
        <f t="shared" si="4"/>
        <v>48002848</v>
      </c>
      <c r="G287" s="289">
        <f t="shared" si="4"/>
        <v>121390436</v>
      </c>
    </row>
    <row r="291" spans="7:7" ht="17.25" customHeight="1" x14ac:dyDescent="0.15">
      <c r="G291" s="211">
        <f>SUBTOTAL(9,G107:G215)</f>
        <v>-497230468</v>
      </c>
    </row>
    <row r="292" spans="7:7" ht="17.25" customHeight="1" x14ac:dyDescent="0.15">
      <c r="G292" s="211">
        <f>23227-23486</f>
        <v>-259</v>
      </c>
    </row>
  </sheetData>
  <autoFilter ref="A1:A287"/>
  <pageMargins left="0.35065061311780465" right="0.70060686858587107" top="0.79156772070157877" bottom="0.24788568095654706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AS136"/>
  <sheetViews>
    <sheetView showGridLines="0" tabSelected="1" view="pageBreakPreview" zoomScale="80" zoomScaleNormal="100" zoomScaleSheetLayoutView="80" workbookViewId="0">
      <selection activeCell="C12" sqref="C12"/>
    </sheetView>
  </sheetViews>
  <sheetFormatPr baseColWidth="10" defaultRowHeight="23.25" customHeight="1" x14ac:dyDescent="0.2"/>
  <cols>
    <col min="1" max="1" width="2" style="174" customWidth="1"/>
    <col min="2" max="2" width="35.875" style="174" customWidth="1"/>
    <col min="3" max="3" width="29" style="174" customWidth="1"/>
    <col min="4" max="4" width="7.625" style="175" customWidth="1"/>
    <col min="5" max="5" width="8.375" style="175" customWidth="1"/>
    <col min="6" max="6" width="7" style="175" customWidth="1"/>
    <col min="7" max="7" width="8.25" style="175" bestFit="1" customWidth="1"/>
    <col min="8" max="8" width="7.75" style="175" customWidth="1"/>
    <col min="9" max="9" width="7" style="175" customWidth="1"/>
    <col min="10" max="10" width="9.625" style="175" customWidth="1"/>
    <col min="11" max="11" width="8.5" style="175" customWidth="1"/>
    <col min="12" max="12" width="7" style="175" customWidth="1"/>
    <col min="13" max="13" width="7.75" style="175" customWidth="1"/>
    <col min="14" max="14" width="8.625" style="175" bestFit="1" customWidth="1"/>
    <col min="15" max="15" width="7" style="175" customWidth="1"/>
    <col min="16" max="16" width="8.75" style="175" customWidth="1"/>
    <col min="17" max="17" width="7.625" style="175" customWidth="1"/>
    <col min="18" max="18" width="7" style="175" customWidth="1"/>
    <col min="19" max="19" width="10.5" style="175" customWidth="1"/>
    <col min="20" max="20" width="12.375" style="175" customWidth="1"/>
    <col min="21" max="21" width="7" style="175" customWidth="1"/>
    <col min="22" max="22" width="8.875" style="175" customWidth="1"/>
    <col min="23" max="23" width="9" style="175" customWidth="1"/>
    <col min="24" max="24" width="7" style="175" customWidth="1"/>
    <col min="25" max="25" width="8.25" style="176" customWidth="1"/>
    <col min="26" max="26" width="8" style="177" bestFit="1" customWidth="1"/>
    <col min="27" max="27" width="7" style="175" customWidth="1"/>
    <col min="28" max="28" width="10.5" style="178" bestFit="1" customWidth="1"/>
    <col min="29" max="29" width="10.625" style="182" customWidth="1"/>
    <col min="30" max="30" width="7" style="178" customWidth="1"/>
    <col min="31" max="31" width="1.5" style="174" customWidth="1"/>
    <col min="32" max="44" width="14.125" style="174" customWidth="1"/>
    <col min="45" max="16384" width="11" style="174"/>
  </cols>
  <sheetData>
    <row r="2" spans="2:31" s="117" customFormat="1" ht="23.25" customHeight="1" x14ac:dyDescent="0.15">
      <c r="B2" s="448"/>
      <c r="C2" s="420" t="s">
        <v>47</v>
      </c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  <c r="X2" s="420"/>
      <c r="Y2" s="420"/>
      <c r="Z2" s="420"/>
      <c r="AA2" s="420"/>
      <c r="AB2" s="420"/>
      <c r="AC2" s="420"/>
      <c r="AD2" s="420"/>
      <c r="AE2" s="116"/>
    </row>
    <row r="3" spans="2:31" s="117" customFormat="1" ht="23.25" customHeight="1" x14ac:dyDescent="0.15">
      <c r="B3" s="448"/>
      <c r="C3" s="186" t="s">
        <v>48</v>
      </c>
      <c r="D3" s="187" t="str">
        <f>+Portada!$H$19</f>
        <v>Octubre de 2016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 s="120"/>
      <c r="AA3" s="118"/>
      <c r="AB3" s="202"/>
      <c r="AC3" s="120"/>
      <c r="AD3" s="118"/>
      <c r="AE3" s="116"/>
    </row>
    <row r="4" spans="2:31" s="132" customFormat="1" ht="23.25" customHeight="1" thickBot="1" x14ac:dyDescent="0.2">
      <c r="B4" s="449"/>
      <c r="D4" s="133" t="s">
        <v>0</v>
      </c>
      <c r="E4" s="133"/>
      <c r="F4" s="133"/>
      <c r="G4" s="133" t="s">
        <v>0</v>
      </c>
      <c r="H4" s="133"/>
      <c r="I4" s="133"/>
      <c r="J4" s="115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4"/>
      <c r="Z4" s="135"/>
      <c r="AA4" s="133"/>
      <c r="AB4" s="136"/>
      <c r="AC4" s="181"/>
      <c r="AD4" s="136"/>
      <c r="AE4" s="131"/>
    </row>
    <row r="5" spans="2:31" s="139" customFormat="1" ht="29.25" customHeight="1" x14ac:dyDescent="0.15">
      <c r="B5" s="450"/>
      <c r="C5" s="189" t="s">
        <v>1</v>
      </c>
      <c r="D5" s="421" t="s">
        <v>2</v>
      </c>
      <c r="E5" s="422"/>
      <c r="F5" s="190"/>
      <c r="G5" s="421" t="s">
        <v>3</v>
      </c>
      <c r="H5" s="422"/>
      <c r="I5" s="190"/>
      <c r="J5" s="423" t="s">
        <v>4</v>
      </c>
      <c r="K5" s="443"/>
      <c r="L5" s="190"/>
      <c r="M5" s="423" t="s">
        <v>5</v>
      </c>
      <c r="N5" s="443"/>
      <c r="O5" s="190"/>
      <c r="P5" s="423" t="s">
        <v>6</v>
      </c>
      <c r="Q5" s="443"/>
      <c r="R5" s="190"/>
      <c r="S5" s="423" t="s">
        <v>7</v>
      </c>
      <c r="T5" s="443"/>
      <c r="U5" s="190"/>
      <c r="V5" s="423" t="s">
        <v>8</v>
      </c>
      <c r="W5" s="443"/>
      <c r="X5" s="190"/>
      <c r="Y5" s="423" t="s">
        <v>216</v>
      </c>
      <c r="Z5" s="443"/>
      <c r="AA5" s="190"/>
      <c r="AB5" s="423" t="s">
        <v>9</v>
      </c>
      <c r="AC5" s="424"/>
      <c r="AD5" s="195"/>
      <c r="AE5" s="138"/>
    </row>
    <row r="6" spans="2:31" s="139" customFormat="1" ht="30.75" customHeight="1" x14ac:dyDescent="0.15">
      <c r="B6" s="450"/>
      <c r="C6" s="140"/>
      <c r="D6" s="141" t="s">
        <v>275</v>
      </c>
      <c r="E6" s="142" t="s">
        <v>50</v>
      </c>
      <c r="F6" s="143"/>
      <c r="G6" s="141" t="s">
        <v>275</v>
      </c>
      <c r="H6" s="142" t="s">
        <v>50</v>
      </c>
      <c r="I6" s="143"/>
      <c r="J6" s="141" t="s">
        <v>275</v>
      </c>
      <c r="K6" s="142" t="s">
        <v>50</v>
      </c>
      <c r="L6" s="143"/>
      <c r="M6" s="141" t="s">
        <v>275</v>
      </c>
      <c r="N6" s="142" t="s">
        <v>50</v>
      </c>
      <c r="O6" s="143"/>
      <c r="P6" s="141" t="s">
        <v>275</v>
      </c>
      <c r="Q6" s="142" t="s">
        <v>50</v>
      </c>
      <c r="R6" s="143"/>
      <c r="S6" s="141" t="s">
        <v>275</v>
      </c>
      <c r="T6" s="142" t="s">
        <v>50</v>
      </c>
      <c r="U6" s="143"/>
      <c r="V6" s="141" t="s">
        <v>275</v>
      </c>
      <c r="W6" s="142" t="s">
        <v>50</v>
      </c>
      <c r="X6" s="143"/>
      <c r="Y6" s="141" t="s">
        <v>275</v>
      </c>
      <c r="Z6" s="142" t="s">
        <v>50</v>
      </c>
      <c r="AA6" s="143"/>
      <c r="AB6" s="191" t="s">
        <v>275</v>
      </c>
      <c r="AC6" s="204" t="s">
        <v>50</v>
      </c>
      <c r="AD6" s="196"/>
      <c r="AE6" s="138"/>
    </row>
    <row r="7" spans="2:31" s="132" customFormat="1" ht="18" customHeight="1" x14ac:dyDescent="0.15">
      <c r="B7" s="449"/>
      <c r="C7" s="144"/>
      <c r="D7" s="416" t="s">
        <v>1</v>
      </c>
      <c r="E7" s="417"/>
      <c r="F7" s="145" t="s">
        <v>10</v>
      </c>
      <c r="G7" s="416" t="s">
        <v>1</v>
      </c>
      <c r="H7" s="417"/>
      <c r="I7" s="145" t="s">
        <v>10</v>
      </c>
      <c r="J7" s="416" t="s">
        <v>1</v>
      </c>
      <c r="K7" s="417"/>
      <c r="L7" s="145" t="s">
        <v>10</v>
      </c>
      <c r="M7" s="416" t="s">
        <v>1</v>
      </c>
      <c r="N7" s="417"/>
      <c r="O7" s="145" t="s">
        <v>10</v>
      </c>
      <c r="P7" s="416" t="s">
        <v>1</v>
      </c>
      <c r="Q7" s="417"/>
      <c r="R7" s="145" t="s">
        <v>10</v>
      </c>
      <c r="S7" s="416" t="s">
        <v>1</v>
      </c>
      <c r="T7" s="417"/>
      <c r="U7" s="145" t="s">
        <v>10</v>
      </c>
      <c r="V7" s="416" t="s">
        <v>1</v>
      </c>
      <c r="W7" s="417"/>
      <c r="X7" s="145" t="s">
        <v>10</v>
      </c>
      <c r="Y7" s="416" t="s">
        <v>1</v>
      </c>
      <c r="Z7" s="417"/>
      <c r="AA7" s="145" t="s">
        <v>10</v>
      </c>
      <c r="AB7" s="418" t="s">
        <v>1</v>
      </c>
      <c r="AC7" s="419"/>
      <c r="AD7" s="197" t="s">
        <v>10</v>
      </c>
      <c r="AE7" s="131"/>
    </row>
    <row r="8" spans="2:31" s="132" customFormat="1" ht="18" customHeight="1" x14ac:dyDescent="0.15">
      <c r="B8" s="451" t="s">
        <v>324</v>
      </c>
      <c r="C8" s="147" t="s">
        <v>11</v>
      </c>
      <c r="D8" s="148">
        <f>+'10. Remolacha'!D9/1000</f>
        <v>0</v>
      </c>
      <c r="E8" s="149">
        <f>+'10. Remolacha'!E9/1000</f>
        <v>0</v>
      </c>
      <c r="F8" s="150" t="str">
        <f>+IFERROR(E8/D8-1,"n.a.")</f>
        <v>n.a.</v>
      </c>
      <c r="G8" s="148">
        <f>+'13. Maiz de Exportación'!D9/1000</f>
        <v>0</v>
      </c>
      <c r="H8" s="149">
        <f>+'13. Maiz de Exportación'!E9/1000</f>
        <v>0</v>
      </c>
      <c r="I8" s="150" t="str">
        <f>+IFERROR(H8/G8-1,"n.a.")</f>
        <v>n.a.</v>
      </c>
      <c r="J8" s="148">
        <f>+'15. Maiz Local'!D9/1000</f>
        <v>119350</v>
      </c>
      <c r="K8" s="149">
        <f>+'15. Maiz Local'!E9/1000</f>
        <v>132.119</v>
      </c>
      <c r="L8" s="150">
        <f>+IFERROR(K8/J8-1,"n.a.")</f>
        <v>-0.99889301214914117</v>
      </c>
      <c r="M8" s="148">
        <f>(+'16. Soya de Exportación'!D9)/1000</f>
        <v>0</v>
      </c>
      <c r="N8" s="149">
        <f>(+'16. Soya de Exportación'!E9)/1000</f>
        <v>0</v>
      </c>
      <c r="O8" s="150" t="str">
        <f>+IFERROR(N8/M8-1,"n.a.")</f>
        <v>n.a.</v>
      </c>
      <c r="P8" s="148">
        <f>(+'17. Alfalfa'!D9)/1000</f>
        <v>0</v>
      </c>
      <c r="Q8" s="149">
        <f>(+'17. Alfalfa'!E9)/1000</f>
        <v>3350</v>
      </c>
      <c r="R8" s="150" t="str">
        <f>+IFERROR(Q8/P8-1,"n.a.")</f>
        <v>n.a.</v>
      </c>
      <c r="S8" s="148">
        <f>(+'18. Canola y Girasol'!D9)/1000</f>
        <v>0</v>
      </c>
      <c r="T8" s="149">
        <f>(+'18. Canola y Girasol'!E9)/1000</f>
        <v>405</v>
      </c>
      <c r="U8" s="150" t="str">
        <f>+IFERROR(T8/S8-1,"n.a.")</f>
        <v>n.a.</v>
      </c>
      <c r="V8" s="148">
        <f>(+'20. Campos Propios'!D9)/1000</f>
        <v>0</v>
      </c>
      <c r="W8" s="149">
        <f>(+'20. Campos Propios'!E9)/1000</f>
        <v>0</v>
      </c>
      <c r="X8" s="150" t="str">
        <f>+IFERROR(W8/V8-1,"n.a.")</f>
        <v>n.a.</v>
      </c>
      <c r="Y8" s="148">
        <f>+'21.Procesos '!D9/1000</f>
        <v>0</v>
      </c>
      <c r="Z8" s="149">
        <f>+'21.Procesos '!E9/1000</f>
        <v>2446.9499999999998</v>
      </c>
      <c r="AA8" s="150" t="str">
        <f>+IFERROR(Z8/Y8-1,"n.a.")</f>
        <v>n.a.</v>
      </c>
      <c r="AB8" s="192">
        <f>+V8+S8+P8+M8+J8+G8+D8+Y8</f>
        <v>119350</v>
      </c>
      <c r="AC8" s="205">
        <f>+W8+T8+Q8+N8+K8+H8+E8+Z8</f>
        <v>6334.0689999999995</v>
      </c>
      <c r="AD8" s="198">
        <f>+IFERROR(AC8/AB8-1,"n.a.")</f>
        <v>-0.94692862170087977</v>
      </c>
      <c r="AE8" s="131"/>
    </row>
    <row r="9" spans="2:31" s="132" customFormat="1" ht="18" customHeight="1" x14ac:dyDescent="0.15">
      <c r="B9" s="449" t="s">
        <v>333</v>
      </c>
      <c r="C9" s="153" t="s">
        <v>321</v>
      </c>
      <c r="D9" s="148">
        <f>+'10. Remolacha'!D10/1000</f>
        <v>0</v>
      </c>
      <c r="E9" s="149">
        <f>+'10. Remolacha'!E10/1000</f>
        <v>0</v>
      </c>
      <c r="F9" s="150" t="str">
        <f t="shared" ref="F9" si="0">+IFERROR(E9/D9-1,"n.a.")</f>
        <v>n.a.</v>
      </c>
      <c r="G9" s="148">
        <f>+'13. Maiz de Exportación'!D10/1000</f>
        <v>0</v>
      </c>
      <c r="H9" s="149">
        <f>+'13. Maiz de Exportación'!E10/1000</f>
        <v>0</v>
      </c>
      <c r="I9" s="150" t="str">
        <f t="shared" ref="I9" si="1">+IFERROR(H9/G9-1,"n.a.")</f>
        <v>n.a.</v>
      </c>
      <c r="J9" s="148">
        <f>+'15. Maiz Local'!D10/1000</f>
        <v>0</v>
      </c>
      <c r="K9" s="149">
        <f>+'15. Maiz Local'!E10/1000</f>
        <v>0</v>
      </c>
      <c r="L9" s="150" t="str">
        <f t="shared" ref="L9" si="2">+IFERROR(K9/J9-1,"n.a.")</f>
        <v>n.a.</v>
      </c>
      <c r="M9" s="148">
        <f>(+'16. Soya de Exportación'!D10)/1000</f>
        <v>0</v>
      </c>
      <c r="N9" s="149">
        <f>(+'16. Soya de Exportación'!E10)/1000</f>
        <v>0</v>
      </c>
      <c r="O9" s="150" t="str">
        <f t="shared" ref="O9" si="3">+IFERROR(N9/M9-1,"n.a.")</f>
        <v>n.a.</v>
      </c>
      <c r="P9" s="148">
        <f>(+'17. Alfalfa'!D10)/1000</f>
        <v>0</v>
      </c>
      <c r="Q9" s="149">
        <f>(+'17. Alfalfa'!E10)/1000</f>
        <v>0</v>
      </c>
      <c r="R9" s="150" t="str">
        <f t="shared" ref="R9" si="4">+IFERROR(Q9/P9-1,"n.a.")</f>
        <v>n.a.</v>
      </c>
      <c r="S9" s="148">
        <f>(+'18. Canola y Girasol'!D10)/1000</f>
        <v>0</v>
      </c>
      <c r="T9" s="149">
        <f>(+'18. Canola y Girasol'!E10)/1000</f>
        <v>0</v>
      </c>
      <c r="U9" s="150" t="str">
        <f t="shared" ref="U9" si="5">+IFERROR(T9/S9-1,"n.a.")</f>
        <v>n.a.</v>
      </c>
      <c r="V9" s="148">
        <f>(+'20. Campos Propios'!D10)/1000</f>
        <v>0</v>
      </c>
      <c r="W9" s="149">
        <f>(+'20. Campos Propios'!E10)/1000</f>
        <v>0</v>
      </c>
      <c r="X9" s="150" t="str">
        <f t="shared" ref="X9" si="6">+IFERROR(W9/V9-1,"n.a.")</f>
        <v>n.a.</v>
      </c>
      <c r="Y9" s="148">
        <f>+'21.Procesos '!D10/1000</f>
        <v>0</v>
      </c>
      <c r="Z9" s="149">
        <f>+'21.Procesos '!E10/1000</f>
        <v>0</v>
      </c>
      <c r="AA9" s="150" t="str">
        <f t="shared" ref="AA9" si="7">+IFERROR(Z9/Y9-1,"n.a.")</f>
        <v>n.a.</v>
      </c>
      <c r="AB9" s="192">
        <f t="shared" ref="AB9" si="8">+V9+S9+P9+M9+J9+G9+D9+Y9</f>
        <v>0</v>
      </c>
      <c r="AC9" s="205">
        <f t="shared" ref="AC9" si="9">+W9+T9+Q9+N9+K9+H9+E9+Z9</f>
        <v>0</v>
      </c>
      <c r="AD9" s="198" t="str">
        <f t="shared" ref="AD9" si="10">+IFERROR(AC9/AB9-1,"n.a.")</f>
        <v>n.a.</v>
      </c>
      <c r="AE9" s="131"/>
    </row>
    <row r="10" spans="2:31" s="132" customFormat="1" ht="18" customHeight="1" x14ac:dyDescent="0.15">
      <c r="B10" s="449" t="s">
        <v>325</v>
      </c>
      <c r="C10" s="147" t="s">
        <v>322</v>
      </c>
      <c r="D10" s="148">
        <f>SUM(D8:D9)</f>
        <v>0</v>
      </c>
      <c r="E10" s="148">
        <f t="shared" ref="E10:AD10" si="11">SUM(E8:E9)</f>
        <v>0</v>
      </c>
      <c r="F10" s="148">
        <f t="shared" si="11"/>
        <v>0</v>
      </c>
      <c r="G10" s="148">
        <f t="shared" si="11"/>
        <v>0</v>
      </c>
      <c r="H10" s="148">
        <f t="shared" si="11"/>
        <v>0</v>
      </c>
      <c r="I10" s="148">
        <f t="shared" si="11"/>
        <v>0</v>
      </c>
      <c r="J10" s="148">
        <f t="shared" si="11"/>
        <v>119350</v>
      </c>
      <c r="K10" s="148">
        <f t="shared" si="11"/>
        <v>132.119</v>
      </c>
      <c r="L10" s="148">
        <f t="shared" si="11"/>
        <v>-0.99889301214914117</v>
      </c>
      <c r="M10" s="148">
        <f t="shared" si="11"/>
        <v>0</v>
      </c>
      <c r="N10" s="148">
        <f t="shared" si="11"/>
        <v>0</v>
      </c>
      <c r="O10" s="148">
        <f t="shared" si="11"/>
        <v>0</v>
      </c>
      <c r="P10" s="148">
        <f t="shared" si="11"/>
        <v>0</v>
      </c>
      <c r="Q10" s="148">
        <f t="shared" si="11"/>
        <v>3350</v>
      </c>
      <c r="R10" s="148">
        <f t="shared" si="11"/>
        <v>0</v>
      </c>
      <c r="S10" s="148">
        <f t="shared" si="11"/>
        <v>0</v>
      </c>
      <c r="T10" s="148">
        <f t="shared" si="11"/>
        <v>405</v>
      </c>
      <c r="U10" s="148">
        <f t="shared" si="11"/>
        <v>0</v>
      </c>
      <c r="V10" s="148">
        <f t="shared" si="11"/>
        <v>0</v>
      </c>
      <c r="W10" s="148">
        <f t="shared" si="11"/>
        <v>0</v>
      </c>
      <c r="X10" s="148">
        <f t="shared" si="11"/>
        <v>0</v>
      </c>
      <c r="Y10" s="148">
        <f t="shared" si="11"/>
        <v>0</v>
      </c>
      <c r="Z10" s="148">
        <f t="shared" si="11"/>
        <v>2446.9499999999998</v>
      </c>
      <c r="AA10" s="148">
        <f t="shared" si="11"/>
        <v>0</v>
      </c>
      <c r="AB10" s="148">
        <f t="shared" si="11"/>
        <v>119350</v>
      </c>
      <c r="AC10" s="148">
        <f t="shared" si="11"/>
        <v>6334.0689999999995</v>
      </c>
      <c r="AD10" s="148">
        <f t="shared" si="11"/>
        <v>-0.94692862170087977</v>
      </c>
      <c r="AE10" s="131"/>
    </row>
    <row r="11" spans="2:31" s="132" customFormat="1" ht="18" customHeight="1" x14ac:dyDescent="0.15">
      <c r="B11" s="449"/>
      <c r="C11" s="147"/>
      <c r="D11" s="148"/>
      <c r="E11" s="149"/>
      <c r="F11" s="152"/>
      <c r="G11" s="148"/>
      <c r="H11" s="149"/>
      <c r="I11" s="152"/>
      <c r="J11" s="148"/>
      <c r="K11" s="149"/>
      <c r="L11" s="223"/>
      <c r="M11" s="148"/>
      <c r="N11" s="226"/>
      <c r="O11" s="152"/>
      <c r="P11" s="148"/>
      <c r="Q11" s="149"/>
      <c r="R11" s="152"/>
      <c r="S11" s="148"/>
      <c r="T11" s="149"/>
      <c r="U11" s="152"/>
      <c r="V11" s="148"/>
      <c r="W11" s="149"/>
      <c r="X11" s="152"/>
      <c r="Y11" s="148"/>
      <c r="Z11" s="149"/>
      <c r="AA11" s="152"/>
      <c r="AB11" s="192"/>
      <c r="AC11" s="205"/>
      <c r="AD11" s="199"/>
      <c r="AE11" s="131"/>
    </row>
    <row r="12" spans="2:31" s="132" customFormat="1" ht="18" customHeight="1" x14ac:dyDescent="0.15">
      <c r="B12" s="451" t="s">
        <v>334</v>
      </c>
      <c r="C12" s="147" t="s">
        <v>21</v>
      </c>
      <c r="D12" s="148"/>
      <c r="E12" s="149"/>
      <c r="F12" s="152"/>
      <c r="G12" s="148"/>
      <c r="H12" s="149"/>
      <c r="I12" s="152"/>
      <c r="J12" s="148"/>
      <c r="K12" s="149"/>
      <c r="L12" s="223"/>
      <c r="M12" s="148"/>
      <c r="N12" s="226"/>
      <c r="O12" s="152"/>
      <c r="P12" s="148"/>
      <c r="Q12" s="149"/>
      <c r="R12" s="152"/>
      <c r="S12" s="148"/>
      <c r="T12" s="149"/>
      <c r="U12" s="152"/>
      <c r="V12" s="148"/>
      <c r="W12" s="149"/>
      <c r="X12" s="152"/>
      <c r="Y12" s="148"/>
      <c r="Z12" s="149"/>
      <c r="AA12" s="152"/>
      <c r="AB12" s="192"/>
      <c r="AC12" s="205"/>
      <c r="AD12" s="199"/>
      <c r="AE12" s="131"/>
    </row>
    <row r="13" spans="2:31" s="132" customFormat="1" ht="18" customHeight="1" x14ac:dyDescent="0.15">
      <c r="B13" s="449" t="s">
        <v>335</v>
      </c>
      <c r="C13" s="153" t="s">
        <v>12</v>
      </c>
      <c r="D13" s="154"/>
      <c r="E13" s="155"/>
      <c r="F13" s="152" t="str">
        <f t="shared" ref="F13:F22" si="12">+IFERROR(E13/D13-1,"n.a.")</f>
        <v>n.a.</v>
      </c>
      <c r="G13" s="154">
        <f>(+'13. Maiz de Exportación'!D11/1000)*-1</f>
        <v>1371.3989999999999</v>
      </c>
      <c r="H13" s="155">
        <f>(+'13. Maiz de Exportación'!E11/1000)*-1</f>
        <v>0</v>
      </c>
      <c r="I13" s="152">
        <f t="shared" ref="I13:I22" si="13">+IFERROR(H13/G13-1,"n.a.")</f>
        <v>-1</v>
      </c>
      <c r="J13" s="154">
        <f>((+'15. Maiz Local'!D11)/1000)*-1</f>
        <v>0</v>
      </c>
      <c r="K13" s="155">
        <f>((+'15. Maiz Local'!E11)/1000)*-1</f>
        <v>0</v>
      </c>
      <c r="L13" s="223" t="str">
        <f t="shared" ref="L13:L22" si="14">+IFERROR(K13/J13-1,"n.a.")</f>
        <v>n.a.</v>
      </c>
      <c r="M13" s="154">
        <f>((+'16. Soya de Exportación'!D11)/1000)*-1</f>
        <v>0</v>
      </c>
      <c r="N13" s="208">
        <f>((+'16. Soya de Exportación'!E11)/1000)*-1</f>
        <v>0</v>
      </c>
      <c r="O13" s="152" t="str">
        <f t="shared" ref="O13:O22" si="15">+IFERROR(N13/M13-1,"n.a.")</f>
        <v>n.a.</v>
      </c>
      <c r="P13" s="154">
        <v>0</v>
      </c>
      <c r="Q13" s="155">
        <v>0</v>
      </c>
      <c r="R13" s="152" t="str">
        <f t="shared" ref="R13:R22" si="16">+IFERROR(Q13/P13-1,"n.a.")</f>
        <v>n.a.</v>
      </c>
      <c r="S13" s="154">
        <f>((+'18. Canola y Girasol'!D11)/1000)*-1</f>
        <v>0</v>
      </c>
      <c r="T13" s="155">
        <f>((+'18. Canola y Girasol'!E11)/1000)*-1</f>
        <v>0</v>
      </c>
      <c r="U13" s="152" t="str">
        <f t="shared" ref="U13:U22" si="17">+IFERROR(T13/S13-1,"n.a.")</f>
        <v>n.a.</v>
      </c>
      <c r="V13" s="154">
        <f>((+'20. Campos Propios'!D11)/1000)*-1</f>
        <v>0</v>
      </c>
      <c r="W13" s="155">
        <f>((+'20. Campos Propios'!E11)/1000)*-1</f>
        <v>0</v>
      </c>
      <c r="X13" s="152" t="str">
        <f t="shared" ref="X13:X22" si="18">+IFERROR(W13/V13-1,"n.a.")</f>
        <v>n.a.</v>
      </c>
      <c r="Y13" s="154">
        <v>0</v>
      </c>
      <c r="Z13" s="155">
        <v>0</v>
      </c>
      <c r="AA13" s="152" t="str">
        <f t="shared" ref="AA13:AA22" si="19">+IFERROR(Z13/Y13-1,"n.a.")</f>
        <v>n.a.</v>
      </c>
      <c r="AB13" s="192">
        <f>+V13+S13+P13+M13+J13+G13+D13+Y13</f>
        <v>1371.3989999999999</v>
      </c>
      <c r="AC13" s="205">
        <f>+W13+T13+Q13+N13+K13+H13+E13+Z13</f>
        <v>0</v>
      </c>
      <c r="AD13" s="199">
        <f t="shared" ref="AD13:AD22" si="20">+IFERROR(AC13/AB13-1,"n.a.")</f>
        <v>-1</v>
      </c>
      <c r="AE13" s="131"/>
    </row>
    <row r="14" spans="2:31" s="132" customFormat="1" ht="18" customHeight="1" x14ac:dyDescent="0.15">
      <c r="B14" s="449" t="s">
        <v>335</v>
      </c>
      <c r="C14" s="153" t="s">
        <v>13</v>
      </c>
      <c r="D14" s="246">
        <f>((+'10. Remolacha'!D12)/1000)*-1</f>
        <v>0</v>
      </c>
      <c r="E14" s="155">
        <f>(+'10. Remolacha'!E12)*-1</f>
        <v>0</v>
      </c>
      <c r="F14" s="223" t="str">
        <f t="shared" si="12"/>
        <v>n.a.</v>
      </c>
      <c r="G14" s="154">
        <v>0</v>
      </c>
      <c r="H14" s="155">
        <v>0</v>
      </c>
      <c r="I14" s="152" t="str">
        <f t="shared" si="13"/>
        <v>n.a.</v>
      </c>
      <c r="J14" s="154">
        <f>((+'15. Maiz Local'!D12)/1000)*-1</f>
        <v>0</v>
      </c>
      <c r="K14" s="155">
        <f>((+'15. Maiz Local'!E12)/1000)*-1</f>
        <v>0</v>
      </c>
      <c r="L14" s="223" t="str">
        <f t="shared" si="14"/>
        <v>n.a.</v>
      </c>
      <c r="M14" s="154">
        <v>0</v>
      </c>
      <c r="N14" s="208">
        <v>0</v>
      </c>
      <c r="O14" s="152" t="str">
        <f t="shared" si="15"/>
        <v>n.a.</v>
      </c>
      <c r="P14" s="154">
        <f>((+'17. Alfalfa'!D12)/1000)*-1</f>
        <v>0</v>
      </c>
      <c r="Q14" s="155">
        <f>((+'17. Alfalfa'!E12)/1000)*-1</f>
        <v>0</v>
      </c>
      <c r="R14" s="152" t="str">
        <f t="shared" si="16"/>
        <v>n.a.</v>
      </c>
      <c r="S14" s="246">
        <f>(+'18. Canola y Girasol'!D13)*-1</f>
        <v>0</v>
      </c>
      <c r="T14" s="251">
        <f>((+'18. Canola y Girasol'!E14)/1000)*-1</f>
        <v>0</v>
      </c>
      <c r="U14" s="223" t="str">
        <f t="shared" si="17"/>
        <v>n.a.</v>
      </c>
      <c r="V14" s="154">
        <v>0</v>
      </c>
      <c r="W14" s="155">
        <v>0</v>
      </c>
      <c r="X14" s="152" t="str">
        <f t="shared" si="18"/>
        <v>n.a.</v>
      </c>
      <c r="Y14" s="154">
        <v>0</v>
      </c>
      <c r="Z14" s="155">
        <v>0</v>
      </c>
      <c r="AA14" s="152" t="str">
        <f t="shared" si="19"/>
        <v>n.a.</v>
      </c>
      <c r="AB14" s="192">
        <f>+V14+S14+P14+M14+J14+G14+D14+Y14</f>
        <v>0</v>
      </c>
      <c r="AC14" s="205">
        <f>+W14+T14+Q14+N14+K14+H14+E14+Z14</f>
        <v>0</v>
      </c>
      <c r="AD14" s="199" t="str">
        <f t="shared" si="20"/>
        <v>n.a.</v>
      </c>
      <c r="AE14" s="131"/>
    </row>
    <row r="15" spans="2:31" s="132" customFormat="1" ht="18" customHeight="1" x14ac:dyDescent="0.15">
      <c r="B15" s="449" t="s">
        <v>335</v>
      </c>
      <c r="C15" s="153" t="s">
        <v>14</v>
      </c>
      <c r="D15" s="154">
        <v>0</v>
      </c>
      <c r="E15" s="155">
        <v>0</v>
      </c>
      <c r="F15" s="152" t="str">
        <f t="shared" si="12"/>
        <v>n.a.</v>
      </c>
      <c r="G15" s="154">
        <v>0</v>
      </c>
      <c r="H15" s="155">
        <v>0</v>
      </c>
      <c r="I15" s="152" t="str">
        <f t="shared" si="13"/>
        <v>n.a.</v>
      </c>
      <c r="J15" s="154">
        <v>0</v>
      </c>
      <c r="K15" s="155">
        <f>((+'15. Maiz Local'!E13)/1000)*-1</f>
        <v>0</v>
      </c>
      <c r="L15" s="152" t="str">
        <f t="shared" si="14"/>
        <v>n.a.</v>
      </c>
      <c r="M15" s="154">
        <v>0</v>
      </c>
      <c r="N15" s="155">
        <v>0</v>
      </c>
      <c r="O15" s="152" t="str">
        <f t="shared" si="15"/>
        <v>n.a.</v>
      </c>
      <c r="P15" s="154">
        <v>0</v>
      </c>
      <c r="Q15" s="155">
        <f>((+'17. Alfalfa'!E13)/1000)*-1</f>
        <v>0</v>
      </c>
      <c r="R15" s="152" t="str">
        <f t="shared" si="16"/>
        <v>n.a.</v>
      </c>
      <c r="S15" s="154">
        <v>0</v>
      </c>
      <c r="T15" s="155">
        <f>((+'18. Canola y Girasol'!E13)/1000)*-1</f>
        <v>0</v>
      </c>
      <c r="U15" s="152" t="str">
        <f t="shared" si="17"/>
        <v>n.a.</v>
      </c>
      <c r="V15" s="154">
        <v>0</v>
      </c>
      <c r="W15" s="155">
        <v>0</v>
      </c>
      <c r="X15" s="152" t="str">
        <f t="shared" si="18"/>
        <v>n.a.</v>
      </c>
      <c r="Y15" s="154">
        <v>0</v>
      </c>
      <c r="Z15" s="149">
        <v>0</v>
      </c>
      <c r="AA15" s="152" t="str">
        <f t="shared" si="19"/>
        <v>n.a.</v>
      </c>
      <c r="AB15" s="192">
        <f>+V15+S15+P15+M15+J15+G15+D15+Y15</f>
        <v>0</v>
      </c>
      <c r="AC15" s="205">
        <f>+W15+T15+Q15+N15+K15+H15+E15+Z15</f>
        <v>0</v>
      </c>
      <c r="AD15" s="199" t="str">
        <f t="shared" si="20"/>
        <v>n.a.</v>
      </c>
      <c r="AE15" s="131"/>
    </row>
    <row r="16" spans="2:31" s="132" customFormat="1" ht="18" customHeight="1" x14ac:dyDescent="0.15">
      <c r="B16" s="449" t="s">
        <v>335</v>
      </c>
      <c r="C16" s="153" t="s">
        <v>15</v>
      </c>
      <c r="D16" s="154">
        <v>0</v>
      </c>
      <c r="E16" s="155">
        <v>0</v>
      </c>
      <c r="F16" s="152" t="str">
        <f t="shared" si="12"/>
        <v>n.a.</v>
      </c>
      <c r="G16" s="154">
        <f>(+G$129*'12. Planta'!$D14/1000)*-1</f>
        <v>2358.8155500000003</v>
      </c>
      <c r="H16" s="155">
        <f>(+H$129*'12. Planta'!$E14/1000)*-1</f>
        <v>1775.789145</v>
      </c>
      <c r="I16" s="152">
        <f t="shared" si="13"/>
        <v>-0.24716913749360359</v>
      </c>
      <c r="J16" s="154">
        <f>((+J$129*'12. Planta'!$D14)/1000)*-1</f>
        <v>2153.1752199999996</v>
      </c>
      <c r="K16" s="155">
        <f>((+K$129*'12. Planta'!$E14)/1000)*-1</f>
        <v>1620.976758</v>
      </c>
      <c r="L16" s="152">
        <f t="shared" si="14"/>
        <v>-0.24716913749360336</v>
      </c>
      <c r="M16" s="154">
        <f>((+M$129*'12. Planta'!$D14)/1000)*-1</f>
        <v>5649.0608300000004</v>
      </c>
      <c r="N16" s="155">
        <f>((+N$129*'12. Planta'!$E14)/1000)*-1</f>
        <v>4252.7873370000007</v>
      </c>
      <c r="O16" s="152">
        <f t="shared" si="15"/>
        <v>-0.24716913749360347</v>
      </c>
      <c r="P16" s="154">
        <f>((+P$129*'12. Planta'!$E14)/1000)*-1</f>
        <v>0</v>
      </c>
      <c r="Q16" s="208">
        <f>((+Q$129*'12. Planta'!$E14)/1000)*-1</f>
        <v>0</v>
      </c>
      <c r="R16" s="152" t="str">
        <f t="shared" si="16"/>
        <v>n.a.</v>
      </c>
      <c r="S16" s="154">
        <f>((+S$129*'12. Planta'!$D14)/1000)*-1</f>
        <v>1935.4384000000002</v>
      </c>
      <c r="T16" s="155">
        <f>((+T$129*'12. Planta'!$E14)/1000)*-1</f>
        <v>1457.0577599999999</v>
      </c>
      <c r="U16" s="152">
        <f t="shared" si="17"/>
        <v>-0.2471691374936037</v>
      </c>
      <c r="V16" s="154">
        <v>0</v>
      </c>
      <c r="W16" s="155">
        <v>0</v>
      </c>
      <c r="X16" s="152" t="str">
        <f t="shared" si="18"/>
        <v>n.a.</v>
      </c>
      <c r="Y16" s="251">
        <f>((+'21.Procesos '!D14)/1000)*-1</f>
        <v>0</v>
      </c>
      <c r="Z16" s="155">
        <f>((+'21.Procesos '!E14)/1000)*-1</f>
        <v>3827.098</v>
      </c>
      <c r="AA16" s="152" t="str">
        <f t="shared" si="19"/>
        <v>n.a.</v>
      </c>
      <c r="AB16" s="192">
        <f>+V16+S16+P16+M16+J16+G16+D16+Y16</f>
        <v>12096.490000000002</v>
      </c>
      <c r="AC16" s="205">
        <f>+W16+T16+Q16+N16+K16+H16+E16+Z16</f>
        <v>12933.709000000001</v>
      </c>
      <c r="AD16" s="199">
        <f t="shared" si="20"/>
        <v>6.9211730014243633E-2</v>
      </c>
      <c r="AE16" s="131"/>
    </row>
    <row r="17" spans="2:45" s="132" customFormat="1" ht="18" customHeight="1" x14ac:dyDescent="0.15">
      <c r="B17" s="449" t="s">
        <v>335</v>
      </c>
      <c r="C17" s="153" t="s">
        <v>16</v>
      </c>
      <c r="D17" s="154">
        <v>0</v>
      </c>
      <c r="E17" s="155">
        <v>0</v>
      </c>
      <c r="F17" s="152" t="str">
        <f t="shared" si="12"/>
        <v>n.a.</v>
      </c>
      <c r="G17" s="154">
        <f>(+G$129*'12. Planta'!$D15/1000)*-1</f>
        <v>2850.6252450000002</v>
      </c>
      <c r="H17" s="155">
        <f>(+H$129*'12. Planta'!$E15/1000)*-1</f>
        <v>2688.5825850000001</v>
      </c>
      <c r="I17" s="152">
        <f t="shared" si="13"/>
        <v>-5.6844602875885886E-2</v>
      </c>
      <c r="J17" s="154">
        <f>((+J$129*'12. Planta'!$D15)/1000)*-1</f>
        <v>2602.1091979999997</v>
      </c>
      <c r="K17" s="155">
        <f>((+K$129*'12. Planta'!$E15)/1000)*-1</f>
        <v>2454.1933339999996</v>
      </c>
      <c r="L17" s="152">
        <f t="shared" si="14"/>
        <v>-5.6844602875885997E-2</v>
      </c>
      <c r="M17" s="154">
        <f>((+M$129*'12. Planta'!$D15)/1000)*-1</f>
        <v>6826.8819970000004</v>
      </c>
      <c r="N17" s="155">
        <f>((+N$129*'12. Planta'!$E15)/1000)*-1</f>
        <v>6438.810601000001</v>
      </c>
      <c r="O17" s="152">
        <f t="shared" si="15"/>
        <v>-5.6844602875885775E-2</v>
      </c>
      <c r="P17" s="154">
        <v>0</v>
      </c>
      <c r="Q17" s="208">
        <v>0</v>
      </c>
      <c r="R17" s="152" t="str">
        <f t="shared" si="16"/>
        <v>n.a.</v>
      </c>
      <c r="S17" s="154">
        <f>((+S$129*'12. Planta'!$D15)/1000)*-1</f>
        <v>2338.9745600000001</v>
      </c>
      <c r="T17" s="155">
        <f>((+T$129*'12. Planta'!$E15)/1000)*-1</f>
        <v>2206.0164799999998</v>
      </c>
      <c r="U17" s="152">
        <f t="shared" si="17"/>
        <v>-5.6844602875886108E-2</v>
      </c>
      <c r="V17" s="154">
        <v>0</v>
      </c>
      <c r="W17" s="155">
        <v>0</v>
      </c>
      <c r="X17" s="152" t="str">
        <f t="shared" si="18"/>
        <v>n.a.</v>
      </c>
      <c r="Y17" s="251">
        <f>((+'21.Procesos '!D15)/1000)*-1</f>
        <v>0</v>
      </c>
      <c r="Z17" s="155">
        <f>((+'21.Procesos '!E15)/1000)*-1</f>
        <v>394.24</v>
      </c>
      <c r="AA17" s="152" t="str">
        <f t="shared" si="19"/>
        <v>n.a.</v>
      </c>
      <c r="AB17" s="192">
        <f>+V17+S17+P17+M17+J17+G17+D17+Y17</f>
        <v>14618.591</v>
      </c>
      <c r="AC17" s="205">
        <f>+W17+T17+Q17+N17+K17+H17+E17+Z17</f>
        <v>14181.843000000001</v>
      </c>
      <c r="AD17" s="199">
        <f t="shared" si="20"/>
        <v>-2.9876203527412382E-2</v>
      </c>
      <c r="AE17" s="131"/>
      <c r="AI17" s="132">
        <f t="shared" ref="AI17:AK17" si="21">+AE16+AE18+AE27+AE37</f>
        <v>0</v>
      </c>
      <c r="AJ17" s="132">
        <f t="shared" si="21"/>
        <v>0</v>
      </c>
      <c r="AK17" s="132">
        <f t="shared" si="21"/>
        <v>0</v>
      </c>
    </row>
    <row r="18" spans="2:45" s="132" customFormat="1" ht="18" customHeight="1" x14ac:dyDescent="0.15">
      <c r="B18" s="449" t="s">
        <v>335</v>
      </c>
      <c r="C18" s="153" t="s">
        <v>17</v>
      </c>
      <c r="D18" s="154">
        <v>0</v>
      </c>
      <c r="E18" s="155">
        <v>0</v>
      </c>
      <c r="F18" s="152" t="str">
        <f t="shared" si="12"/>
        <v>n.a.</v>
      </c>
      <c r="G18" s="154">
        <f>(+'13. Maiz de Exportación'!D16/1000)*-1</f>
        <v>0</v>
      </c>
      <c r="H18" s="155">
        <f>(+'13. Maiz de Exportación'!E16/1000)*-1</f>
        <v>1981.146</v>
      </c>
      <c r="I18" s="152" t="str">
        <f t="shared" si="13"/>
        <v>n.a.</v>
      </c>
      <c r="J18" s="154">
        <f>((+'15. Maiz Local'!D16)/1000)*-1</f>
        <v>1246.7260000000001</v>
      </c>
      <c r="K18" s="155">
        <f>((+'15. Maiz Local'!E16)/1000)*-1</f>
        <v>1799.385</v>
      </c>
      <c r="L18" s="152">
        <f t="shared" si="14"/>
        <v>0.44328826061219528</v>
      </c>
      <c r="M18" s="154">
        <f>((+'16. Soya de Exportación'!D16)/1000)*-1</f>
        <v>3278.8910000000001</v>
      </c>
      <c r="N18" s="155">
        <f>((+'16. Soya de Exportación'!E16)/1000)*-1</f>
        <v>4743.8530000000001</v>
      </c>
      <c r="O18" s="152">
        <f t="shared" si="15"/>
        <v>0.44678581874176349</v>
      </c>
      <c r="P18" s="154">
        <v>0</v>
      </c>
      <c r="Q18" s="208">
        <v>0</v>
      </c>
      <c r="R18" s="152" t="str">
        <f t="shared" si="16"/>
        <v>n.a.</v>
      </c>
      <c r="S18" s="154">
        <f>((+'18. Canola y Girasol'!D16)/1000)*-1</f>
        <v>1122.0540000000001</v>
      </c>
      <c r="T18" s="155">
        <f>((+'18. Canola y Girasol'!E16)/1000)*-1</f>
        <v>1617.6279999999999</v>
      </c>
      <c r="U18" s="152">
        <f t="shared" si="17"/>
        <v>0.44166680035007211</v>
      </c>
      <c r="V18" s="154">
        <f>((+'20. Campos Propios'!D16)/1000)*-1</f>
        <v>5559.1530000000002</v>
      </c>
      <c r="W18" s="155">
        <f>((+'20. Campos Propios'!E16)/1000)*-1</f>
        <v>10492.498</v>
      </c>
      <c r="X18" s="152">
        <f t="shared" si="18"/>
        <v>0.88742745522564292</v>
      </c>
      <c r="Y18" s="246">
        <f>(+'21.Procesos '!D14)*-1</f>
        <v>0</v>
      </c>
      <c r="Z18" s="155">
        <v>0</v>
      </c>
      <c r="AA18" s="152" t="str">
        <f t="shared" si="19"/>
        <v>n.a.</v>
      </c>
      <c r="AB18" s="192">
        <f>+V18+S18+P18+M18+J18+G18+D18+Y18</f>
        <v>11206.824000000001</v>
      </c>
      <c r="AC18" s="205">
        <f>+W18+T18+Q18+N18+K18+H18+E18+Z18</f>
        <v>20634.509999999998</v>
      </c>
      <c r="AD18" s="199">
        <f t="shared" si="20"/>
        <v>0.84124511993763784</v>
      </c>
      <c r="AE18" s="131"/>
    </row>
    <row r="19" spans="2:45" s="132" customFormat="1" ht="18" customHeight="1" x14ac:dyDescent="0.15">
      <c r="B19" s="449" t="s">
        <v>335</v>
      </c>
      <c r="C19" s="153" t="s">
        <v>18</v>
      </c>
      <c r="D19" s="156">
        <f>(+'10. Remolacha'!D28/1000)*-1</f>
        <v>20</v>
      </c>
      <c r="E19" s="157">
        <f>(+'10. Remolacha'!E28/1000)*-1</f>
        <v>0</v>
      </c>
      <c r="F19" s="152">
        <f t="shared" si="12"/>
        <v>-1</v>
      </c>
      <c r="G19" s="156">
        <f>(+'13. Maiz de Exportación'!D17/1000)*-1</f>
        <v>1585.798</v>
      </c>
      <c r="H19" s="157">
        <f>(+'13. Maiz de Exportación'!E17/1000)*-1</f>
        <v>894.31200000000001</v>
      </c>
      <c r="I19" s="152">
        <f t="shared" si="13"/>
        <v>-0.43604923199550005</v>
      </c>
      <c r="J19" s="156">
        <f>((+'15. Maiz Local'!D17)/1000)*-1</f>
        <v>14017.374</v>
      </c>
      <c r="K19" s="157">
        <f>((+'15. Maiz Local'!E17)/1000)*-1</f>
        <v>-12734.365</v>
      </c>
      <c r="L19" s="152">
        <f t="shared" si="14"/>
        <v>-1.9084700886200225</v>
      </c>
      <c r="M19" s="156">
        <f>((+'16. Soya de Exportación'!D17)/1000)*-1</f>
        <v>904.38300000000004</v>
      </c>
      <c r="N19" s="157">
        <f>((+'16. Soya de Exportación'!E17)/1000)*-1</f>
        <v>2164.817</v>
      </c>
      <c r="O19" s="152">
        <f t="shared" si="15"/>
        <v>1.393694927923236</v>
      </c>
      <c r="P19" s="156">
        <f>(+'17. Alfalfa'!D28/1000)*-1</f>
        <v>0</v>
      </c>
      <c r="Q19" s="157">
        <f>(+'17. Alfalfa'!E28/1000)*-1</f>
        <v>0</v>
      </c>
      <c r="R19" s="152" t="str">
        <f t="shared" si="16"/>
        <v>n.a.</v>
      </c>
      <c r="S19" s="156">
        <f>((+'18. Canola y Girasol'!D17)/1000)*-1</f>
        <v>309.48500000000001</v>
      </c>
      <c r="T19" s="155">
        <f>((+'18. Canola y Girasol'!E17)/1000)*-1</f>
        <v>-10223.972</v>
      </c>
      <c r="U19" s="152">
        <f t="shared" si="17"/>
        <v>-34.03543628931935</v>
      </c>
      <c r="V19" s="156">
        <f>((+'20. Campos Propios'!D17)/1000)*-1</f>
        <v>3767.1869999999999</v>
      </c>
      <c r="W19" s="157">
        <f>((+'20. Campos Propios'!E17)/1000)*-1</f>
        <v>3667.4839999999999</v>
      </c>
      <c r="X19" s="152">
        <f t="shared" si="18"/>
        <v>-2.6466166930391277E-2</v>
      </c>
      <c r="Y19" s="246">
        <f>(+'21.Procesos '!D15)*-1</f>
        <v>0</v>
      </c>
      <c r="Z19" s="155">
        <v>0</v>
      </c>
      <c r="AA19" s="152" t="str">
        <f t="shared" si="19"/>
        <v>n.a.</v>
      </c>
      <c r="AB19" s="192">
        <f>+V19+S19+P19+M19+J19+G19+D19+Y19</f>
        <v>20604.226999999999</v>
      </c>
      <c r="AC19" s="205">
        <f>+W19+T19+Q19+N19+K19+H19+E19+Z19</f>
        <v>-16231.724</v>
      </c>
      <c r="AD19" s="199">
        <f t="shared" si="20"/>
        <v>-1.7877861178679502</v>
      </c>
      <c r="AE19" s="131"/>
    </row>
    <row r="20" spans="2:45" s="132" customFormat="1" ht="18" customHeight="1" x14ac:dyDescent="0.15">
      <c r="B20" s="449" t="s">
        <v>335</v>
      </c>
      <c r="C20" s="153" t="s">
        <v>19</v>
      </c>
      <c r="D20" s="154">
        <v>0</v>
      </c>
      <c r="E20" s="155">
        <v>0</v>
      </c>
      <c r="F20" s="152" t="str">
        <f t="shared" si="12"/>
        <v>n.a.</v>
      </c>
      <c r="G20" s="154">
        <v>0</v>
      </c>
      <c r="H20" s="155">
        <v>0</v>
      </c>
      <c r="I20" s="152" t="str">
        <f t="shared" si="13"/>
        <v>n.a.</v>
      </c>
      <c r="J20" s="154">
        <v>0</v>
      </c>
      <c r="K20" s="208">
        <f>-'15. Maiz Local'!E18/1000</f>
        <v>3921.1979999999999</v>
      </c>
      <c r="L20" s="152" t="str">
        <f t="shared" si="14"/>
        <v>n.a.</v>
      </c>
      <c r="M20" s="154">
        <v>0</v>
      </c>
      <c r="N20" s="155">
        <v>0</v>
      </c>
      <c r="O20" s="152" t="str">
        <f t="shared" si="15"/>
        <v>n.a.</v>
      </c>
      <c r="P20" s="154">
        <v>0</v>
      </c>
      <c r="Q20" s="208">
        <f>+'15. Maiz Local'!E30/1000</f>
        <v>0</v>
      </c>
      <c r="R20" s="152" t="str">
        <f t="shared" si="16"/>
        <v>n.a.</v>
      </c>
      <c r="S20" s="154">
        <f>+'18. Canola y Girasol'!D18</f>
        <v>0</v>
      </c>
      <c r="T20" s="208">
        <f>-'18. Canola y Girasol'!E18/1000</f>
        <v>448</v>
      </c>
      <c r="U20" s="152" t="str">
        <f t="shared" si="17"/>
        <v>n.a.</v>
      </c>
      <c r="V20" s="154">
        <v>0</v>
      </c>
      <c r="W20" s="155">
        <v>0</v>
      </c>
      <c r="X20" s="152" t="str">
        <f t="shared" si="18"/>
        <v>n.a.</v>
      </c>
      <c r="Y20" s="154">
        <v>0</v>
      </c>
      <c r="Z20" s="155">
        <v>0</v>
      </c>
      <c r="AA20" s="152" t="str">
        <f t="shared" si="19"/>
        <v>n.a.</v>
      </c>
      <c r="AB20" s="192">
        <f>+V20+S20+P20+M20+J20+G20+D20+Y20</f>
        <v>0</v>
      </c>
      <c r="AC20" s="205">
        <f>+W20+T20+Q20+N20+K20+H20+E20+Z20</f>
        <v>4369.1980000000003</v>
      </c>
      <c r="AD20" s="199" t="str">
        <f t="shared" si="20"/>
        <v>n.a.</v>
      </c>
      <c r="AE20" s="131"/>
    </row>
    <row r="21" spans="2:45" s="132" customFormat="1" ht="18" customHeight="1" x14ac:dyDescent="0.15">
      <c r="B21" s="449" t="s">
        <v>335</v>
      </c>
      <c r="C21" s="153" t="s">
        <v>20</v>
      </c>
      <c r="D21" s="154"/>
      <c r="E21" s="155"/>
      <c r="F21" s="152" t="str">
        <f t="shared" si="12"/>
        <v>n.a.</v>
      </c>
      <c r="G21" s="154">
        <v>0</v>
      </c>
      <c r="H21" s="155">
        <v>0</v>
      </c>
      <c r="I21" s="152" t="str">
        <f t="shared" si="13"/>
        <v>n.a.</v>
      </c>
      <c r="J21" s="245">
        <f>(+'Base de Datos'!E15)*-1</f>
        <v>0</v>
      </c>
      <c r="K21" s="67">
        <f>(+'Base de Datos'!F15)*-1</f>
        <v>0</v>
      </c>
      <c r="L21" s="223" t="str">
        <f t="shared" si="14"/>
        <v>n.a.</v>
      </c>
      <c r="M21" s="154"/>
      <c r="N21" s="155"/>
      <c r="O21" s="152" t="str">
        <f t="shared" si="15"/>
        <v>n.a.</v>
      </c>
      <c r="P21" s="154">
        <v>0</v>
      </c>
      <c r="Q21" s="155">
        <v>0</v>
      </c>
      <c r="R21" s="152" t="str">
        <f t="shared" si="16"/>
        <v>n.a.</v>
      </c>
      <c r="S21" s="154">
        <f>(+'18. Canola y Girasol'!$D$19)*-1</f>
        <v>0</v>
      </c>
      <c r="T21" s="67">
        <f>(+'18. Canola y Girasol'!$E$19)/1000*-1</f>
        <v>179322.62</v>
      </c>
      <c r="U21" s="223" t="str">
        <f t="shared" si="17"/>
        <v>n.a.</v>
      </c>
      <c r="V21" s="154">
        <v>0</v>
      </c>
      <c r="W21" s="155">
        <v>0</v>
      </c>
      <c r="X21" s="152" t="str">
        <f t="shared" si="18"/>
        <v>n.a.</v>
      </c>
      <c r="Y21" s="154">
        <v>0</v>
      </c>
      <c r="Z21" s="155">
        <v>0</v>
      </c>
      <c r="AA21" s="152" t="str">
        <f t="shared" si="19"/>
        <v>n.a.</v>
      </c>
      <c r="AB21" s="192">
        <f>+V21+S21+P21+M21+J21+G21+D21+Y21</f>
        <v>0</v>
      </c>
      <c r="AC21" s="205">
        <f>+W21+T21+Q21+N21+K21+H21+E21+Z21</f>
        <v>179322.62</v>
      </c>
      <c r="AD21" s="199" t="str">
        <f t="shared" si="20"/>
        <v>n.a.</v>
      </c>
      <c r="AE21" s="131"/>
      <c r="AS21" s="158"/>
    </row>
    <row r="22" spans="2:45" s="132" customFormat="1" ht="18" customHeight="1" x14ac:dyDescent="0.15">
      <c r="B22" s="449" t="s">
        <v>326</v>
      </c>
      <c r="C22" s="147" t="s">
        <v>323</v>
      </c>
      <c r="D22" s="148">
        <f>SUM(D13:D21)</f>
        <v>20</v>
      </c>
      <c r="E22" s="149">
        <f>SUM(E13:E21)</f>
        <v>0</v>
      </c>
      <c r="F22" s="150">
        <f t="shared" si="12"/>
        <v>-1</v>
      </c>
      <c r="G22" s="148">
        <f>SUM(G13:G21)</f>
        <v>8166.6377949999996</v>
      </c>
      <c r="H22" s="149">
        <f>SUM(H13:H21)</f>
        <v>7339.8297299999995</v>
      </c>
      <c r="I22" s="150">
        <f t="shared" si="13"/>
        <v>-0.10124216179958545</v>
      </c>
      <c r="J22" s="148">
        <f>SUM(J13:J21)</f>
        <v>20019.384418000001</v>
      </c>
      <c r="K22" s="149">
        <f>SUM(K13:K21)</f>
        <v>-2938.6119080000003</v>
      </c>
      <c r="L22" s="150">
        <f t="shared" si="14"/>
        <v>-1.1467883250874493</v>
      </c>
      <c r="M22" s="148">
        <f>SUM(M13:M21)</f>
        <v>16659.216827</v>
      </c>
      <c r="N22" s="149">
        <f>SUM(N13:N21)</f>
        <v>17600.267938000001</v>
      </c>
      <c r="O22" s="150">
        <f t="shared" si="15"/>
        <v>5.648831639401064E-2</v>
      </c>
      <c r="P22" s="148">
        <f>SUM(P13:P21)</f>
        <v>0</v>
      </c>
      <c r="Q22" s="149">
        <f>SUM(Q13:Q21)</f>
        <v>0</v>
      </c>
      <c r="R22" s="150" t="str">
        <f t="shared" si="16"/>
        <v>n.a.</v>
      </c>
      <c r="S22" s="148">
        <f>SUM(S13:S21)</f>
        <v>5705.9519600000003</v>
      </c>
      <c r="T22" s="226">
        <f>SUM(T13:T21)</f>
        <v>174827.35024</v>
      </c>
      <c r="U22" s="150">
        <f t="shared" si="17"/>
        <v>29.63947111114479</v>
      </c>
      <c r="V22" s="148">
        <f>SUM(V13:V21)</f>
        <v>9326.34</v>
      </c>
      <c r="W22" s="226">
        <f>SUM(W13:W21)</f>
        <v>14159.982</v>
      </c>
      <c r="X22" s="150">
        <f t="shared" si="18"/>
        <v>0.51827855300149905</v>
      </c>
      <c r="Y22" s="148">
        <f>SUM(Y13:Y21)</f>
        <v>0</v>
      </c>
      <c r="Z22" s="149">
        <f>SUM(Z13:Z21)</f>
        <v>4221.3379999999997</v>
      </c>
      <c r="AA22" s="150" t="str">
        <f t="shared" si="19"/>
        <v>n.a.</v>
      </c>
      <c r="AB22" s="192">
        <f>SUM(AB13:AB21)</f>
        <v>59897.531000000003</v>
      </c>
      <c r="AC22" s="192">
        <f>SUM(AC13:AC21)</f>
        <v>215210.15600000002</v>
      </c>
      <c r="AD22" s="199">
        <f t="shared" si="20"/>
        <v>2.5929720709189166</v>
      </c>
      <c r="AE22" s="131"/>
    </row>
    <row r="23" spans="2:45" s="132" customFormat="1" ht="18" customHeight="1" x14ac:dyDescent="0.15">
      <c r="B23" s="449"/>
      <c r="C23" s="147"/>
      <c r="D23" s="148"/>
      <c r="E23" s="149"/>
      <c r="F23" s="152"/>
      <c r="G23" s="148"/>
      <c r="H23" s="149"/>
      <c r="I23" s="152"/>
      <c r="J23" s="148"/>
      <c r="K23" s="149"/>
      <c r="L23" s="152"/>
      <c r="M23" s="148"/>
      <c r="N23" s="149"/>
      <c r="O23" s="152"/>
      <c r="P23" s="148"/>
      <c r="Q23" s="149"/>
      <c r="R23" s="152"/>
      <c r="S23" s="148"/>
      <c r="T23" s="149"/>
      <c r="U23" s="152"/>
      <c r="V23" s="148"/>
      <c r="W23" s="149"/>
      <c r="X23" s="152"/>
      <c r="Y23" s="148"/>
      <c r="Z23" s="149"/>
      <c r="AA23" s="152"/>
      <c r="AB23" s="192"/>
      <c r="AC23" s="205"/>
      <c r="AD23" s="199"/>
      <c r="AE23" s="131"/>
    </row>
    <row r="24" spans="2:45" s="132" customFormat="1" ht="18" customHeight="1" x14ac:dyDescent="0.15">
      <c r="B24" s="449" t="s">
        <v>327</v>
      </c>
      <c r="C24" s="159" t="s">
        <v>22</v>
      </c>
      <c r="D24" s="249">
        <f>+D8-D22</f>
        <v>-20</v>
      </c>
      <c r="E24" s="161">
        <f>+E8-E22</f>
        <v>0</v>
      </c>
      <c r="F24" s="250">
        <f>+IFERROR(E24/D24-1,"n.a.")</f>
        <v>-1</v>
      </c>
      <c r="G24" s="249">
        <f>+G8-G22</f>
        <v>-8166.6377949999996</v>
      </c>
      <c r="H24" s="161">
        <f>+H8-H22</f>
        <v>-7339.8297299999995</v>
      </c>
      <c r="I24" s="162">
        <f>+IFERROR(H24/G24-1,"n.a.")</f>
        <v>-0.10124216179958545</v>
      </c>
      <c r="J24" s="249">
        <f>+J8-J22</f>
        <v>99330.615581999999</v>
      </c>
      <c r="K24" s="161">
        <f>+K8-K22</f>
        <v>3070.7309080000005</v>
      </c>
      <c r="L24" s="162">
        <f>+IFERROR(K24/J24-1,"n.a.")</f>
        <v>-0.96908575578629097</v>
      </c>
      <c r="M24" s="249">
        <f>+M8-M22</f>
        <v>-16659.216827</v>
      </c>
      <c r="N24" s="161">
        <f>+N8-N22</f>
        <v>-17600.267938000001</v>
      </c>
      <c r="O24" s="250">
        <f>+IFERROR(N24/M24-1,"n.a.")</f>
        <v>5.648831639401064E-2</v>
      </c>
      <c r="P24" s="249">
        <f>+P8-P22</f>
        <v>0</v>
      </c>
      <c r="Q24" s="161">
        <f>+Q8-Q22</f>
        <v>3350</v>
      </c>
      <c r="R24" s="250" t="str">
        <f>+IFERROR(Q24/P24-1,"n.a.")</f>
        <v>n.a.</v>
      </c>
      <c r="S24" s="160">
        <f>+S8-S22</f>
        <v>-5705.9519600000003</v>
      </c>
      <c r="T24" s="286">
        <f>+T8-T22</f>
        <v>-174422.35024</v>
      </c>
      <c r="U24" s="162">
        <f>+IFERROR(T24/S24-1,"n.a.")</f>
        <v>29.568492595580842</v>
      </c>
      <c r="V24" s="249">
        <f>+V8-V22</f>
        <v>-9326.34</v>
      </c>
      <c r="W24" s="161">
        <f>+W8-W22</f>
        <v>-14159.982</v>
      </c>
      <c r="X24" s="250">
        <f>+IFERROR(W24/V24-1,"n.a.")</f>
        <v>0.51827855300149905</v>
      </c>
      <c r="Y24" s="249">
        <f>+Y8-Y22</f>
        <v>0</v>
      </c>
      <c r="Z24" s="253">
        <f>+Z8-Z22</f>
        <v>-1774.3879999999999</v>
      </c>
      <c r="AA24" s="250" t="str">
        <f>+IFERROR(Z24/Y24-1,"n.a.")</f>
        <v>n.a.</v>
      </c>
      <c r="AB24" s="206">
        <f>+AB8-AB22</f>
        <v>59452.468999999997</v>
      </c>
      <c r="AC24" s="354">
        <f>+AC8-AC22</f>
        <v>-208876.08700000003</v>
      </c>
      <c r="AD24" s="200">
        <f>+IFERROR(AC24/AB24-1,"n.a.")</f>
        <v>-4.5133290595551223</v>
      </c>
      <c r="AE24" s="131"/>
    </row>
    <row r="25" spans="2:45" s="132" customFormat="1" ht="18" customHeight="1" x14ac:dyDescent="0.15">
      <c r="B25" s="449"/>
      <c r="C25" s="147"/>
      <c r="D25" s="444"/>
      <c r="E25" s="149"/>
      <c r="F25" s="150"/>
      <c r="G25" s="444"/>
      <c r="H25" s="149"/>
      <c r="I25" s="150"/>
      <c r="J25" s="444"/>
      <c r="K25" s="149"/>
      <c r="L25" s="150"/>
      <c r="M25" s="444"/>
      <c r="N25" s="149"/>
      <c r="O25" s="150"/>
      <c r="P25" s="444"/>
      <c r="Q25" s="149"/>
      <c r="R25" s="150"/>
      <c r="S25" s="148"/>
      <c r="T25" s="226"/>
      <c r="U25" s="150"/>
      <c r="V25" s="444"/>
      <c r="W25" s="149"/>
      <c r="X25" s="150"/>
      <c r="Y25" s="444"/>
      <c r="Z25" s="445"/>
      <c r="AA25" s="150"/>
      <c r="AB25" s="205"/>
      <c r="AC25" s="205"/>
      <c r="AD25" s="198"/>
      <c r="AE25" s="131"/>
    </row>
    <row r="26" spans="2:45" s="132" customFormat="1" ht="18" customHeight="1" x14ac:dyDescent="0.15">
      <c r="B26" s="451" t="s">
        <v>336</v>
      </c>
      <c r="C26" s="147" t="s">
        <v>329</v>
      </c>
      <c r="D26" s="148"/>
      <c r="E26" s="149"/>
      <c r="F26" s="152"/>
      <c r="G26" s="148"/>
      <c r="H26" s="149"/>
      <c r="I26" s="152"/>
      <c r="J26" s="148"/>
      <c r="K26" s="149"/>
      <c r="L26" s="152"/>
      <c r="M26" s="148"/>
      <c r="N26" s="149"/>
      <c r="O26" s="152"/>
      <c r="P26" s="148"/>
      <c r="Q26" s="149"/>
      <c r="R26" s="152"/>
      <c r="S26" s="148"/>
      <c r="T26" s="149"/>
      <c r="U26" s="152"/>
      <c r="V26" s="148"/>
      <c r="W26" s="149"/>
      <c r="X26" s="152"/>
      <c r="Y26" s="148"/>
      <c r="Z26" s="149"/>
      <c r="AA26" s="152"/>
      <c r="AB26" s="192"/>
      <c r="AC26" s="205"/>
      <c r="AD26" s="199"/>
      <c r="AE26" s="131"/>
    </row>
    <row r="27" spans="2:45" s="132" customFormat="1" ht="18" customHeight="1" x14ac:dyDescent="0.15">
      <c r="B27" s="449" t="s">
        <v>337</v>
      </c>
      <c r="C27" s="153" t="s">
        <v>23</v>
      </c>
      <c r="D27" s="156"/>
      <c r="E27" s="157"/>
      <c r="F27" s="152" t="str">
        <f t="shared" ref="F27:F62" si="22">+IFERROR(E27/D27-1,"n.a.")</f>
        <v>n.a.</v>
      </c>
      <c r="G27" s="156"/>
      <c r="H27" s="157"/>
      <c r="I27" s="152" t="str">
        <f t="shared" ref="I27:I62" si="23">+IFERROR(H27/G27-1,"n.a.")</f>
        <v>n.a.</v>
      </c>
      <c r="J27" s="156">
        <f>((+J$128*'11. Ventas Mer. Local'!$D$24)/1000)*-1</f>
        <v>4443.9623999999994</v>
      </c>
      <c r="K27" s="157">
        <f>((+K$128*'11. Ventas Mer. Local'!$E$24)/1000)*-1</f>
        <v>4124.1228000000001</v>
      </c>
      <c r="L27" s="152">
        <f t="shared" ref="L27:L62" si="24">+IFERROR(K27/J27-1,"n.a.")</f>
        <v>-7.1971716052322887E-2</v>
      </c>
      <c r="M27" s="156"/>
      <c r="N27" s="157"/>
      <c r="O27" s="152" t="str">
        <f t="shared" ref="O27:O62" si="25">+IFERROR(N27/M27-1,"n.a.")</f>
        <v>n.a.</v>
      </c>
      <c r="P27" s="156">
        <f>((+P$128*'11. Ventas Mer. Local'!$D$24)/1000)*-1</f>
        <v>592.52832000000012</v>
      </c>
      <c r="Q27" s="157">
        <f>((+Q$128*'11. Ventas Mer. Local'!$E$24)/1000)*-1</f>
        <v>549.88304000000005</v>
      </c>
      <c r="R27" s="152">
        <f t="shared" ref="R27:R62" si="26">+IFERROR(Q27/P27-1,"n.a.")</f>
        <v>-7.1971716052323109E-2</v>
      </c>
      <c r="S27" s="156">
        <f>((+S$128*'11. Ventas Mer. Local'!$D$24)/1000)*-1</f>
        <v>2370.1132800000005</v>
      </c>
      <c r="T27" s="157">
        <f>((+T$128*'11. Ventas Mer. Local'!$E$24)/1000)*-1</f>
        <v>2199.5321600000002</v>
      </c>
      <c r="U27" s="152">
        <f t="shared" ref="U27:U62" si="27">+IFERROR(T27/S27-1,"n.a.")</f>
        <v>-7.1971716052323109E-2</v>
      </c>
      <c r="V27" s="156"/>
      <c r="W27" s="157"/>
      <c r="X27" s="152" t="str">
        <f t="shared" ref="X27:X62" si="28">+IFERROR(W27/V27-1,"n.a.")</f>
        <v>n.a.</v>
      </c>
      <c r="Y27" s="156"/>
      <c r="Z27" s="157"/>
      <c r="AA27" s="152" t="str">
        <f t="shared" ref="AA27:AA62" si="29">+IFERROR(Z27/Y27-1,"n.a.")</f>
        <v>n.a.</v>
      </c>
      <c r="AB27" s="192">
        <f>+V27+S27+P27+M27+J27+G27+D27+Y27</f>
        <v>7406.6040000000003</v>
      </c>
      <c r="AC27" s="205">
        <f>+W27+T27+Q27+N27+K27+H27+E27+Z27</f>
        <v>6873.5380000000005</v>
      </c>
      <c r="AD27" s="199">
        <f t="shared" ref="AD27:AD62" si="30">+IFERROR(AC27/AB27-1,"n.a.")</f>
        <v>-7.1971716052322998E-2</v>
      </c>
      <c r="AE27" s="131"/>
    </row>
    <row r="28" spans="2:45" s="132" customFormat="1" ht="18" customHeight="1" x14ac:dyDescent="0.15">
      <c r="B28" s="449" t="s">
        <v>337</v>
      </c>
      <c r="C28" s="153" t="s">
        <v>24</v>
      </c>
      <c r="D28" s="156"/>
      <c r="E28" s="157"/>
      <c r="F28" s="152" t="str">
        <f t="shared" si="22"/>
        <v>n.a.</v>
      </c>
      <c r="G28" s="156"/>
      <c r="H28" s="157"/>
      <c r="I28" s="152" t="str">
        <f t="shared" si="23"/>
        <v>n.a.</v>
      </c>
      <c r="J28" s="156">
        <f>((+J$128*'11. Ventas Mer. Local'!$D$25)/1000)*-1</f>
        <v>273.42</v>
      </c>
      <c r="K28" s="157">
        <f>((+K$128*'11. Ventas Mer. Local'!$E$25)/1000)*-1</f>
        <v>750.71400000000006</v>
      </c>
      <c r="L28" s="152">
        <f t="shared" si="24"/>
        <v>1.7456440640772439</v>
      </c>
      <c r="M28" s="156"/>
      <c r="N28" s="157"/>
      <c r="O28" s="152" t="str">
        <f t="shared" si="25"/>
        <v>n.a.</v>
      </c>
      <c r="P28" s="156">
        <f>((+P$128*'11. Ventas Mer. Local'!$D$25)/1000)*-1</f>
        <v>36.456000000000003</v>
      </c>
      <c r="Q28" s="157">
        <f>((+Q$128*'11. Ventas Mer. Local'!$E$25)/1000)*-1</f>
        <v>100.09519999999999</v>
      </c>
      <c r="R28" s="152">
        <f t="shared" si="26"/>
        <v>1.7456440640772435</v>
      </c>
      <c r="S28" s="156">
        <f>((+S$128*'11. Ventas Mer. Local'!$D$25)/1000)*-1</f>
        <v>145.82400000000001</v>
      </c>
      <c r="T28" s="157">
        <f>((+T$128*'11. Ventas Mer. Local'!$E$25)/1000)*-1</f>
        <v>400.38079999999997</v>
      </c>
      <c r="U28" s="152">
        <f t="shared" si="27"/>
        <v>1.7456440640772435</v>
      </c>
      <c r="V28" s="156"/>
      <c r="W28" s="157"/>
      <c r="X28" s="152" t="str">
        <f t="shared" si="28"/>
        <v>n.a.</v>
      </c>
      <c r="Y28" s="156"/>
      <c r="Z28" s="157"/>
      <c r="AA28" s="152" t="str">
        <f t="shared" si="29"/>
        <v>n.a.</v>
      </c>
      <c r="AB28" s="192">
        <f>+V28+S28+P28+M28+J28+G28+D28+Y28</f>
        <v>455.70000000000005</v>
      </c>
      <c r="AC28" s="192">
        <f>+W28+T28+Q28+N28+K28+H28+E28+Z28</f>
        <v>1251.19</v>
      </c>
      <c r="AD28" s="199">
        <f t="shared" si="30"/>
        <v>1.7456440640772435</v>
      </c>
      <c r="AE28" s="131"/>
    </row>
    <row r="29" spans="2:45" s="132" customFormat="1" ht="18" customHeight="1" x14ac:dyDescent="0.15">
      <c r="B29" s="449" t="s">
        <v>337</v>
      </c>
      <c r="C29" s="153" t="s">
        <v>25</v>
      </c>
      <c r="D29" s="156"/>
      <c r="E29" s="157"/>
      <c r="F29" s="152" t="str">
        <f t="shared" si="22"/>
        <v>n.a.</v>
      </c>
      <c r="G29" s="156">
        <f>(+'13. Maiz de Exportación'!D26/1000)*-1</f>
        <v>630</v>
      </c>
      <c r="H29" s="157">
        <f>(+'13. Maiz de Exportación'!E26/1000)*-1</f>
        <v>0</v>
      </c>
      <c r="I29" s="152">
        <f t="shared" si="23"/>
        <v>-1</v>
      </c>
      <c r="J29" s="156">
        <f>((+'15. Maiz Local'!D26)/1000)*-1</f>
        <v>2300</v>
      </c>
      <c r="K29" s="157">
        <f>((+'15. Maiz Local'!E26)/1000)*-1</f>
        <v>2369.3130000000001</v>
      </c>
      <c r="L29" s="152">
        <f t="shared" si="24"/>
        <v>3.0136086956521702E-2</v>
      </c>
      <c r="M29" s="156">
        <f>(+'16. Soya de Exportación'!D26)/1000</f>
        <v>0</v>
      </c>
      <c r="N29" s="157">
        <f>(+'16. Soya de Exportación'!E26)/1000</f>
        <v>0</v>
      </c>
      <c r="O29" s="152" t="str">
        <f t="shared" si="25"/>
        <v>n.a.</v>
      </c>
      <c r="P29" s="224">
        <f>(+'17. Alfalfa'!D26/1000)*-1</f>
        <v>0</v>
      </c>
      <c r="Q29" s="225">
        <f>(+'17. Alfalfa'!E26/1000)*-1</f>
        <v>0</v>
      </c>
      <c r="R29" s="223" t="str">
        <f t="shared" si="26"/>
        <v>n.a.</v>
      </c>
      <c r="S29" s="156">
        <f>((+'18. Canola y Girasol'!D26)/1000)*-1</f>
        <v>0</v>
      </c>
      <c r="T29" s="157">
        <f>((+'18. Canola y Girasol'!E26)/1000)*-1</f>
        <v>0</v>
      </c>
      <c r="U29" s="152" t="str">
        <f t="shared" si="27"/>
        <v>n.a.</v>
      </c>
      <c r="V29" s="156"/>
      <c r="W29" s="157"/>
      <c r="X29" s="152" t="str">
        <f t="shared" si="28"/>
        <v>n.a.</v>
      </c>
      <c r="Y29" s="156"/>
      <c r="Z29" s="157"/>
      <c r="AA29" s="152" t="str">
        <f t="shared" si="29"/>
        <v>n.a.</v>
      </c>
      <c r="AB29" s="192">
        <f>+V29+S29+P29+M29+J29+G29+D29+Y29</f>
        <v>2930</v>
      </c>
      <c r="AC29" s="205">
        <f>+W29+T29+Q29+N29+K29+H29+E29+Z29</f>
        <v>2369.3130000000001</v>
      </c>
      <c r="AD29" s="199">
        <f t="shared" si="30"/>
        <v>-0.19136075085324233</v>
      </c>
      <c r="AE29" s="131"/>
    </row>
    <row r="30" spans="2:45" s="132" customFormat="1" ht="18" customHeight="1" x14ac:dyDescent="0.15">
      <c r="B30" s="449" t="s">
        <v>337</v>
      </c>
      <c r="C30" s="153" t="s">
        <v>26</v>
      </c>
      <c r="D30" s="156"/>
      <c r="E30" s="157"/>
      <c r="F30" s="152" t="str">
        <f t="shared" si="22"/>
        <v>n.a.</v>
      </c>
      <c r="G30" s="156"/>
      <c r="H30" s="157"/>
      <c r="I30" s="152" t="str">
        <f t="shared" si="23"/>
        <v>n.a.</v>
      </c>
      <c r="J30" s="156">
        <f>((+'15. Maiz Local'!D27)/1000)*-1</f>
        <v>0</v>
      </c>
      <c r="K30" s="157">
        <f>((+'15. Maiz Local'!E27)/1000)*-1</f>
        <v>0</v>
      </c>
      <c r="L30" s="152" t="str">
        <f t="shared" si="24"/>
        <v>n.a.</v>
      </c>
      <c r="M30" s="156"/>
      <c r="N30" s="157"/>
      <c r="O30" s="152" t="str">
        <f t="shared" si="25"/>
        <v>n.a.</v>
      </c>
      <c r="P30" s="156">
        <v>0</v>
      </c>
      <c r="Q30" s="157">
        <v>0</v>
      </c>
      <c r="R30" s="152" t="str">
        <f t="shared" si="26"/>
        <v>n.a.</v>
      </c>
      <c r="S30" s="156">
        <f>((+'18. Canola y Girasol'!D27)/1000)*-1</f>
        <v>0</v>
      </c>
      <c r="T30" s="157">
        <v>0</v>
      </c>
      <c r="U30" s="152" t="str">
        <f t="shared" si="27"/>
        <v>n.a.</v>
      </c>
      <c r="V30" s="156"/>
      <c r="W30" s="157"/>
      <c r="X30" s="152" t="str">
        <f t="shared" si="28"/>
        <v>n.a.</v>
      </c>
      <c r="Y30" s="156"/>
      <c r="Z30" s="157"/>
      <c r="AA30" s="152" t="str">
        <f t="shared" si="29"/>
        <v>n.a.</v>
      </c>
      <c r="AB30" s="192">
        <f>+V30+S30+P30+M30+J30+G30+D30+Y30</f>
        <v>0</v>
      </c>
      <c r="AC30" s="205">
        <f>+W30+T30+Q30+N30+K30+H30+E30+Z30</f>
        <v>0</v>
      </c>
      <c r="AD30" s="199" t="str">
        <f t="shared" si="30"/>
        <v>n.a.</v>
      </c>
      <c r="AE30" s="131"/>
    </row>
    <row r="31" spans="2:45" s="132" customFormat="1" ht="18" customHeight="1" x14ac:dyDescent="0.15">
      <c r="B31" s="449" t="s">
        <v>337</v>
      </c>
      <c r="C31" s="163" t="s">
        <v>27</v>
      </c>
      <c r="D31" s="156">
        <v>0</v>
      </c>
      <c r="E31" s="157">
        <v>0</v>
      </c>
      <c r="F31" s="152" t="str">
        <f t="shared" si="22"/>
        <v>n.a.</v>
      </c>
      <c r="G31" s="156"/>
      <c r="H31" s="157"/>
      <c r="I31" s="152" t="str">
        <f t="shared" si="23"/>
        <v>n.a.</v>
      </c>
      <c r="J31" s="156">
        <f>((+J$128*'11. Ventas Mer. Local'!$D$28)/1000)*-1</f>
        <v>1905.5291999999999</v>
      </c>
      <c r="K31" s="157">
        <f>((+K$128*'11. Ventas Mer. Local'!$E$28)/1000)*-1</f>
        <v>1569.9078</v>
      </c>
      <c r="L31" s="152">
        <f t="shared" si="24"/>
        <v>-0.17613028443751999</v>
      </c>
      <c r="M31" s="156"/>
      <c r="N31" s="157"/>
      <c r="O31" s="152" t="str">
        <f t="shared" si="25"/>
        <v>n.a.</v>
      </c>
      <c r="P31" s="156">
        <f>((+P$128*'11. Ventas Mer. Local'!$D$28)/1000)*-1</f>
        <v>254.07056</v>
      </c>
      <c r="Q31" s="157">
        <f>((+Q$128*'11. Ventas Mer. Local'!$E$28)/1000)*-1</f>
        <v>209.32104000000001</v>
      </c>
      <c r="R31" s="152">
        <f t="shared" si="26"/>
        <v>-0.17613028443751999</v>
      </c>
      <c r="S31" s="156">
        <f>((+S$128*'11. Ventas Mer. Local'!$D$28)/1000)*-1</f>
        <v>1016.28224</v>
      </c>
      <c r="T31" s="157">
        <f>((+T$128*'11. Ventas Mer. Local'!$E$28)/1000)*-1</f>
        <v>837.28416000000004</v>
      </c>
      <c r="U31" s="152">
        <f t="shared" si="27"/>
        <v>-0.17613028443751999</v>
      </c>
      <c r="V31" s="156"/>
      <c r="W31" s="157"/>
      <c r="X31" s="152" t="str">
        <f t="shared" si="28"/>
        <v>n.a.</v>
      </c>
      <c r="Y31" s="156"/>
      <c r="Z31" s="157"/>
      <c r="AA31" s="152" t="str">
        <f t="shared" si="29"/>
        <v>n.a.</v>
      </c>
      <c r="AB31" s="192">
        <f>+V31+S31+P31+M31+J31+G31+D31+Y31</f>
        <v>3175.8820000000001</v>
      </c>
      <c r="AC31" s="205">
        <f>+W31+T31+Q31+N31+K31+H31+E31+Z31</f>
        <v>2616.5129999999999</v>
      </c>
      <c r="AD31" s="199">
        <f t="shared" si="30"/>
        <v>-0.1761302844375201</v>
      </c>
      <c r="AE31" s="131"/>
    </row>
    <row r="32" spans="2:45" s="132" customFormat="1" ht="18" customHeight="1" x14ac:dyDescent="0.15">
      <c r="B32" s="449" t="s">
        <v>337</v>
      </c>
      <c r="C32" s="153" t="s">
        <v>28</v>
      </c>
      <c r="D32" s="156"/>
      <c r="E32" s="157"/>
      <c r="F32" s="152" t="str">
        <f t="shared" si="22"/>
        <v>n.a.</v>
      </c>
      <c r="G32" s="156"/>
      <c r="H32" s="157"/>
      <c r="I32" s="152" t="str">
        <f t="shared" si="23"/>
        <v>n.a.</v>
      </c>
      <c r="J32" s="156">
        <f>((+'15. Maiz Local'!D29)/1000)*-1</f>
        <v>0</v>
      </c>
      <c r="K32" s="157">
        <f>((+'15. Maiz Local'!E29)/1000)*-1</f>
        <v>0</v>
      </c>
      <c r="L32" s="152" t="str">
        <f t="shared" si="24"/>
        <v>n.a.</v>
      </c>
      <c r="M32" s="156"/>
      <c r="N32" s="157"/>
      <c r="O32" s="152" t="str">
        <f t="shared" si="25"/>
        <v>n.a.</v>
      </c>
      <c r="P32" s="156">
        <v>0</v>
      </c>
      <c r="Q32" s="157">
        <v>0</v>
      </c>
      <c r="R32" s="152" t="str">
        <f t="shared" si="26"/>
        <v>n.a.</v>
      </c>
      <c r="S32" s="156">
        <f>((+'18. Canola y Girasol'!D29)/1000)*-1</f>
        <v>0</v>
      </c>
      <c r="T32" s="157">
        <f>((+'18. Canola y Girasol'!E29)/1000)*-1</f>
        <v>0</v>
      </c>
      <c r="U32" s="152" t="str">
        <f t="shared" si="27"/>
        <v>n.a.</v>
      </c>
      <c r="V32" s="156"/>
      <c r="W32" s="157"/>
      <c r="X32" s="152" t="str">
        <f t="shared" si="28"/>
        <v>n.a.</v>
      </c>
      <c r="Y32" s="156"/>
      <c r="Z32" s="157"/>
      <c r="AA32" s="152" t="str">
        <f t="shared" si="29"/>
        <v>n.a.</v>
      </c>
      <c r="AB32" s="192">
        <f>+V32+S32+P32+M32+J32+G32+D32+Y32</f>
        <v>0</v>
      </c>
      <c r="AC32" s="205">
        <f>+W32+T32+Q32+N32+K32+H32+E32+Z32</f>
        <v>0</v>
      </c>
      <c r="AD32" s="199" t="str">
        <f t="shared" si="30"/>
        <v>n.a.</v>
      </c>
      <c r="AE32" s="131"/>
    </row>
    <row r="33" spans="2:31" s="132" customFormat="1" ht="18" customHeight="1" x14ac:dyDescent="0.15">
      <c r="B33" s="449" t="s">
        <v>337</v>
      </c>
      <c r="C33" s="153" t="s">
        <v>29</v>
      </c>
      <c r="D33" s="156"/>
      <c r="E33" s="157"/>
      <c r="F33" s="152" t="str">
        <f t="shared" si="22"/>
        <v>n.a.</v>
      </c>
      <c r="G33" s="156"/>
      <c r="H33" s="157"/>
      <c r="I33" s="152" t="str">
        <f t="shared" si="23"/>
        <v>n.a.</v>
      </c>
      <c r="J33" s="156">
        <v>0</v>
      </c>
      <c r="K33" s="157">
        <v>0</v>
      </c>
      <c r="L33" s="152" t="str">
        <f t="shared" si="24"/>
        <v>n.a.</v>
      </c>
      <c r="M33" s="156"/>
      <c r="N33" s="157"/>
      <c r="O33" s="152" t="str">
        <f t="shared" si="25"/>
        <v>n.a.</v>
      </c>
      <c r="P33" s="156"/>
      <c r="Q33" s="157"/>
      <c r="R33" s="152" t="str">
        <f t="shared" si="26"/>
        <v>n.a.</v>
      </c>
      <c r="S33" s="156"/>
      <c r="T33" s="157"/>
      <c r="U33" s="152" t="str">
        <f t="shared" si="27"/>
        <v>n.a.</v>
      </c>
      <c r="V33" s="156"/>
      <c r="W33" s="157"/>
      <c r="X33" s="152" t="str">
        <f t="shared" si="28"/>
        <v>n.a.</v>
      </c>
      <c r="Y33" s="156"/>
      <c r="Z33" s="157"/>
      <c r="AA33" s="152" t="str">
        <f t="shared" si="29"/>
        <v>n.a.</v>
      </c>
      <c r="AB33" s="192">
        <f>+V33+S33+P33+M33+J33+G33+D33+Y33</f>
        <v>0</v>
      </c>
      <c r="AC33" s="205">
        <f>+W33+T33+Q33+N33+K33+H33+E33+Z33</f>
        <v>0</v>
      </c>
      <c r="AD33" s="199" t="str">
        <f t="shared" si="30"/>
        <v>n.a.</v>
      </c>
      <c r="AE33" s="131"/>
    </row>
    <row r="34" spans="2:31" s="132" customFormat="1" ht="18" customHeight="1" x14ac:dyDescent="0.15">
      <c r="B34" s="449" t="s">
        <v>328</v>
      </c>
      <c r="C34" s="147" t="s">
        <v>330</v>
      </c>
      <c r="D34" s="151">
        <f>SUM(D27:D33)</f>
        <v>0</v>
      </c>
      <c r="E34" s="164">
        <f>SUM(E27:E33)</f>
        <v>0</v>
      </c>
      <c r="F34" s="152" t="str">
        <f t="shared" si="22"/>
        <v>n.a.</v>
      </c>
      <c r="G34" s="151">
        <f t="shared" ref="G34:T34" si="31">SUM(G27:G33)</f>
        <v>630</v>
      </c>
      <c r="H34" s="164">
        <f t="shared" si="31"/>
        <v>0</v>
      </c>
      <c r="I34" s="152">
        <f t="shared" si="23"/>
        <v>-1</v>
      </c>
      <c r="J34" s="151">
        <f t="shared" si="31"/>
        <v>8922.9115999999995</v>
      </c>
      <c r="K34" s="164">
        <f t="shared" si="31"/>
        <v>8814.0576000000001</v>
      </c>
      <c r="L34" s="152">
        <f t="shared" si="24"/>
        <v>-1.2199381197500525E-2</v>
      </c>
      <c r="M34" s="151"/>
      <c r="N34" s="164"/>
      <c r="O34" s="152" t="str">
        <f t="shared" si="25"/>
        <v>n.a.</v>
      </c>
      <c r="P34" s="151">
        <f t="shared" si="31"/>
        <v>883.05488000000014</v>
      </c>
      <c r="Q34" s="164">
        <f t="shared" si="31"/>
        <v>859.29928000000007</v>
      </c>
      <c r="R34" s="152">
        <f t="shared" si="26"/>
        <v>-2.6901612275785247E-2</v>
      </c>
      <c r="S34" s="151">
        <f t="shared" si="31"/>
        <v>3532.2195200000006</v>
      </c>
      <c r="T34" s="164">
        <f t="shared" si="31"/>
        <v>3437.1971200000003</v>
      </c>
      <c r="U34" s="152">
        <f t="shared" si="27"/>
        <v>-2.6901612275785247E-2</v>
      </c>
      <c r="V34" s="151">
        <f>SUM(V27:V33)</f>
        <v>0</v>
      </c>
      <c r="W34" s="164">
        <f>SUM(W27:W33)</f>
        <v>0</v>
      </c>
      <c r="X34" s="152" t="str">
        <f t="shared" si="28"/>
        <v>n.a.</v>
      </c>
      <c r="Y34" s="151">
        <f>SUM(Y27:Y33)</f>
        <v>0</v>
      </c>
      <c r="Z34" s="164">
        <f>SUM(Z27:Z33)</f>
        <v>0</v>
      </c>
      <c r="AA34" s="152" t="str">
        <f t="shared" si="29"/>
        <v>n.a.</v>
      </c>
      <c r="AB34" s="192">
        <f>SUM(AB27:AB33)</f>
        <v>13968.186</v>
      </c>
      <c r="AC34" s="192">
        <f>SUM(AC27:AC33)</f>
        <v>13110.554</v>
      </c>
      <c r="AD34" s="198">
        <f t="shared" si="30"/>
        <v>-6.1398953307179593E-2</v>
      </c>
      <c r="AE34" s="131"/>
    </row>
    <row r="35" spans="2:31" s="132" customFormat="1" ht="18" customHeight="1" x14ac:dyDescent="0.15">
      <c r="B35" s="449"/>
      <c r="C35" s="147"/>
      <c r="D35" s="151"/>
      <c r="E35" s="164"/>
      <c r="F35" s="152"/>
      <c r="G35" s="151"/>
      <c r="H35" s="164"/>
      <c r="I35" s="152"/>
      <c r="J35" s="151"/>
      <c r="K35" s="164"/>
      <c r="L35" s="152"/>
      <c r="M35" s="151"/>
      <c r="N35" s="164"/>
      <c r="O35" s="152"/>
      <c r="P35" s="151"/>
      <c r="Q35" s="164"/>
      <c r="R35" s="152"/>
      <c r="S35" s="151"/>
      <c r="T35" s="164"/>
      <c r="U35" s="152"/>
      <c r="V35" s="151"/>
      <c r="W35" s="164"/>
      <c r="X35" s="152"/>
      <c r="Y35" s="151"/>
      <c r="Z35" s="164"/>
      <c r="AA35" s="152"/>
      <c r="AB35" s="192"/>
      <c r="AC35" s="446"/>
      <c r="AD35" s="198"/>
      <c r="AE35" s="131"/>
    </row>
    <row r="36" spans="2:31" s="132" customFormat="1" ht="18" customHeight="1" x14ac:dyDescent="0.15">
      <c r="B36" s="451" t="s">
        <v>338</v>
      </c>
      <c r="C36" s="147" t="s">
        <v>34</v>
      </c>
      <c r="D36" s="148"/>
      <c r="E36" s="149"/>
      <c r="F36" s="152"/>
      <c r="G36" s="148"/>
      <c r="H36" s="149"/>
      <c r="I36" s="152"/>
      <c r="J36" s="148"/>
      <c r="K36" s="149"/>
      <c r="L36" s="152"/>
      <c r="M36" s="148"/>
      <c r="N36" s="149"/>
      <c r="O36" s="152"/>
      <c r="P36" s="148"/>
      <c r="Q36" s="149"/>
      <c r="R36" s="152"/>
      <c r="S36" s="148"/>
      <c r="T36" s="149"/>
      <c r="U36" s="152"/>
      <c r="V36" s="148"/>
      <c r="W36" s="149"/>
      <c r="X36" s="152"/>
      <c r="Y36" s="148"/>
      <c r="Z36" s="149"/>
      <c r="AA36" s="152"/>
      <c r="AB36" s="192"/>
      <c r="AC36" s="205"/>
      <c r="AD36" s="199"/>
      <c r="AE36" s="131"/>
    </row>
    <row r="37" spans="2:31" s="132" customFormat="1" ht="18" customHeight="1" x14ac:dyDescent="0.15">
      <c r="B37" s="449" t="s">
        <v>339</v>
      </c>
      <c r="C37" s="153" t="s">
        <v>23</v>
      </c>
      <c r="D37" s="154">
        <f>(+D$127*'1. Administracion (Informe 2)'!$C40/1000)*-1</f>
        <v>206.81387000000001</v>
      </c>
      <c r="E37" s="155">
        <f>(+E$127*'1. Administracion (Informe 2)'!$D40/1000)*-1</f>
        <v>195.42170999999999</v>
      </c>
      <c r="F37" s="152">
        <f t="shared" si="22"/>
        <v>-5.5084119841672163E-2</v>
      </c>
      <c r="G37" s="154">
        <f>(+G$127*'1. Administracion (Informe 2)'!$C40/1000)*-1</f>
        <v>1013.387963</v>
      </c>
      <c r="H37" s="155">
        <f>(+H$127*'1. Administracion (Informe 2)'!$D40/1000)*-1</f>
        <v>957.5663790000001</v>
      </c>
      <c r="I37" s="152">
        <f t="shared" si="23"/>
        <v>-5.5084119841672052E-2</v>
      </c>
      <c r="J37" s="154">
        <f>((+J$127*'1. Administracion (Informe 2)'!$C40)/1000)*-1</f>
        <v>2833.3500190000004</v>
      </c>
      <c r="K37" s="155">
        <f>((+K$127*'1. Administracion (Informe 2)'!$D40)/1000)*-1</f>
        <v>2677.277427</v>
      </c>
      <c r="L37" s="152">
        <f t="shared" si="24"/>
        <v>-5.5084119841672274E-2</v>
      </c>
      <c r="M37" s="154">
        <f>((+M$127*'1. Administracion (Informe 2)'!$C40)/1000)*-1</f>
        <v>5501.2489420000011</v>
      </c>
      <c r="N37" s="155">
        <f>((+N$127*'1. Administracion (Informe 2)'!$D40)/1000)*-1</f>
        <v>5198.2174860000005</v>
      </c>
      <c r="O37" s="152">
        <f t="shared" si="25"/>
        <v>-5.5084119841672274E-2</v>
      </c>
      <c r="P37" s="154">
        <f>((+P$127*'1. Administracion (Informe 2)'!$C40)/1000)*-1</f>
        <v>454.99051399999996</v>
      </c>
      <c r="Q37" s="155">
        <f>((+Q$127*'1. Administracion (Informe 2)'!$D40)/1000)*-1</f>
        <v>429.92776199999997</v>
      </c>
      <c r="R37" s="152">
        <f t="shared" si="26"/>
        <v>-5.5084119841672163E-2</v>
      </c>
      <c r="S37" s="154">
        <f>((+S$127*'1. Administracion (Informe 2)'!$C40)/1000)*-1</f>
        <v>8148.4664780000003</v>
      </c>
      <c r="T37" s="155">
        <f>((+T$127*'1. Administracion (Informe 2)'!$D40)/1000)*-1</f>
        <v>7699.6153740000009</v>
      </c>
      <c r="U37" s="152">
        <f t="shared" si="27"/>
        <v>-5.5084119841672052E-2</v>
      </c>
      <c r="V37" s="154">
        <f>((+V$127*'1. Administracion (Informe 2)'!$C40)/1000)*-1</f>
        <v>2523.129214</v>
      </c>
      <c r="W37" s="155">
        <f>((+W$127*'1. Administracion (Informe 2)'!$D40)/1000)*-1</f>
        <v>2384.1448619999996</v>
      </c>
      <c r="X37" s="152">
        <f t="shared" si="28"/>
        <v>-5.5084119841672274E-2</v>
      </c>
      <c r="Y37" s="154"/>
      <c r="Z37" s="155"/>
      <c r="AA37" s="152" t="str">
        <f t="shared" si="29"/>
        <v>n.a.</v>
      </c>
      <c r="AB37" s="192">
        <f>+V37+S37+P37+M37+J37+G37+D37+Y37</f>
        <v>20681.387000000006</v>
      </c>
      <c r="AC37" s="205">
        <f>+W37+T37+Q37+N37+K37+H37+E37+Z37</f>
        <v>19542.170999999998</v>
      </c>
      <c r="AD37" s="199">
        <f t="shared" si="30"/>
        <v>-5.5084119841672496E-2</v>
      </c>
      <c r="AE37" s="131"/>
    </row>
    <row r="38" spans="2:31" s="132" customFormat="1" ht="18" customHeight="1" x14ac:dyDescent="0.15">
      <c r="B38" s="449" t="s">
        <v>339</v>
      </c>
      <c r="C38" s="153" t="s">
        <v>31</v>
      </c>
      <c r="D38" s="154">
        <f>(+D$127*'1. Administracion (Informe 2)'!$C41/1000)*-1</f>
        <v>39.173749999999998</v>
      </c>
      <c r="E38" s="155">
        <f>(+E$127*'1. Administracion (Informe 2)'!$D41/1000)*-1</f>
        <v>29.065480000000001</v>
      </c>
      <c r="F38" s="152">
        <f t="shared" si="22"/>
        <v>-0.25803682312773213</v>
      </c>
      <c r="G38" s="154">
        <f>(+G$127*'1. Administracion (Informe 2)'!$C41/1000)*-1</f>
        <v>191.95137500000001</v>
      </c>
      <c r="H38" s="155">
        <f>(+H$127*'1. Administracion (Informe 2)'!$D41/1000)*-1</f>
        <v>142.42085200000002</v>
      </c>
      <c r="I38" s="152">
        <f t="shared" si="23"/>
        <v>-0.25803682312773213</v>
      </c>
      <c r="J38" s="154">
        <f>((+J$127*'1. Administracion (Informe 2)'!$C41)/1000)*-1</f>
        <v>536.68037500000003</v>
      </c>
      <c r="K38" s="155">
        <f>((+K$127*'1. Administracion (Informe 2)'!$D41)/1000)*-1</f>
        <v>398.19707600000004</v>
      </c>
      <c r="L38" s="152">
        <f t="shared" si="24"/>
        <v>-0.25803682312773213</v>
      </c>
      <c r="M38" s="154">
        <f>((+M$127*'1. Administracion (Informe 2)'!$C41)/1000)*-1</f>
        <v>1042.0217500000001</v>
      </c>
      <c r="N38" s="155">
        <f>((+N$127*'1. Administracion (Informe 2)'!$D41)/1000)*-1</f>
        <v>773.14176800000007</v>
      </c>
      <c r="O38" s="152">
        <f t="shared" si="25"/>
        <v>-0.25803682312773224</v>
      </c>
      <c r="P38" s="154">
        <f>((+P$127*'1. Administracion (Informe 2)'!$C41)/1000)*-1</f>
        <v>86.182249999999996</v>
      </c>
      <c r="Q38" s="155">
        <f>((+Q$127*'1. Administracion (Informe 2)'!$D41)/1000)*-1</f>
        <v>63.944055999999996</v>
      </c>
      <c r="R38" s="152">
        <f t="shared" si="26"/>
        <v>-0.25803682312773224</v>
      </c>
      <c r="S38" s="154">
        <f>((+S$127*'1. Administracion (Informe 2)'!$C41)/1000)*-1</f>
        <v>1543.4457500000001</v>
      </c>
      <c r="T38" s="155">
        <f>((+T$127*'1. Administracion (Informe 2)'!$D41)/1000)*-1</f>
        <v>1145.1799120000001</v>
      </c>
      <c r="U38" s="152">
        <f t="shared" si="27"/>
        <v>-0.25803682312773224</v>
      </c>
      <c r="V38" s="154">
        <f>((+V$127*'1. Administracion (Informe 2)'!$C41)/1000)*-1</f>
        <v>477.91975000000002</v>
      </c>
      <c r="W38" s="155">
        <f>((+W$127*'1. Administracion (Informe 2)'!$D41)/1000)*-1</f>
        <v>354.59885599999996</v>
      </c>
      <c r="X38" s="152">
        <f t="shared" si="28"/>
        <v>-0.25803682312773235</v>
      </c>
      <c r="Y38" s="154"/>
      <c r="Z38" s="155"/>
      <c r="AA38" s="152" t="str">
        <f t="shared" si="29"/>
        <v>n.a.</v>
      </c>
      <c r="AB38" s="192">
        <f>+V38+S38+P38+M38+J38+G38+D38+Y38</f>
        <v>3917.3750000000005</v>
      </c>
      <c r="AC38" s="205">
        <f>+W38+T38+Q38+N38+K38+H38+E38+Z38</f>
        <v>2906.5480000000007</v>
      </c>
      <c r="AD38" s="199">
        <f t="shared" si="30"/>
        <v>-0.25803682312773213</v>
      </c>
      <c r="AE38" s="131"/>
    </row>
    <row r="39" spans="2:31" s="132" customFormat="1" ht="18" customHeight="1" x14ac:dyDescent="0.15">
      <c r="B39" s="449" t="s">
        <v>339</v>
      </c>
      <c r="C39" s="153" t="s">
        <v>32</v>
      </c>
      <c r="D39" s="154">
        <v>0</v>
      </c>
      <c r="E39" s="155">
        <v>0</v>
      </c>
      <c r="F39" s="152" t="str">
        <f t="shared" si="22"/>
        <v>n.a.</v>
      </c>
      <c r="G39" s="154">
        <v>0</v>
      </c>
      <c r="H39" s="155">
        <v>0</v>
      </c>
      <c r="I39" s="152" t="str">
        <f t="shared" si="23"/>
        <v>n.a.</v>
      </c>
      <c r="J39" s="154">
        <v>0</v>
      </c>
      <c r="K39" s="155">
        <v>0</v>
      </c>
      <c r="L39" s="152" t="str">
        <f t="shared" si="24"/>
        <v>n.a.</v>
      </c>
      <c r="M39" s="154">
        <v>0</v>
      </c>
      <c r="N39" s="155">
        <v>0</v>
      </c>
      <c r="O39" s="152" t="str">
        <f t="shared" si="25"/>
        <v>n.a.</v>
      </c>
      <c r="P39" s="154">
        <v>0</v>
      </c>
      <c r="Q39" s="155">
        <v>0</v>
      </c>
      <c r="R39" s="152" t="str">
        <f t="shared" si="26"/>
        <v>n.a.</v>
      </c>
      <c r="S39" s="154">
        <v>0</v>
      </c>
      <c r="T39" s="155">
        <v>0</v>
      </c>
      <c r="U39" s="152" t="str">
        <f t="shared" si="27"/>
        <v>n.a.</v>
      </c>
      <c r="V39" s="154">
        <v>0</v>
      </c>
      <c r="W39" s="155">
        <v>0</v>
      </c>
      <c r="X39" s="152" t="str">
        <f t="shared" si="28"/>
        <v>n.a.</v>
      </c>
      <c r="Y39" s="154"/>
      <c r="Z39" s="155"/>
      <c r="AA39" s="152" t="str">
        <f t="shared" si="29"/>
        <v>n.a.</v>
      </c>
      <c r="AB39" s="192">
        <f>+V39+S39+P39+M39+J39+G39+D39+Y39</f>
        <v>0</v>
      </c>
      <c r="AC39" s="205">
        <f>+W39+T39+Q39+N39+K39+H39+E39+Z39</f>
        <v>0</v>
      </c>
      <c r="AD39" s="199" t="str">
        <f t="shared" si="30"/>
        <v>n.a.</v>
      </c>
      <c r="AE39" s="131"/>
    </row>
    <row r="40" spans="2:31" s="132" customFormat="1" ht="18" customHeight="1" x14ac:dyDescent="0.15">
      <c r="B40" s="449" t="s">
        <v>339</v>
      </c>
      <c r="C40" s="153" t="s">
        <v>33</v>
      </c>
      <c r="D40" s="154"/>
      <c r="E40" s="155"/>
      <c r="F40" s="152" t="str">
        <f t="shared" si="22"/>
        <v>n.a.</v>
      </c>
      <c r="G40" s="154"/>
      <c r="H40" s="155"/>
      <c r="I40" s="152" t="str">
        <f t="shared" si="23"/>
        <v>n.a.</v>
      </c>
      <c r="J40" s="154"/>
      <c r="K40" s="155"/>
      <c r="L40" s="152" t="str">
        <f t="shared" si="24"/>
        <v>n.a.</v>
      </c>
      <c r="M40" s="154"/>
      <c r="N40" s="155"/>
      <c r="O40" s="152" t="str">
        <f t="shared" si="25"/>
        <v>n.a.</v>
      </c>
      <c r="P40" s="154"/>
      <c r="Q40" s="155"/>
      <c r="R40" s="152" t="str">
        <f t="shared" si="26"/>
        <v>n.a.</v>
      </c>
      <c r="S40" s="154"/>
      <c r="T40" s="155"/>
      <c r="U40" s="152" t="str">
        <f t="shared" si="27"/>
        <v>n.a.</v>
      </c>
      <c r="V40" s="154"/>
      <c r="W40" s="155"/>
      <c r="X40" s="152" t="str">
        <f t="shared" si="28"/>
        <v>n.a.</v>
      </c>
      <c r="Y40" s="154"/>
      <c r="Z40" s="155"/>
      <c r="AA40" s="152" t="str">
        <f t="shared" si="29"/>
        <v>n.a.</v>
      </c>
      <c r="AB40" s="192">
        <f>+V40+S40+P40+M40+J40+G40+D40+Y40</f>
        <v>0</v>
      </c>
      <c r="AC40" s="205">
        <f>+W40+T40+Q40+N40+K40+H40+E40+Z40</f>
        <v>0</v>
      </c>
      <c r="AD40" s="199" t="str">
        <f t="shared" si="30"/>
        <v>n.a.</v>
      </c>
      <c r="AE40" s="131"/>
    </row>
    <row r="41" spans="2:31" s="132" customFormat="1" ht="18" customHeight="1" x14ac:dyDescent="0.15">
      <c r="B41" s="449" t="s">
        <v>331</v>
      </c>
      <c r="C41" s="147" t="s">
        <v>332</v>
      </c>
      <c r="D41" s="148">
        <f>SUM(D37:D40)</f>
        <v>245.98761999999999</v>
      </c>
      <c r="E41" s="149">
        <f>SUM(E37:E40)</f>
        <v>224.48719</v>
      </c>
      <c r="F41" s="150">
        <f t="shared" si="22"/>
        <v>-8.7404520601483959E-2</v>
      </c>
      <c r="G41" s="148">
        <f t="shared" ref="G41:V41" si="32">SUM(G37:G40)</f>
        <v>1205.339338</v>
      </c>
      <c r="H41" s="149">
        <f t="shared" si="32"/>
        <v>1099.9872310000001</v>
      </c>
      <c r="I41" s="150">
        <f t="shared" si="23"/>
        <v>-8.7404520601483848E-2</v>
      </c>
      <c r="J41" s="148">
        <f t="shared" si="32"/>
        <v>3370.0303940000003</v>
      </c>
      <c r="K41" s="149">
        <f t="shared" si="32"/>
        <v>3075.4745029999999</v>
      </c>
      <c r="L41" s="150">
        <f t="shared" si="24"/>
        <v>-8.740452060148407E-2</v>
      </c>
      <c r="M41" s="148">
        <f t="shared" si="32"/>
        <v>6543.270692000001</v>
      </c>
      <c r="N41" s="149">
        <f t="shared" si="32"/>
        <v>5971.3592540000009</v>
      </c>
      <c r="O41" s="150">
        <f t="shared" si="25"/>
        <v>-8.7404520601483959E-2</v>
      </c>
      <c r="P41" s="148">
        <f t="shared" si="32"/>
        <v>541.17276399999992</v>
      </c>
      <c r="Q41" s="149">
        <f>SUM(Q37:Q40)</f>
        <v>493.87181799999996</v>
      </c>
      <c r="R41" s="150">
        <f t="shared" si="26"/>
        <v>-8.7404520601483848E-2</v>
      </c>
      <c r="S41" s="148">
        <f t="shared" si="32"/>
        <v>9691.9122280000011</v>
      </c>
      <c r="T41" s="149">
        <f>SUM(T37:T40)</f>
        <v>8844.7952860000005</v>
      </c>
      <c r="U41" s="150">
        <f t="shared" si="27"/>
        <v>-8.7404520601483959E-2</v>
      </c>
      <c r="V41" s="148">
        <f t="shared" si="32"/>
        <v>3001.0489640000001</v>
      </c>
      <c r="W41" s="149">
        <f>SUM(W37:W40)</f>
        <v>2738.7437179999997</v>
      </c>
      <c r="X41" s="150">
        <f t="shared" si="28"/>
        <v>-8.740452060148407E-2</v>
      </c>
      <c r="Y41" s="148">
        <f>SUM(Y37:Y40)</f>
        <v>0</v>
      </c>
      <c r="Z41" s="149">
        <f>SUM(Z37:Z40)</f>
        <v>0</v>
      </c>
      <c r="AA41" s="150" t="str">
        <f t="shared" si="29"/>
        <v>n.a.</v>
      </c>
      <c r="AB41" s="192">
        <f>SUM(AB37:AB40)</f>
        <v>24598.762000000006</v>
      </c>
      <c r="AC41" s="192">
        <f>SUM(AC37:AC40)</f>
        <v>22448.718999999997</v>
      </c>
      <c r="AD41" s="198">
        <f t="shared" si="30"/>
        <v>-8.7404520601484292E-2</v>
      </c>
      <c r="AE41" s="131"/>
    </row>
    <row r="42" spans="2:31" s="132" customFormat="1" ht="18" customHeight="1" x14ac:dyDescent="0.15">
      <c r="B42" s="449"/>
      <c r="C42" s="147"/>
      <c r="D42" s="148"/>
      <c r="E42" s="149"/>
      <c r="F42" s="152"/>
      <c r="G42" s="148"/>
      <c r="H42" s="149"/>
      <c r="I42" s="152"/>
      <c r="J42" s="148"/>
      <c r="K42" s="149"/>
      <c r="L42" s="152"/>
      <c r="M42" s="148"/>
      <c r="N42" s="149"/>
      <c r="O42" s="152"/>
      <c r="P42" s="148"/>
      <c r="Q42" s="149"/>
      <c r="R42" s="152"/>
      <c r="S42" s="148"/>
      <c r="T42" s="149"/>
      <c r="U42" s="152"/>
      <c r="V42" s="148"/>
      <c r="W42" s="149"/>
      <c r="X42" s="152"/>
      <c r="Y42" s="148"/>
      <c r="Z42" s="149"/>
      <c r="AA42" s="152"/>
      <c r="AB42" s="192"/>
      <c r="AC42" s="205"/>
      <c r="AD42" s="199"/>
      <c r="AE42" s="131"/>
    </row>
    <row r="43" spans="2:31" s="132" customFormat="1" ht="18" customHeight="1" x14ac:dyDescent="0.15">
      <c r="B43" s="449" t="s">
        <v>340</v>
      </c>
      <c r="C43" s="159" t="s">
        <v>35</v>
      </c>
      <c r="D43" s="249">
        <f>+D24-D34-D41</f>
        <v>-265.98761999999999</v>
      </c>
      <c r="E43" s="161">
        <f>+E24-E34-E41</f>
        <v>-224.48719</v>
      </c>
      <c r="F43" s="250">
        <f t="shared" si="22"/>
        <v>-0.15602391569953522</v>
      </c>
      <c r="G43" s="160">
        <f>+G24-G34-G41</f>
        <v>-10001.977132999999</v>
      </c>
      <c r="H43" s="255">
        <f>+H24-H34-H41</f>
        <v>-8439.8169610000004</v>
      </c>
      <c r="I43" s="250">
        <f t="shared" si="23"/>
        <v>-0.15618513732108907</v>
      </c>
      <c r="J43" s="249">
        <f>+J24-J34-J41</f>
        <v>87037.673588000005</v>
      </c>
      <c r="K43" s="161">
        <f>+K24-K34-K41</f>
        <v>-8818.801195</v>
      </c>
      <c r="L43" s="162">
        <f t="shared" si="24"/>
        <v>-1.1013216556860712</v>
      </c>
      <c r="M43" s="249">
        <f>+M24-M34-M41</f>
        <v>-23202.487519000002</v>
      </c>
      <c r="N43" s="253">
        <f>+N24-N34-N41</f>
        <v>-23571.627192</v>
      </c>
      <c r="O43" s="250">
        <f t="shared" si="25"/>
        <v>1.5909486976244169E-2</v>
      </c>
      <c r="P43" s="249">
        <f>+P24-P34-P41</f>
        <v>-1424.2276440000001</v>
      </c>
      <c r="Q43" s="253">
        <f>+Q24-Q34-Q41</f>
        <v>1996.8289019999997</v>
      </c>
      <c r="R43" s="250">
        <f t="shared" si="26"/>
        <v>-2.4020433534008836</v>
      </c>
      <c r="S43" s="249">
        <f>+S24-S34-S41</f>
        <v>-18930.083708000002</v>
      </c>
      <c r="T43" s="253">
        <f>+T24-T34-T41</f>
        <v>-186704.342646</v>
      </c>
      <c r="U43" s="250">
        <f t="shared" si="27"/>
        <v>8.8628376675955902</v>
      </c>
      <c r="V43" s="249">
        <f>+V24-V34-V41</f>
        <v>-12327.388964</v>
      </c>
      <c r="W43" s="253">
        <f>+W24-W34-W41</f>
        <v>-16898.725718000002</v>
      </c>
      <c r="X43" s="250">
        <f t="shared" si="28"/>
        <v>0.37082765599023415</v>
      </c>
      <c r="Y43" s="249">
        <f>+Y24-Y34-Y41</f>
        <v>0</v>
      </c>
      <c r="Z43" s="253">
        <f>+Z24-Z34-Z41</f>
        <v>-1774.3879999999999</v>
      </c>
      <c r="AA43" s="250" t="str">
        <f t="shared" si="29"/>
        <v>n.a.</v>
      </c>
      <c r="AB43" s="193">
        <f>+AB24-AB34-AB41</f>
        <v>20885.52099999999</v>
      </c>
      <c r="AC43" s="193">
        <f>+AC24-AC34-AC41</f>
        <v>-244435.36000000004</v>
      </c>
      <c r="AD43" s="200">
        <f t="shared" si="30"/>
        <v>-12.703579719174837</v>
      </c>
      <c r="AE43" s="131"/>
    </row>
    <row r="44" spans="2:31" s="132" customFormat="1" ht="18" customHeight="1" x14ac:dyDescent="0.15">
      <c r="B44" s="449"/>
      <c r="C44" s="147"/>
      <c r="D44" s="444"/>
      <c r="E44" s="149"/>
      <c r="F44" s="150"/>
      <c r="G44" s="148"/>
      <c r="H44" s="447"/>
      <c r="I44" s="150"/>
      <c r="J44" s="444"/>
      <c r="K44" s="149"/>
      <c r="L44" s="150"/>
      <c r="M44" s="444"/>
      <c r="N44" s="445"/>
      <c r="O44" s="150"/>
      <c r="P44" s="444"/>
      <c r="Q44" s="445"/>
      <c r="R44" s="150"/>
      <c r="S44" s="444"/>
      <c r="T44" s="445"/>
      <c r="U44" s="150"/>
      <c r="V44" s="444"/>
      <c r="W44" s="445"/>
      <c r="X44" s="150"/>
      <c r="Y44" s="444"/>
      <c r="Z44" s="445"/>
      <c r="AA44" s="150"/>
      <c r="AB44" s="192"/>
      <c r="AC44" s="446"/>
      <c r="AD44" s="198"/>
      <c r="AE44" s="131"/>
    </row>
    <row r="45" spans="2:31" s="132" customFormat="1" ht="18" customHeight="1" x14ac:dyDescent="0.15">
      <c r="B45" s="451" t="s">
        <v>342</v>
      </c>
      <c r="C45" s="147" t="s">
        <v>341</v>
      </c>
      <c r="D45" s="148"/>
      <c r="E45" s="149"/>
      <c r="F45" s="152"/>
      <c r="G45" s="148"/>
      <c r="H45" s="149"/>
      <c r="I45" s="152"/>
      <c r="J45" s="148"/>
      <c r="K45" s="149"/>
      <c r="L45" s="152"/>
      <c r="M45" s="148"/>
      <c r="N45" s="149"/>
      <c r="O45" s="152"/>
      <c r="P45" s="148"/>
      <c r="Q45" s="149"/>
      <c r="R45" s="152"/>
      <c r="S45" s="148"/>
      <c r="T45" s="149"/>
      <c r="U45" s="152"/>
      <c r="V45" s="148"/>
      <c r="W45" s="149"/>
      <c r="X45" s="152"/>
      <c r="Y45" s="148"/>
      <c r="Z45" s="149"/>
      <c r="AA45" s="152"/>
      <c r="AB45" s="192"/>
      <c r="AC45" s="205"/>
      <c r="AD45" s="199"/>
      <c r="AE45" s="131"/>
    </row>
    <row r="46" spans="2:31" s="132" customFormat="1" ht="18" customHeight="1" x14ac:dyDescent="0.15">
      <c r="B46" s="449" t="s">
        <v>343</v>
      </c>
      <c r="C46" s="147" t="s">
        <v>36</v>
      </c>
      <c r="D46" s="156"/>
      <c r="E46" s="157"/>
      <c r="F46" s="152" t="str">
        <f t="shared" si="22"/>
        <v>n.a.</v>
      </c>
      <c r="G46" s="156"/>
      <c r="H46" s="157"/>
      <c r="I46" s="152" t="str">
        <f t="shared" si="23"/>
        <v>n.a.</v>
      </c>
      <c r="J46" s="156"/>
      <c r="K46" s="157"/>
      <c r="L46" s="152" t="str">
        <f t="shared" si="24"/>
        <v>n.a.</v>
      </c>
      <c r="M46" s="156"/>
      <c r="N46" s="157"/>
      <c r="O46" s="152" t="str">
        <f t="shared" si="25"/>
        <v>n.a.</v>
      </c>
      <c r="P46" s="156"/>
      <c r="Q46" s="157"/>
      <c r="R46" s="152" t="str">
        <f t="shared" si="26"/>
        <v>n.a.</v>
      </c>
      <c r="S46" s="156"/>
      <c r="T46" s="157"/>
      <c r="U46" s="152" t="str">
        <f t="shared" si="27"/>
        <v>n.a.</v>
      </c>
      <c r="V46" s="156"/>
      <c r="W46" s="157"/>
      <c r="X46" s="152" t="str">
        <f t="shared" si="28"/>
        <v>n.a.</v>
      </c>
      <c r="Y46" s="156"/>
      <c r="Z46" s="157"/>
      <c r="AA46" s="152" t="str">
        <f t="shared" si="29"/>
        <v>n.a.</v>
      </c>
      <c r="AB46" s="192">
        <f>+V46+S46+P46+M46+J46+G46+D46+Y46</f>
        <v>0</v>
      </c>
      <c r="AC46" s="205">
        <f>+W46+T46+Q46+N46+K46+H46+E46+Z46</f>
        <v>0</v>
      </c>
      <c r="AD46" s="199" t="str">
        <f t="shared" si="30"/>
        <v>n.a.</v>
      </c>
      <c r="AE46" s="131"/>
    </row>
    <row r="47" spans="2:31" s="132" customFormat="1" ht="18" customHeight="1" x14ac:dyDescent="0.15">
      <c r="B47" s="449" t="s">
        <v>344</v>
      </c>
      <c r="C47" s="147" t="s">
        <v>345</v>
      </c>
      <c r="D47" s="148"/>
      <c r="E47" s="149"/>
      <c r="F47" s="152"/>
      <c r="G47" s="148"/>
      <c r="H47" s="149"/>
      <c r="I47" s="152"/>
      <c r="J47" s="148"/>
      <c r="K47" s="149"/>
      <c r="L47" s="152"/>
      <c r="M47" s="148"/>
      <c r="N47" s="149"/>
      <c r="O47" s="152"/>
      <c r="P47" s="148"/>
      <c r="Q47" s="149"/>
      <c r="R47" s="152"/>
      <c r="S47" s="148"/>
      <c r="T47" s="149"/>
      <c r="U47" s="152"/>
      <c r="V47" s="148"/>
      <c r="W47" s="149"/>
      <c r="X47" s="152"/>
      <c r="Y47" s="148"/>
      <c r="Z47" s="149"/>
      <c r="AA47" s="152"/>
      <c r="AB47" s="192"/>
      <c r="AC47" s="205"/>
      <c r="AD47" s="199"/>
      <c r="AE47" s="131"/>
    </row>
    <row r="48" spans="2:31" s="132" customFormat="1" ht="18" customHeight="1" x14ac:dyDescent="0.15">
      <c r="B48" s="449"/>
      <c r="C48" s="147"/>
      <c r="D48" s="148"/>
      <c r="E48" s="149"/>
      <c r="F48" s="152"/>
      <c r="G48" s="148"/>
      <c r="H48" s="149"/>
      <c r="I48" s="152"/>
      <c r="J48" s="148"/>
      <c r="K48" s="149"/>
      <c r="L48" s="152"/>
      <c r="M48" s="148"/>
      <c r="N48" s="149"/>
      <c r="O48" s="152"/>
      <c r="P48" s="148"/>
      <c r="Q48" s="149"/>
      <c r="R48" s="152"/>
      <c r="S48" s="148"/>
      <c r="T48" s="149"/>
      <c r="U48" s="152"/>
      <c r="V48" s="148"/>
      <c r="W48" s="149"/>
      <c r="X48" s="152"/>
      <c r="Y48" s="148"/>
      <c r="Z48" s="149"/>
      <c r="AA48" s="152"/>
      <c r="AB48" s="192"/>
      <c r="AC48" s="205"/>
      <c r="AD48" s="199"/>
      <c r="AE48" s="131"/>
    </row>
    <row r="49" spans="2:32" s="132" customFormat="1" ht="18" customHeight="1" x14ac:dyDescent="0.15">
      <c r="B49" s="449" t="s">
        <v>346</v>
      </c>
      <c r="C49" s="159" t="s">
        <v>37</v>
      </c>
      <c r="D49" s="160">
        <f>+D43-D46</f>
        <v>-265.98761999999999</v>
      </c>
      <c r="E49" s="161">
        <f>+E43-E46</f>
        <v>-224.48719</v>
      </c>
      <c r="F49" s="162">
        <f t="shared" si="22"/>
        <v>-0.15602391569953522</v>
      </c>
      <c r="G49" s="160">
        <f>+G43-G46</f>
        <v>-10001.977132999999</v>
      </c>
      <c r="H49" s="161">
        <f>+H43-H46</f>
        <v>-8439.8169610000004</v>
      </c>
      <c r="I49" s="162">
        <f t="shared" si="23"/>
        <v>-0.15618513732108907</v>
      </c>
      <c r="J49" s="160">
        <f>+J43-J46</f>
        <v>87037.673588000005</v>
      </c>
      <c r="K49" s="161">
        <f>+K43-K46</f>
        <v>-8818.801195</v>
      </c>
      <c r="L49" s="162">
        <f t="shared" si="24"/>
        <v>-1.1013216556860712</v>
      </c>
      <c r="M49" s="160">
        <f>+M43-M46</f>
        <v>-23202.487519000002</v>
      </c>
      <c r="N49" s="161">
        <f>+N43-N46</f>
        <v>-23571.627192</v>
      </c>
      <c r="O49" s="162">
        <f t="shared" si="25"/>
        <v>1.5909486976244169E-2</v>
      </c>
      <c r="P49" s="160">
        <f>+P43-P46</f>
        <v>-1424.2276440000001</v>
      </c>
      <c r="Q49" s="161">
        <f>+Q43-Q46</f>
        <v>1996.8289019999997</v>
      </c>
      <c r="R49" s="162">
        <f t="shared" si="26"/>
        <v>-2.4020433534008836</v>
      </c>
      <c r="S49" s="160">
        <f>+S43-S46</f>
        <v>-18930.083708000002</v>
      </c>
      <c r="T49" s="161">
        <f>+T43-T46</f>
        <v>-186704.342646</v>
      </c>
      <c r="U49" s="162">
        <f t="shared" si="27"/>
        <v>8.8628376675955902</v>
      </c>
      <c r="V49" s="160">
        <f>+V43-V46</f>
        <v>-12327.388964</v>
      </c>
      <c r="W49" s="161">
        <f>+W43-W46</f>
        <v>-16898.725718000002</v>
      </c>
      <c r="X49" s="162">
        <f t="shared" si="28"/>
        <v>0.37082765599023415</v>
      </c>
      <c r="Y49" s="160">
        <f>+Y43-Y46</f>
        <v>0</v>
      </c>
      <c r="Z49" s="161">
        <f>+Z43-Z46</f>
        <v>-1774.3879999999999</v>
      </c>
      <c r="AA49" s="162" t="str">
        <f t="shared" si="29"/>
        <v>n.a.</v>
      </c>
      <c r="AB49" s="193">
        <f>+AB43-AB46</f>
        <v>20885.52099999999</v>
      </c>
      <c r="AC49" s="206">
        <f>+AC43-AC46</f>
        <v>-244435.36000000004</v>
      </c>
      <c r="AD49" s="200">
        <f t="shared" si="30"/>
        <v>-12.703579719174837</v>
      </c>
      <c r="AE49" s="131"/>
    </row>
    <row r="50" spans="2:32" s="132" customFormat="1" ht="18" customHeight="1" x14ac:dyDescent="0.15">
      <c r="B50" s="449"/>
      <c r="C50" s="147"/>
      <c r="D50" s="148"/>
      <c r="E50" s="149"/>
      <c r="F50" s="152"/>
      <c r="G50" s="148"/>
      <c r="H50" s="149"/>
      <c r="I50" s="152"/>
      <c r="J50" s="148"/>
      <c r="K50" s="149"/>
      <c r="L50" s="152"/>
      <c r="M50" s="148"/>
      <c r="N50" s="149"/>
      <c r="O50" s="152"/>
      <c r="P50" s="148"/>
      <c r="Q50" s="149"/>
      <c r="R50" s="152"/>
      <c r="S50" s="148"/>
      <c r="T50" s="149"/>
      <c r="U50" s="152"/>
      <c r="V50" s="148"/>
      <c r="W50" s="149"/>
      <c r="X50" s="152"/>
      <c r="Y50" s="148"/>
      <c r="Z50" s="149"/>
      <c r="AA50" s="152"/>
      <c r="AB50" s="192"/>
      <c r="AC50" s="205"/>
      <c r="AD50" s="199"/>
      <c r="AE50" s="131"/>
    </row>
    <row r="51" spans="2:32" s="132" customFormat="1" ht="18" customHeight="1" x14ac:dyDescent="0.15">
      <c r="B51" s="451" t="s">
        <v>347</v>
      </c>
      <c r="C51" s="147" t="s">
        <v>44</v>
      </c>
      <c r="D51" s="148"/>
      <c r="E51" s="149"/>
      <c r="F51" s="152"/>
      <c r="G51" s="148"/>
      <c r="H51" s="149"/>
      <c r="I51" s="152"/>
      <c r="J51" s="148"/>
      <c r="K51" s="149"/>
      <c r="L51" s="152"/>
      <c r="M51" s="148"/>
      <c r="N51" s="149"/>
      <c r="O51" s="152"/>
      <c r="P51" s="148"/>
      <c r="Q51" s="149"/>
      <c r="R51" s="152"/>
      <c r="S51" s="148"/>
      <c r="T51" s="149"/>
      <c r="U51" s="152"/>
      <c r="V51" s="148"/>
      <c r="W51" s="149"/>
      <c r="X51" s="152"/>
      <c r="Y51" s="148"/>
      <c r="Z51" s="149"/>
      <c r="AA51" s="152"/>
      <c r="AB51" s="192"/>
      <c r="AC51" s="205"/>
      <c r="AD51" s="199"/>
      <c r="AE51" s="131"/>
    </row>
    <row r="52" spans="2:32" s="132" customFormat="1" ht="18" customHeight="1" x14ac:dyDescent="0.15">
      <c r="B52" s="449" t="s">
        <v>348</v>
      </c>
      <c r="C52" s="153" t="s">
        <v>38</v>
      </c>
      <c r="D52" s="154"/>
      <c r="E52" s="155"/>
      <c r="F52" s="152" t="str">
        <f t="shared" si="22"/>
        <v>n.a.</v>
      </c>
      <c r="G52" s="154"/>
      <c r="H52" s="155"/>
      <c r="I52" s="152" t="str">
        <f t="shared" si="23"/>
        <v>n.a.</v>
      </c>
      <c r="J52" s="154"/>
      <c r="K52" s="155"/>
      <c r="L52" s="152" t="str">
        <f t="shared" si="24"/>
        <v>n.a.</v>
      </c>
      <c r="M52" s="154"/>
      <c r="N52" s="155"/>
      <c r="O52" s="152" t="str">
        <f t="shared" si="25"/>
        <v>n.a.</v>
      </c>
      <c r="P52" s="154"/>
      <c r="Q52" s="155"/>
      <c r="R52" s="152" t="str">
        <f t="shared" si="26"/>
        <v>n.a.</v>
      </c>
      <c r="S52" s="154"/>
      <c r="T52" s="155"/>
      <c r="U52" s="152" t="str">
        <f t="shared" si="27"/>
        <v>n.a.</v>
      </c>
      <c r="V52" s="154"/>
      <c r="W52" s="155"/>
      <c r="X52" s="152" t="str">
        <f t="shared" si="28"/>
        <v>n.a.</v>
      </c>
      <c r="Y52" s="154"/>
      <c r="Z52" s="155"/>
      <c r="AA52" s="152" t="str">
        <f t="shared" si="29"/>
        <v>n.a.</v>
      </c>
      <c r="AB52" s="192">
        <f>+V52+S52+P52+M52+J52+G52+D52+Y52</f>
        <v>0</v>
      </c>
      <c r="AC52" s="205">
        <f>+W52+T52+Q52+N52+K52+H52+E52+Z52</f>
        <v>0</v>
      </c>
      <c r="AD52" s="199" t="str">
        <f t="shared" si="30"/>
        <v>n.a.</v>
      </c>
      <c r="AE52" s="131"/>
    </row>
    <row r="53" spans="2:32" s="132" customFormat="1" ht="18" customHeight="1" x14ac:dyDescent="0.15">
      <c r="B53" s="449" t="s">
        <v>348</v>
      </c>
      <c r="C53" s="153" t="s">
        <v>39</v>
      </c>
      <c r="D53" s="154"/>
      <c r="E53" s="155"/>
      <c r="F53" s="152" t="str">
        <f t="shared" si="22"/>
        <v>n.a.</v>
      </c>
      <c r="G53" s="154"/>
      <c r="H53" s="155"/>
      <c r="I53" s="152" t="str">
        <f t="shared" si="23"/>
        <v>n.a.</v>
      </c>
      <c r="J53" s="154"/>
      <c r="K53" s="155"/>
      <c r="L53" s="152" t="str">
        <f t="shared" si="24"/>
        <v>n.a.</v>
      </c>
      <c r="M53" s="154"/>
      <c r="N53" s="155"/>
      <c r="O53" s="152" t="str">
        <f t="shared" si="25"/>
        <v>n.a.</v>
      </c>
      <c r="P53" s="154"/>
      <c r="Q53" s="155"/>
      <c r="R53" s="152" t="str">
        <f t="shared" si="26"/>
        <v>n.a.</v>
      </c>
      <c r="S53" s="154"/>
      <c r="T53" s="155"/>
      <c r="U53" s="152" t="str">
        <f t="shared" si="27"/>
        <v>n.a.</v>
      </c>
      <c r="V53" s="154"/>
      <c r="W53" s="155"/>
      <c r="X53" s="152" t="str">
        <f t="shared" si="28"/>
        <v>n.a.</v>
      </c>
      <c r="Y53" s="154"/>
      <c r="Z53" s="155"/>
      <c r="AA53" s="152" t="str">
        <f t="shared" si="29"/>
        <v>n.a.</v>
      </c>
      <c r="AB53" s="192">
        <f>+V53+S53+P53+M53+J53+G53+D53+Y53</f>
        <v>0</v>
      </c>
      <c r="AC53" s="205">
        <f>+W53+T53+Q53+N53+K53+H53+E53+Z53</f>
        <v>0</v>
      </c>
      <c r="AD53" s="199" t="str">
        <f t="shared" si="30"/>
        <v>n.a.</v>
      </c>
      <c r="AE53" s="131"/>
    </row>
    <row r="54" spans="2:32" s="132" customFormat="1" ht="18" customHeight="1" x14ac:dyDescent="0.15">
      <c r="B54" s="449" t="s">
        <v>348</v>
      </c>
      <c r="C54" s="153" t="s">
        <v>40</v>
      </c>
      <c r="D54" s="154"/>
      <c r="E54" s="155"/>
      <c r="F54" s="152" t="str">
        <f t="shared" si="22"/>
        <v>n.a.</v>
      </c>
      <c r="G54" s="154"/>
      <c r="H54" s="155"/>
      <c r="I54" s="152" t="str">
        <f t="shared" si="23"/>
        <v>n.a.</v>
      </c>
      <c r="J54" s="154"/>
      <c r="K54" s="155"/>
      <c r="L54" s="152" t="str">
        <f t="shared" si="24"/>
        <v>n.a.</v>
      </c>
      <c r="M54" s="154"/>
      <c r="N54" s="155"/>
      <c r="O54" s="152" t="str">
        <f t="shared" si="25"/>
        <v>n.a.</v>
      </c>
      <c r="P54" s="154"/>
      <c r="Q54" s="155"/>
      <c r="R54" s="152" t="str">
        <f t="shared" si="26"/>
        <v>n.a.</v>
      </c>
      <c r="S54" s="154"/>
      <c r="T54" s="155"/>
      <c r="U54" s="152" t="str">
        <f t="shared" si="27"/>
        <v>n.a.</v>
      </c>
      <c r="V54" s="154"/>
      <c r="W54" s="155"/>
      <c r="X54" s="152" t="str">
        <f t="shared" si="28"/>
        <v>n.a.</v>
      </c>
      <c r="Y54" s="154"/>
      <c r="Z54" s="155"/>
      <c r="AA54" s="152" t="str">
        <f t="shared" si="29"/>
        <v>n.a.</v>
      </c>
      <c r="AB54" s="192">
        <f>+V54+S54+P54+M54+J54+G54+D54+Y54</f>
        <v>0</v>
      </c>
      <c r="AC54" s="205">
        <f>+W54+T54+Q54+N54+K54+H54+E54+Z54</f>
        <v>0</v>
      </c>
      <c r="AD54" s="199" t="str">
        <f t="shared" si="30"/>
        <v>n.a.</v>
      </c>
      <c r="AE54" s="131"/>
    </row>
    <row r="55" spans="2:32" s="132" customFormat="1" ht="18" customHeight="1" x14ac:dyDescent="0.15">
      <c r="B55" s="449" t="s">
        <v>348</v>
      </c>
      <c r="C55" s="153" t="s">
        <v>41</v>
      </c>
      <c r="D55" s="154"/>
      <c r="E55" s="155"/>
      <c r="F55" s="152" t="str">
        <f t="shared" si="22"/>
        <v>n.a.</v>
      </c>
      <c r="G55" s="154"/>
      <c r="H55" s="155"/>
      <c r="I55" s="152" t="str">
        <f t="shared" si="23"/>
        <v>n.a.</v>
      </c>
      <c r="J55" s="154"/>
      <c r="K55" s="155"/>
      <c r="L55" s="152" t="str">
        <f t="shared" si="24"/>
        <v>n.a.</v>
      </c>
      <c r="M55" s="154"/>
      <c r="N55" s="155"/>
      <c r="O55" s="152" t="str">
        <f t="shared" si="25"/>
        <v>n.a.</v>
      </c>
      <c r="P55" s="154"/>
      <c r="Q55" s="155"/>
      <c r="R55" s="152" t="str">
        <f t="shared" si="26"/>
        <v>n.a.</v>
      </c>
      <c r="S55" s="154"/>
      <c r="T55" s="155"/>
      <c r="U55" s="152" t="str">
        <f t="shared" si="27"/>
        <v>n.a.</v>
      </c>
      <c r="V55" s="154"/>
      <c r="W55" s="155"/>
      <c r="X55" s="152" t="str">
        <f t="shared" si="28"/>
        <v>n.a.</v>
      </c>
      <c r="Y55" s="154"/>
      <c r="Z55" s="155"/>
      <c r="AA55" s="152" t="str">
        <f t="shared" si="29"/>
        <v>n.a.</v>
      </c>
      <c r="AB55" s="192">
        <f>+V55+S55+P55+M55+J55+G55+D55+Y55</f>
        <v>0</v>
      </c>
      <c r="AC55" s="205">
        <f>+W55+T55+Q55+N55+K55+H55+E55+Z55</f>
        <v>0</v>
      </c>
      <c r="AD55" s="199" t="str">
        <f t="shared" si="30"/>
        <v>n.a.</v>
      </c>
      <c r="AE55" s="131"/>
    </row>
    <row r="56" spans="2:32" s="132" customFormat="1" ht="18" customHeight="1" x14ac:dyDescent="0.15">
      <c r="B56" s="449" t="s">
        <v>348</v>
      </c>
      <c r="C56" s="153" t="s">
        <v>42</v>
      </c>
      <c r="D56" s="154"/>
      <c r="E56" s="155"/>
      <c r="F56" s="152" t="str">
        <f t="shared" si="22"/>
        <v>n.a.</v>
      </c>
      <c r="G56" s="154"/>
      <c r="H56" s="155"/>
      <c r="I56" s="152" t="str">
        <f t="shared" si="23"/>
        <v>n.a.</v>
      </c>
      <c r="J56" s="154"/>
      <c r="K56" s="155"/>
      <c r="L56" s="152" t="str">
        <f t="shared" si="24"/>
        <v>n.a.</v>
      </c>
      <c r="M56" s="154"/>
      <c r="N56" s="155"/>
      <c r="O56" s="152" t="str">
        <f t="shared" si="25"/>
        <v>n.a.</v>
      </c>
      <c r="P56" s="154"/>
      <c r="Q56" s="155"/>
      <c r="R56" s="152" t="str">
        <f t="shared" si="26"/>
        <v>n.a.</v>
      </c>
      <c r="S56" s="154"/>
      <c r="T56" s="155"/>
      <c r="U56" s="152" t="str">
        <f t="shared" si="27"/>
        <v>n.a.</v>
      </c>
      <c r="V56" s="154"/>
      <c r="W56" s="155"/>
      <c r="X56" s="152" t="str">
        <f t="shared" si="28"/>
        <v>n.a.</v>
      </c>
      <c r="Y56" s="154"/>
      <c r="Z56" s="155"/>
      <c r="AA56" s="152" t="str">
        <f t="shared" si="29"/>
        <v>n.a.</v>
      </c>
      <c r="AB56" s="192">
        <f>+V56+S56+P56+M56+J56+G56+D56+Y56</f>
        <v>0</v>
      </c>
      <c r="AC56" s="205">
        <f>+W56+T56+Q56+N56+K56+H56+E56+Z56</f>
        <v>0</v>
      </c>
      <c r="AD56" s="199" t="str">
        <f t="shared" si="30"/>
        <v>n.a.</v>
      </c>
      <c r="AE56" s="131"/>
    </row>
    <row r="57" spans="2:32" s="132" customFormat="1" ht="18" customHeight="1" x14ac:dyDescent="0.15">
      <c r="B57" s="449" t="s">
        <v>348</v>
      </c>
      <c r="C57" s="153" t="s">
        <v>43</v>
      </c>
      <c r="D57" s="154"/>
      <c r="E57" s="155"/>
      <c r="F57" s="152" t="str">
        <f t="shared" si="22"/>
        <v>n.a.</v>
      </c>
      <c r="G57" s="154"/>
      <c r="H57" s="155"/>
      <c r="I57" s="152" t="str">
        <f t="shared" si="23"/>
        <v>n.a.</v>
      </c>
      <c r="J57" s="154"/>
      <c r="K57" s="155">
        <f>+'15. Maiz Local'!E50/1000</f>
        <v>-63.677</v>
      </c>
      <c r="L57" s="152" t="str">
        <f t="shared" si="24"/>
        <v>n.a.</v>
      </c>
      <c r="M57" s="154"/>
      <c r="N57" s="155"/>
      <c r="O57" s="152" t="str">
        <f t="shared" si="25"/>
        <v>n.a.</v>
      </c>
      <c r="P57" s="154"/>
      <c r="Q57" s="155"/>
      <c r="R57" s="152" t="str">
        <f t="shared" si="26"/>
        <v>n.a.</v>
      </c>
      <c r="S57" s="154"/>
      <c r="T57" s="155"/>
      <c r="U57" s="152" t="str">
        <f t="shared" si="27"/>
        <v>n.a.</v>
      </c>
      <c r="V57" s="154"/>
      <c r="W57" s="155"/>
      <c r="X57" s="152" t="str">
        <f t="shared" si="28"/>
        <v>n.a.</v>
      </c>
      <c r="Y57" s="154"/>
      <c r="Z57" s="155"/>
      <c r="AA57" s="152" t="str">
        <f t="shared" si="29"/>
        <v>n.a.</v>
      </c>
      <c r="AB57" s="192">
        <f>+V57+S57+P57+M57+J57+G57+D57+Y57</f>
        <v>0</v>
      </c>
      <c r="AC57" s="205">
        <f>+W57+T57+Q57+N57+K57+H57+E57+Z57</f>
        <v>-63.677</v>
      </c>
      <c r="AD57" s="199" t="str">
        <f t="shared" si="30"/>
        <v>n.a.</v>
      </c>
      <c r="AE57" s="131"/>
    </row>
    <row r="58" spans="2:32" s="132" customFormat="1" ht="18" customHeight="1" x14ac:dyDescent="0.15">
      <c r="B58" s="449" t="s">
        <v>349</v>
      </c>
      <c r="C58" s="147" t="s">
        <v>350</v>
      </c>
      <c r="D58" s="148">
        <f>SUM(D52:D57)</f>
        <v>0</v>
      </c>
      <c r="E58" s="149">
        <f>SUM(E52:E57)</f>
        <v>0</v>
      </c>
      <c r="F58" s="150" t="str">
        <f t="shared" si="22"/>
        <v>n.a.</v>
      </c>
      <c r="G58" s="148">
        <f t="shared" ref="G58:S58" si="33">SUM(G52:G57)</f>
        <v>0</v>
      </c>
      <c r="H58" s="149">
        <f t="shared" si="33"/>
        <v>0</v>
      </c>
      <c r="I58" s="150" t="str">
        <f t="shared" si="23"/>
        <v>n.a.</v>
      </c>
      <c r="J58" s="148">
        <f t="shared" si="33"/>
        <v>0</v>
      </c>
      <c r="K58" s="149">
        <f t="shared" si="33"/>
        <v>-63.677</v>
      </c>
      <c r="L58" s="150" t="str">
        <f t="shared" si="24"/>
        <v>n.a.</v>
      </c>
      <c r="M58" s="148">
        <f t="shared" si="33"/>
        <v>0</v>
      </c>
      <c r="N58" s="149">
        <f>SUM(N52:N57)</f>
        <v>0</v>
      </c>
      <c r="O58" s="150" t="str">
        <f t="shared" si="25"/>
        <v>n.a.</v>
      </c>
      <c r="P58" s="148">
        <f t="shared" si="33"/>
        <v>0</v>
      </c>
      <c r="Q58" s="149">
        <f>SUM(Q52:Q57)</f>
        <v>0</v>
      </c>
      <c r="R58" s="150" t="str">
        <f t="shared" si="26"/>
        <v>n.a.</v>
      </c>
      <c r="S58" s="148">
        <f t="shared" si="33"/>
        <v>0</v>
      </c>
      <c r="T58" s="149">
        <f>SUM(T52:T57)</f>
        <v>0</v>
      </c>
      <c r="U58" s="150" t="str">
        <f t="shared" si="27"/>
        <v>n.a.</v>
      </c>
      <c r="V58" s="148">
        <f>SUM(V52:V57)</f>
        <v>0</v>
      </c>
      <c r="W58" s="149">
        <f>SUM(W52:W57)</f>
        <v>0</v>
      </c>
      <c r="X58" s="150" t="str">
        <f t="shared" si="28"/>
        <v>n.a.</v>
      </c>
      <c r="Y58" s="148">
        <f>SUM(Y52:Y57)</f>
        <v>0</v>
      </c>
      <c r="Z58" s="149">
        <f>SUM(Z52:Z57)</f>
        <v>0</v>
      </c>
      <c r="AA58" s="150" t="str">
        <f t="shared" si="29"/>
        <v>n.a.</v>
      </c>
      <c r="AB58" s="192">
        <f>SUM(AB52:AB57)</f>
        <v>0</v>
      </c>
      <c r="AC58" s="192">
        <f>SUM(AC52:AC57)</f>
        <v>-63.677</v>
      </c>
      <c r="AD58" s="198" t="str">
        <f t="shared" si="30"/>
        <v>n.a.</v>
      </c>
      <c r="AE58" s="131"/>
    </row>
    <row r="59" spans="2:32" s="132" customFormat="1" ht="18" customHeight="1" x14ac:dyDescent="0.15">
      <c r="B59" s="449"/>
      <c r="C59" s="147"/>
      <c r="D59" s="148"/>
      <c r="E59" s="149"/>
      <c r="F59" s="152"/>
      <c r="G59" s="148"/>
      <c r="H59" s="149"/>
      <c r="I59" s="152"/>
      <c r="J59" s="148"/>
      <c r="K59" s="149"/>
      <c r="L59" s="152"/>
      <c r="M59" s="148"/>
      <c r="N59" s="149"/>
      <c r="O59" s="152"/>
      <c r="P59" s="148"/>
      <c r="Q59" s="149"/>
      <c r="R59" s="152"/>
      <c r="S59" s="148"/>
      <c r="T59" s="149"/>
      <c r="U59" s="152"/>
      <c r="V59" s="148"/>
      <c r="W59" s="149"/>
      <c r="X59" s="152"/>
      <c r="Y59" s="148"/>
      <c r="Z59" s="149"/>
      <c r="AA59" s="152"/>
      <c r="AB59" s="192"/>
      <c r="AC59" s="205"/>
      <c r="AD59" s="199"/>
      <c r="AE59" s="131"/>
      <c r="AF59" s="132">
        <f>234328+117701-10184-111-12420-3401+8621+406-123625+1547</f>
        <v>212862</v>
      </c>
    </row>
    <row r="60" spans="2:32" s="167" customFormat="1" ht="18" customHeight="1" x14ac:dyDescent="0.15">
      <c r="B60" s="449" t="s">
        <v>351</v>
      </c>
      <c r="C60" s="147" t="s">
        <v>45</v>
      </c>
      <c r="D60" s="148">
        <f>+D49+D58</f>
        <v>-265.98761999999999</v>
      </c>
      <c r="E60" s="149">
        <f>+E49+E58</f>
        <v>-224.48719</v>
      </c>
      <c r="F60" s="150">
        <f t="shared" si="22"/>
        <v>-0.15602391569953522</v>
      </c>
      <c r="G60" s="148">
        <f t="shared" ref="G60:S60" si="34">+G49+G58</f>
        <v>-10001.977132999999</v>
      </c>
      <c r="H60" s="149">
        <f t="shared" si="34"/>
        <v>-8439.8169610000004</v>
      </c>
      <c r="I60" s="150">
        <f t="shared" si="23"/>
        <v>-0.15618513732108907</v>
      </c>
      <c r="J60" s="148">
        <f t="shared" si="34"/>
        <v>87037.673588000005</v>
      </c>
      <c r="K60" s="149">
        <f t="shared" si="34"/>
        <v>-8882.4781949999997</v>
      </c>
      <c r="L60" s="150">
        <f t="shared" si="24"/>
        <v>-1.102053258420554</v>
      </c>
      <c r="M60" s="148">
        <f t="shared" si="34"/>
        <v>-23202.487519000002</v>
      </c>
      <c r="N60" s="149">
        <f>+N49+N58</f>
        <v>-23571.627192</v>
      </c>
      <c r="O60" s="150">
        <f t="shared" si="25"/>
        <v>1.5909486976244169E-2</v>
      </c>
      <c r="P60" s="148">
        <f t="shared" si="34"/>
        <v>-1424.2276440000001</v>
      </c>
      <c r="Q60" s="149">
        <f>+Q49+Q58</f>
        <v>1996.8289019999997</v>
      </c>
      <c r="R60" s="150">
        <f t="shared" si="26"/>
        <v>-2.4020433534008836</v>
      </c>
      <c r="S60" s="148">
        <f t="shared" si="34"/>
        <v>-18930.083708000002</v>
      </c>
      <c r="T60" s="149">
        <f>+T49+T58</f>
        <v>-186704.342646</v>
      </c>
      <c r="U60" s="150">
        <f t="shared" si="27"/>
        <v>8.8628376675955902</v>
      </c>
      <c r="V60" s="148">
        <f>+V49+V58</f>
        <v>-12327.388964</v>
      </c>
      <c r="W60" s="149">
        <f>+W49+W58</f>
        <v>-16898.725718000002</v>
      </c>
      <c r="X60" s="150">
        <f t="shared" si="28"/>
        <v>0.37082765599023415</v>
      </c>
      <c r="Y60" s="148">
        <f>+Y49+Y58</f>
        <v>0</v>
      </c>
      <c r="Z60" s="149">
        <f>+Z49+Z58</f>
        <v>-1774.3879999999999</v>
      </c>
      <c r="AA60" s="150" t="str">
        <f t="shared" si="29"/>
        <v>n.a.</v>
      </c>
      <c r="AB60" s="192">
        <f>+AB49+AB58</f>
        <v>20885.52099999999</v>
      </c>
      <c r="AC60" s="192">
        <f>+AC49+AC58</f>
        <v>-244499.03700000004</v>
      </c>
      <c r="AD60" s="198">
        <f t="shared" si="30"/>
        <v>-12.706628577759691</v>
      </c>
      <c r="AE60" s="166"/>
    </row>
    <row r="61" spans="2:32" s="132" customFormat="1" ht="18" customHeight="1" x14ac:dyDescent="0.15">
      <c r="B61" s="449"/>
      <c r="C61" s="147"/>
      <c r="D61" s="148"/>
      <c r="E61" s="149"/>
      <c r="F61" s="152"/>
      <c r="G61" s="148"/>
      <c r="H61" s="149"/>
      <c r="I61" s="152"/>
      <c r="J61" s="148"/>
      <c r="K61" s="149"/>
      <c r="L61" s="152"/>
      <c r="M61" s="148"/>
      <c r="N61" s="149"/>
      <c r="O61" s="152"/>
      <c r="P61" s="148"/>
      <c r="Q61" s="149"/>
      <c r="R61" s="152"/>
      <c r="S61" s="148"/>
      <c r="T61" s="149"/>
      <c r="U61" s="152"/>
      <c r="V61" s="148"/>
      <c r="W61" s="149"/>
      <c r="X61" s="152"/>
      <c r="Y61" s="148"/>
      <c r="Z61" s="149"/>
      <c r="AA61" s="152"/>
      <c r="AB61" s="192"/>
      <c r="AC61" s="205"/>
      <c r="AD61" s="199"/>
      <c r="AE61" s="131"/>
    </row>
    <row r="62" spans="2:32" s="167" customFormat="1" ht="18" customHeight="1" x14ac:dyDescent="0.15">
      <c r="B62" s="452" t="s">
        <v>352</v>
      </c>
      <c r="C62" s="147" t="s">
        <v>46</v>
      </c>
      <c r="D62" s="273">
        <f>-(D60*0.24)+D60</f>
        <v>-202.15059120000001</v>
      </c>
      <c r="E62" s="275">
        <f>-(E60*0.24)+E60</f>
        <v>-170.61026440000001</v>
      </c>
      <c r="F62" s="276">
        <f t="shared" si="22"/>
        <v>-0.15602391569953522</v>
      </c>
      <c r="G62" s="273">
        <f>-(G60*0.24)+G60</f>
        <v>-7601.5026210799988</v>
      </c>
      <c r="H62" s="275">
        <f>-(H60*0.24)+H60</f>
        <v>-6414.2608903600003</v>
      </c>
      <c r="I62" s="276">
        <f t="shared" si="23"/>
        <v>-0.15618513732108907</v>
      </c>
      <c r="J62" s="273">
        <f>-(J60*0.24)+J60</f>
        <v>66148.63192688</v>
      </c>
      <c r="K62" s="274">
        <f>-(K60*0.24)+K60</f>
        <v>-6750.6834282</v>
      </c>
      <c r="L62" s="150">
        <f t="shared" si="24"/>
        <v>-1.102053258420554</v>
      </c>
      <c r="M62" s="273">
        <f>-(M60*0.24)+M60</f>
        <v>-17633.890514440001</v>
      </c>
      <c r="N62" s="275">
        <f>-(N60*0.24)+N60</f>
        <v>-17914.436665920002</v>
      </c>
      <c r="O62" s="276">
        <f t="shared" si="25"/>
        <v>1.5909486976244391E-2</v>
      </c>
      <c r="P62" s="273">
        <f>-(P60*0.24)+P60</f>
        <v>-1082.41300944</v>
      </c>
      <c r="Q62" s="274">
        <f>-(Q60*0.24)+Q60</f>
        <v>1517.5899655199999</v>
      </c>
      <c r="R62" s="150">
        <f t="shared" si="26"/>
        <v>-2.4020433534008836</v>
      </c>
      <c r="S62" s="273">
        <f>-(S60*0.24)+S60</f>
        <v>-14386.863618080002</v>
      </c>
      <c r="T62" s="275">
        <f>-(T60*0.24)+T60</f>
        <v>-141895.30041096002</v>
      </c>
      <c r="U62" s="276">
        <f t="shared" si="27"/>
        <v>8.8628376675955902</v>
      </c>
      <c r="V62" s="273">
        <f>-(V60*0.24)+V60</f>
        <v>-9368.815612639999</v>
      </c>
      <c r="W62" s="275">
        <f>-(W60*0.24)+W60</f>
        <v>-12843.031545680002</v>
      </c>
      <c r="X62" s="276">
        <f t="shared" si="28"/>
        <v>0.37082765599023437</v>
      </c>
      <c r="Y62" s="273">
        <f>-(Y60*0.24)+Y60</f>
        <v>0</v>
      </c>
      <c r="Z62" s="274">
        <f>-(Z60*0.24)+Z60</f>
        <v>-1348.5348799999999</v>
      </c>
      <c r="AA62" s="150" t="str">
        <f t="shared" si="29"/>
        <v>n.a.</v>
      </c>
      <c r="AB62" s="192">
        <f>+V62+S62+P62+M62+J62+G62+D62+Y62</f>
        <v>15872.99596</v>
      </c>
      <c r="AC62" s="205">
        <f>+W62+T62+Q62+N62+K62+H62+E62+Z62</f>
        <v>-185819.26811999996</v>
      </c>
      <c r="AD62" s="198">
        <f t="shared" si="30"/>
        <v>-12.70662857775968</v>
      </c>
      <c r="AE62" s="166"/>
    </row>
    <row r="63" spans="2:32" s="132" customFormat="1" ht="13.5" customHeight="1" thickBot="1" x14ac:dyDescent="0.2">
      <c r="B63" s="449"/>
      <c r="C63" s="168"/>
      <c r="D63" s="169"/>
      <c r="E63" s="170"/>
      <c r="F63" s="171"/>
      <c r="G63" s="169"/>
      <c r="H63" s="170"/>
      <c r="I63" s="171"/>
      <c r="J63" s="169"/>
      <c r="K63" s="170"/>
      <c r="L63" s="171"/>
      <c r="M63" s="169"/>
      <c r="N63" s="170"/>
      <c r="O63" s="171"/>
      <c r="P63" s="169"/>
      <c r="Q63" s="170"/>
      <c r="R63" s="171"/>
      <c r="S63" s="169"/>
      <c r="T63" s="170"/>
      <c r="U63" s="171"/>
      <c r="V63" s="169"/>
      <c r="W63" s="170"/>
      <c r="X63" s="171"/>
      <c r="Y63" s="169"/>
      <c r="Z63" s="170"/>
      <c r="AA63" s="171"/>
      <c r="AB63" s="194"/>
      <c r="AC63" s="207"/>
      <c r="AD63" s="201"/>
      <c r="AE63" s="131"/>
    </row>
    <row r="64" spans="2:32" s="129" customFormat="1" ht="16.5" customHeight="1" thickBot="1" x14ac:dyDescent="0.25">
      <c r="B64" s="172"/>
      <c r="C64" s="427" t="s">
        <v>176</v>
      </c>
      <c r="D64" s="427"/>
      <c r="E64" s="427"/>
      <c r="F64" s="427"/>
      <c r="G64" s="427"/>
      <c r="H64" s="427"/>
      <c r="I64" s="427"/>
      <c r="J64" s="427"/>
      <c r="K64" s="427"/>
      <c r="L64" s="427"/>
      <c r="M64" s="427"/>
      <c r="N64" s="427"/>
      <c r="O64" s="427"/>
      <c r="P64" s="427"/>
      <c r="Q64" s="427"/>
      <c r="R64" s="427"/>
      <c r="S64" s="427"/>
      <c r="T64" s="427"/>
      <c r="U64" s="427"/>
      <c r="V64" s="427"/>
      <c r="W64" s="427"/>
      <c r="X64" s="427"/>
      <c r="Y64" s="427"/>
      <c r="Z64" s="427"/>
      <c r="AA64" s="427"/>
      <c r="AB64" s="427"/>
      <c r="AC64" s="427"/>
      <c r="AD64" s="427"/>
      <c r="AE64" s="173"/>
    </row>
    <row r="65" spans="2:32" s="129" customFormat="1" ht="16.5" customHeight="1" thickTop="1" x14ac:dyDescent="0.2"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88"/>
      <c r="AD65" s="179"/>
    </row>
    <row r="66" spans="2:32" ht="23.25" customHeight="1" thickBot="1" x14ac:dyDescent="0.25">
      <c r="N66" s="272">
        <v>-1</v>
      </c>
    </row>
    <row r="67" spans="2:32" s="129" customFormat="1" ht="18" customHeight="1" thickTop="1" x14ac:dyDescent="0.2">
      <c r="B67" s="121"/>
      <c r="C67" s="122"/>
      <c r="D67" s="123"/>
      <c r="E67" s="123"/>
      <c r="F67" s="123"/>
      <c r="G67" s="123"/>
      <c r="H67" s="123"/>
      <c r="I67" s="123"/>
      <c r="J67" s="124"/>
      <c r="K67" s="124"/>
      <c r="L67" s="124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5"/>
      <c r="Z67" s="126"/>
      <c r="AA67" s="123"/>
      <c r="AB67" s="127"/>
      <c r="AC67" s="203"/>
      <c r="AD67" s="127"/>
      <c r="AE67" s="128"/>
    </row>
    <row r="68" spans="2:32" s="132" customFormat="1" ht="23.25" customHeight="1" x14ac:dyDescent="0.15">
      <c r="B68" s="130"/>
      <c r="C68" s="420" t="s">
        <v>47</v>
      </c>
      <c r="D68" s="420"/>
      <c r="E68" s="420"/>
      <c r="F68" s="420"/>
      <c r="G68" s="420"/>
      <c r="H68" s="420"/>
      <c r="I68" s="420"/>
      <c r="J68" s="420"/>
      <c r="K68" s="420"/>
      <c r="L68" s="420"/>
      <c r="M68" s="420"/>
      <c r="N68" s="420"/>
      <c r="O68" s="420"/>
      <c r="P68" s="420"/>
      <c r="Q68" s="420"/>
      <c r="R68" s="420"/>
      <c r="S68" s="420"/>
      <c r="T68" s="420"/>
      <c r="U68" s="420"/>
      <c r="V68" s="420"/>
      <c r="W68" s="420"/>
      <c r="X68" s="420"/>
      <c r="Y68" s="420"/>
      <c r="Z68" s="420"/>
      <c r="AA68" s="420"/>
      <c r="AB68" s="420"/>
      <c r="AC68" s="420"/>
      <c r="AD68" s="420"/>
      <c r="AE68" s="131"/>
    </row>
    <row r="69" spans="2:32" s="132" customFormat="1" ht="23.25" customHeight="1" x14ac:dyDescent="0.15">
      <c r="B69" s="130"/>
      <c r="C69" s="186" t="s">
        <v>303</v>
      </c>
      <c r="D69" s="187" t="str">
        <f>+Portada!$H$19</f>
        <v>Octubre de 2016</v>
      </c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9"/>
      <c r="Z69" s="120"/>
      <c r="AA69" s="118"/>
      <c r="AB69" s="202"/>
      <c r="AC69" s="120"/>
      <c r="AD69" s="118"/>
      <c r="AE69" s="131"/>
    </row>
    <row r="70" spans="2:32" s="132" customFormat="1" ht="23.25" customHeight="1" thickBot="1" x14ac:dyDescent="0.2">
      <c r="B70" s="130"/>
      <c r="D70" s="133" t="s">
        <v>0</v>
      </c>
      <c r="E70" s="133"/>
      <c r="F70" s="133"/>
      <c r="G70" s="133" t="s">
        <v>0</v>
      </c>
      <c r="H70" s="133"/>
      <c r="I70" s="133"/>
      <c r="J70" s="115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4"/>
      <c r="Z70" s="135"/>
      <c r="AA70" s="133"/>
      <c r="AB70" s="136"/>
      <c r="AC70" s="181"/>
      <c r="AD70" s="136"/>
      <c r="AE70" s="131"/>
    </row>
    <row r="71" spans="2:32" s="139" customFormat="1" ht="29.25" customHeight="1" x14ac:dyDescent="0.15">
      <c r="B71" s="137"/>
      <c r="C71" s="189" t="s">
        <v>1</v>
      </c>
      <c r="D71" s="421" t="s">
        <v>2</v>
      </c>
      <c r="E71" s="422"/>
      <c r="F71" s="190"/>
      <c r="G71" s="421" t="s">
        <v>3</v>
      </c>
      <c r="H71" s="422"/>
      <c r="I71" s="190"/>
      <c r="J71" s="423" t="s">
        <v>4</v>
      </c>
      <c r="K71" s="443"/>
      <c r="L71" s="190"/>
      <c r="M71" s="423" t="s">
        <v>5</v>
      </c>
      <c r="N71" s="443"/>
      <c r="O71" s="190"/>
      <c r="P71" s="423" t="s">
        <v>6</v>
      </c>
      <c r="Q71" s="443"/>
      <c r="R71" s="190"/>
      <c r="S71" s="423" t="s">
        <v>7</v>
      </c>
      <c r="T71" s="443"/>
      <c r="U71" s="190"/>
      <c r="V71" s="423" t="s">
        <v>8</v>
      </c>
      <c r="W71" s="443"/>
      <c r="X71" s="190"/>
      <c r="Y71" s="423" t="s">
        <v>216</v>
      </c>
      <c r="Z71" s="443"/>
      <c r="AA71" s="190"/>
      <c r="AB71" s="429" t="s">
        <v>9</v>
      </c>
      <c r="AC71" s="430"/>
      <c r="AD71" s="261"/>
      <c r="AE71" s="138"/>
    </row>
    <row r="72" spans="2:32" s="139" customFormat="1" ht="30.75" customHeight="1" x14ac:dyDescent="0.15">
      <c r="B72" s="137"/>
      <c r="C72" s="140"/>
      <c r="D72" s="141" t="s">
        <v>275</v>
      </c>
      <c r="E72" s="142" t="s">
        <v>50</v>
      </c>
      <c r="F72" s="143"/>
      <c r="G72" s="141" t="s">
        <v>275</v>
      </c>
      <c r="H72" s="142" t="s">
        <v>50</v>
      </c>
      <c r="I72" s="143"/>
      <c r="J72" s="141" t="s">
        <v>275</v>
      </c>
      <c r="K72" s="142" t="s">
        <v>50</v>
      </c>
      <c r="L72" s="143"/>
      <c r="M72" s="141" t="s">
        <v>275</v>
      </c>
      <c r="N72" s="142" t="s">
        <v>50</v>
      </c>
      <c r="O72" s="143"/>
      <c r="P72" s="141" t="s">
        <v>275</v>
      </c>
      <c r="Q72" s="142" t="s">
        <v>50</v>
      </c>
      <c r="R72" s="143"/>
      <c r="S72" s="141" t="s">
        <v>275</v>
      </c>
      <c r="T72" s="142" t="s">
        <v>50</v>
      </c>
      <c r="U72" s="143"/>
      <c r="V72" s="141" t="s">
        <v>275</v>
      </c>
      <c r="W72" s="142" t="s">
        <v>50</v>
      </c>
      <c r="X72" s="143"/>
      <c r="Y72" s="141" t="s">
        <v>275</v>
      </c>
      <c r="Z72" s="142" t="s">
        <v>50</v>
      </c>
      <c r="AA72" s="143"/>
      <c r="AB72" s="262" t="s">
        <v>275</v>
      </c>
      <c r="AC72" s="263" t="s">
        <v>50</v>
      </c>
      <c r="AD72" s="264"/>
      <c r="AE72" s="138"/>
    </row>
    <row r="73" spans="2:32" s="132" customFormat="1" ht="18" customHeight="1" x14ac:dyDescent="0.15">
      <c r="B73" s="130"/>
      <c r="C73" s="144"/>
      <c r="D73" s="416" t="s">
        <v>1</v>
      </c>
      <c r="E73" s="417"/>
      <c r="F73" s="145" t="s">
        <v>10</v>
      </c>
      <c r="G73" s="416" t="s">
        <v>1</v>
      </c>
      <c r="H73" s="417"/>
      <c r="I73" s="145" t="s">
        <v>10</v>
      </c>
      <c r="J73" s="416" t="s">
        <v>1</v>
      </c>
      <c r="K73" s="417"/>
      <c r="L73" s="145" t="s">
        <v>10</v>
      </c>
      <c r="M73" s="416" t="s">
        <v>1</v>
      </c>
      <c r="N73" s="417"/>
      <c r="O73" s="145" t="s">
        <v>10</v>
      </c>
      <c r="P73" s="416" t="s">
        <v>1</v>
      </c>
      <c r="Q73" s="417"/>
      <c r="R73" s="145" t="s">
        <v>10</v>
      </c>
      <c r="S73" s="416" t="s">
        <v>1</v>
      </c>
      <c r="T73" s="417"/>
      <c r="U73" s="145" t="s">
        <v>10</v>
      </c>
      <c r="V73" s="416" t="s">
        <v>1</v>
      </c>
      <c r="W73" s="417"/>
      <c r="X73" s="145" t="s">
        <v>10</v>
      </c>
      <c r="Y73" s="416" t="s">
        <v>1</v>
      </c>
      <c r="Z73" s="417"/>
      <c r="AA73" s="145" t="s">
        <v>10</v>
      </c>
      <c r="AB73" s="425" t="s">
        <v>1</v>
      </c>
      <c r="AC73" s="426"/>
      <c r="AD73" s="265" t="s">
        <v>10</v>
      </c>
      <c r="AE73" s="131"/>
    </row>
    <row r="74" spans="2:32" s="132" customFormat="1" ht="18" customHeight="1" x14ac:dyDescent="0.15">
      <c r="B74" s="146"/>
      <c r="C74" s="147" t="s">
        <v>11</v>
      </c>
      <c r="D74" s="148">
        <f>+'10. Remolacha'!F9/1000</f>
        <v>28761.233</v>
      </c>
      <c r="E74" s="149">
        <f>+'10. Remolacha'!G9/1000</f>
        <v>0</v>
      </c>
      <c r="F74" s="150">
        <f>+IFERROR(E74/D74-1,"n.a.")</f>
        <v>-1</v>
      </c>
      <c r="G74" s="148">
        <f>+'13. Maiz de Exportación'!F9/1000</f>
        <v>171275</v>
      </c>
      <c r="H74" s="149">
        <f>+'13. Maiz de Exportación'!G9/1000</f>
        <v>88672.008000000002</v>
      </c>
      <c r="I74" s="150">
        <f>+IFERROR(H74/G74-1,"n.a.")</f>
        <v>-0.48228283170340092</v>
      </c>
      <c r="J74" s="148">
        <f>(+'15. Maiz Local'!F9)/1000</f>
        <v>238700</v>
      </c>
      <c r="K74" s="149">
        <f>(+'15. Maiz Local'!G9)/1000</f>
        <v>261881.52900000001</v>
      </c>
      <c r="L74" s="150">
        <f>+IFERROR(K74/J74-1,"n.a.")</f>
        <v>9.7115747800586627E-2</v>
      </c>
      <c r="M74" s="148">
        <f>(+'16. Soya de Exportación'!F9)/1000</f>
        <v>623872.61100000003</v>
      </c>
      <c r="N74" s="149">
        <f>(+'16. Soya de Exportación'!G9)/1000</f>
        <v>740872.07799999998</v>
      </c>
      <c r="O74" s="150">
        <f>+IFERROR(N74/M74-1,"n.a.")</f>
        <v>0.18753743141963319</v>
      </c>
      <c r="P74" s="148">
        <f>(+'17. Alfalfa'!F9)/1000</f>
        <v>77168</v>
      </c>
      <c r="Q74" s="149">
        <f>(+'17. Alfalfa'!G9)/1000</f>
        <v>48508</v>
      </c>
      <c r="R74" s="150">
        <f>+IFERROR(Q74/P74-1,"n.a.")</f>
        <v>-0.37139747045407423</v>
      </c>
      <c r="S74" s="148">
        <f>(+'18. Canola y Girasol'!F9)/1000</f>
        <v>1169826.2949999999</v>
      </c>
      <c r="T74" s="149">
        <f>(+'18. Canola y Girasol'!G9)/1000</f>
        <v>1254503.683</v>
      </c>
      <c r="U74" s="150">
        <f>+IFERROR(T74/S74-1,"n.a.")</f>
        <v>7.2384582533255637E-2</v>
      </c>
      <c r="V74" s="148">
        <f>(+'20. Campos Propios'!F9)/1000</f>
        <v>424553.46</v>
      </c>
      <c r="W74" s="149">
        <f>(+'20. Campos Propios'!G9)/1000</f>
        <v>420058.00199999998</v>
      </c>
      <c r="X74" s="150">
        <f>+IFERROR(W74/V74-1,"n.a.")</f>
        <v>-1.0588673567752949E-2</v>
      </c>
      <c r="Y74" s="148">
        <f>+'21.Procesos '!F9</f>
        <v>0</v>
      </c>
      <c r="Z74" s="149">
        <f>+'21.Procesos '!G9/1000</f>
        <v>169478.59400000001</v>
      </c>
      <c r="AA74" s="150" t="str">
        <f>+IFERROR(Z74/Y74-1,"n.a.")</f>
        <v>n.a.</v>
      </c>
      <c r="AB74" s="259">
        <f>+V74+S74+P74+M74+J74+G74+D74+Y74</f>
        <v>2734156.5989999999</v>
      </c>
      <c r="AC74" s="260">
        <f>+W74+T74+Q74+N74+K74+H74+E74+Z74</f>
        <v>2983973.8940000003</v>
      </c>
      <c r="AD74" s="266">
        <f>+IFERROR(AC74/AB74-1,"n.a.")</f>
        <v>9.1369051462293571E-2</v>
      </c>
      <c r="AE74" s="131"/>
    </row>
    <row r="75" spans="2:32" s="132" customFormat="1" ht="18" customHeight="1" x14ac:dyDescent="0.15">
      <c r="B75" s="130"/>
      <c r="C75" s="147"/>
      <c r="D75" s="148"/>
      <c r="E75" s="149"/>
      <c r="F75" s="152"/>
      <c r="G75" s="148"/>
      <c r="H75" s="149"/>
      <c r="I75" s="152"/>
      <c r="J75" s="148"/>
      <c r="K75" s="149"/>
      <c r="L75" s="152"/>
      <c r="M75" s="148"/>
      <c r="N75" s="149"/>
      <c r="O75" s="152"/>
      <c r="P75" s="148"/>
      <c r="Q75" s="149"/>
      <c r="R75" s="152"/>
      <c r="S75" s="148"/>
      <c r="T75" s="149"/>
      <c r="U75" s="152"/>
      <c r="V75" s="148"/>
      <c r="W75" s="149"/>
      <c r="X75" s="152"/>
      <c r="Y75" s="148"/>
      <c r="Z75" s="149"/>
      <c r="AA75" s="152"/>
      <c r="AB75" s="259"/>
      <c r="AC75" s="260"/>
      <c r="AD75" s="267"/>
      <c r="AE75" s="131"/>
    </row>
    <row r="76" spans="2:32" s="132" customFormat="1" ht="18" customHeight="1" x14ac:dyDescent="0.15">
      <c r="B76" s="130"/>
      <c r="C76" s="153" t="s">
        <v>12</v>
      </c>
      <c r="D76" s="154"/>
      <c r="E76" s="155"/>
      <c r="F76" s="152" t="str">
        <f t="shared" ref="F76:F85" si="35">+IFERROR(E76/D76-1,"n.a.")</f>
        <v>n.a.</v>
      </c>
      <c r="G76" s="154">
        <f>(+'13. Maiz de Exportación'!F11/1000)*-1</f>
        <v>97336</v>
      </c>
      <c r="H76" s="155">
        <f>(+'13. Maiz de Exportación'!G11/1000)*-1</f>
        <v>107482.405</v>
      </c>
      <c r="I76" s="152">
        <f t="shared" ref="I76:I85" si="36">+IFERROR(H76/G76-1,"n.a.")</f>
        <v>0.10424103106764204</v>
      </c>
      <c r="J76" s="154">
        <f>((+'15. Maiz Local'!F11)/1000)*-1</f>
        <v>97300</v>
      </c>
      <c r="K76" s="208">
        <f>((+'15. Maiz Local'!G11)/1000)*-1</f>
        <v>96984.820999999996</v>
      </c>
      <c r="L76" s="152">
        <f t="shared" ref="L76:L85" si="37">+IFERROR(K76/J76-1,"n.a.")</f>
        <v>-3.2392497430627776E-3</v>
      </c>
      <c r="M76" s="154">
        <f>((+'16. Soya de Exportación'!F11)/1000)*-1</f>
        <v>487782.5</v>
      </c>
      <c r="N76" s="155">
        <f>((+'16. Soya de Exportación'!G11)/1000)*-1</f>
        <v>535730.66599999997</v>
      </c>
      <c r="O76" s="152">
        <f t="shared" ref="O76:O85" si="38">+IFERROR(N76/M76-1,"n.a.")</f>
        <v>9.8298249732206466E-2</v>
      </c>
      <c r="P76" s="154">
        <v>0</v>
      </c>
      <c r="Q76" s="155">
        <v>0</v>
      </c>
      <c r="R76" s="152" t="str">
        <f t="shared" ref="R76:R85" si="39">+IFERROR(Q76/P76-1,"n.a.")</f>
        <v>n.a.</v>
      </c>
      <c r="S76" s="154">
        <f>((+'18. Canola y Girasol'!F11)/1000)*-1</f>
        <v>148575</v>
      </c>
      <c r="T76" s="155">
        <f>((+'18. Canola y Girasol'!G11)/1000)*-1</f>
        <v>167484.68299999999</v>
      </c>
      <c r="U76" s="152">
        <f t="shared" ref="U76:U85" si="40">+IFERROR(T76/S76-1,"n.a.")</f>
        <v>0.12727365303718652</v>
      </c>
      <c r="V76" s="154">
        <f>((+'20. Campos Propios'!F11)/1000)*-1</f>
        <v>0</v>
      </c>
      <c r="W76" s="155">
        <f>((+'20. Campos Propios'!G11)/1000)*-1</f>
        <v>4501.4369999999999</v>
      </c>
      <c r="X76" s="152" t="str">
        <f t="shared" ref="X76:X85" si="41">+IFERROR(W76/V76-1,"n.a.")</f>
        <v>n.a.</v>
      </c>
      <c r="Y76" s="154">
        <v>0</v>
      </c>
      <c r="Z76" s="155">
        <v>0</v>
      </c>
      <c r="AA76" s="152" t="str">
        <f t="shared" ref="AA76:AA85" si="42">+IFERROR(Z76/Y76-1,"n.a.")</f>
        <v>n.a.</v>
      </c>
      <c r="AB76" s="259">
        <f>+V76+S76+P76+M76+J76+G76+D76+Y76</f>
        <v>830993.5</v>
      </c>
      <c r="AC76" s="260">
        <f>+W76+T76+Q76+N76+K76+H76+E76+Z76</f>
        <v>912184.01199999999</v>
      </c>
      <c r="AD76" s="267">
        <f t="shared" ref="AD76:AD85" si="43">+IFERROR(AC76/AB76-1,"n.a.")</f>
        <v>9.7702944728207841E-2</v>
      </c>
      <c r="AE76" s="131"/>
    </row>
    <row r="77" spans="2:32" s="132" customFormat="1" ht="18" customHeight="1" x14ac:dyDescent="0.15">
      <c r="B77" s="130"/>
      <c r="C77" s="153" t="s">
        <v>13</v>
      </c>
      <c r="D77" s="154">
        <f>((+'10. Remolacha'!F12)/1000)*-1</f>
        <v>26146.575000000001</v>
      </c>
      <c r="E77" s="155">
        <v>0</v>
      </c>
      <c r="F77" s="152">
        <f t="shared" si="35"/>
        <v>-1</v>
      </c>
      <c r="G77" s="154">
        <v>0</v>
      </c>
      <c r="H77" s="155">
        <v>0</v>
      </c>
      <c r="I77" s="152" t="str">
        <f t="shared" si="36"/>
        <v>n.a.</v>
      </c>
      <c r="J77" s="154">
        <f>((+'15. Maiz Local'!F12)*-1)/1000</f>
        <v>25168</v>
      </c>
      <c r="K77" s="208">
        <f>((+'15. Maiz Local'!G12)/1000)*-1</f>
        <v>66449.695999999996</v>
      </c>
      <c r="L77" s="152">
        <f t="shared" si="37"/>
        <v>1.6402453909726638</v>
      </c>
      <c r="M77" s="154">
        <v>0</v>
      </c>
      <c r="N77" s="155">
        <v>0</v>
      </c>
      <c r="O77" s="152" t="str">
        <f t="shared" si="38"/>
        <v>n.a.</v>
      </c>
      <c r="P77" s="154">
        <f>((+'17. Alfalfa'!F12)/1000)*-1</f>
        <v>68900</v>
      </c>
      <c r="Q77" s="155">
        <f>((+'17. Alfalfa'!G12)/1000)*-1</f>
        <v>73336.876000000004</v>
      </c>
      <c r="R77" s="152">
        <f t="shared" si="39"/>
        <v>6.4395878084180014E-2</v>
      </c>
      <c r="S77" s="154">
        <f>((+'18. Canola y Girasol'!F12)/1000)*-1</f>
        <v>5010.2</v>
      </c>
      <c r="T77" s="155">
        <f>((+'18. Canola y Girasol'!G12)/1000)*-1</f>
        <v>3781.2359999999999</v>
      </c>
      <c r="U77" s="152">
        <f t="shared" si="40"/>
        <v>-0.24529240349686643</v>
      </c>
      <c r="V77" s="154">
        <v>0</v>
      </c>
      <c r="W77" s="155">
        <v>0</v>
      </c>
      <c r="X77" s="152" t="str">
        <f t="shared" si="41"/>
        <v>n.a.</v>
      </c>
      <c r="Y77" s="154">
        <v>0</v>
      </c>
      <c r="Z77" s="155">
        <v>0</v>
      </c>
      <c r="AA77" s="152" t="str">
        <f t="shared" si="42"/>
        <v>n.a.</v>
      </c>
      <c r="AB77" s="259">
        <f>+V77+S77+P77+M77+J77+G77+D77+Y77</f>
        <v>125224.77499999999</v>
      </c>
      <c r="AC77" s="260">
        <f>+W77+T77+Q77+N77+K77+H77+E77+Z77</f>
        <v>143567.80800000002</v>
      </c>
      <c r="AD77" s="267">
        <f t="shared" si="43"/>
        <v>0.14648086211374722</v>
      </c>
      <c r="AE77" s="131"/>
    </row>
    <row r="78" spans="2:32" s="132" customFormat="1" ht="18" customHeight="1" x14ac:dyDescent="0.15">
      <c r="B78" s="130"/>
      <c r="C78" s="153" t="s">
        <v>14</v>
      </c>
      <c r="D78" s="154">
        <v>0</v>
      </c>
      <c r="E78" s="155">
        <v>0</v>
      </c>
      <c r="F78" s="152" t="str">
        <f t="shared" si="35"/>
        <v>n.a.</v>
      </c>
      <c r="G78" s="154">
        <v>0</v>
      </c>
      <c r="H78" s="155">
        <v>0</v>
      </c>
      <c r="I78" s="152" t="str">
        <f t="shared" si="36"/>
        <v>n.a.</v>
      </c>
      <c r="J78" s="154">
        <f>(+'Base de Datos'!F222)*-1</f>
        <v>0</v>
      </c>
      <c r="K78" s="67">
        <f>((+'Base de Datos'!G222)/1000)*-1</f>
        <v>-22222.208999999999</v>
      </c>
      <c r="L78" s="223" t="str">
        <f t="shared" si="37"/>
        <v>n.a.</v>
      </c>
      <c r="M78" s="154">
        <v>0</v>
      </c>
      <c r="N78" s="155">
        <v>0</v>
      </c>
      <c r="O78" s="152" t="str">
        <f t="shared" si="38"/>
        <v>n.a.</v>
      </c>
      <c r="P78" s="154">
        <v>0</v>
      </c>
      <c r="Q78" s="155">
        <f>((+'17. Alfalfa'!G13)/1000)*-1</f>
        <v>-30868.863000000001</v>
      </c>
      <c r="R78" s="152" t="str">
        <f t="shared" si="39"/>
        <v>n.a.</v>
      </c>
      <c r="S78" s="246">
        <f>(+'18. Canola y Girasol'!F13)*-1</f>
        <v>0</v>
      </c>
      <c r="T78" s="155">
        <f>((+'18. Canola y Girasol'!G13)/1000)*-1</f>
        <v>-150099.93700000001</v>
      </c>
      <c r="U78" s="223" t="str">
        <f t="shared" si="40"/>
        <v>n.a.</v>
      </c>
      <c r="V78" s="154">
        <v>0</v>
      </c>
      <c r="W78" s="208">
        <v>0</v>
      </c>
      <c r="X78" s="152" t="str">
        <f t="shared" si="41"/>
        <v>n.a.</v>
      </c>
      <c r="Y78" s="154">
        <v>0</v>
      </c>
      <c r="Z78" s="155">
        <v>0</v>
      </c>
      <c r="AA78" s="152" t="str">
        <f t="shared" si="42"/>
        <v>n.a.</v>
      </c>
      <c r="AB78" s="259">
        <f>+V78+S78+P78+M78+J78+G78+D78+Y78</f>
        <v>0</v>
      </c>
      <c r="AC78" s="260">
        <f>+W78+T78+Q78+N78+K78+H78+E78+Z78</f>
        <v>-203191.00900000002</v>
      </c>
      <c r="AD78" s="267" t="str">
        <f t="shared" si="43"/>
        <v>n.a.</v>
      </c>
      <c r="AE78" s="131"/>
    </row>
    <row r="79" spans="2:32" s="132" customFormat="1" ht="18" customHeight="1" x14ac:dyDescent="0.15">
      <c r="B79" s="130"/>
      <c r="C79" s="153" t="s">
        <v>15</v>
      </c>
      <c r="D79" s="154">
        <v>0</v>
      </c>
      <c r="E79" s="155">
        <v>0</v>
      </c>
      <c r="F79" s="152" t="str">
        <f t="shared" si="35"/>
        <v>n.a.</v>
      </c>
      <c r="G79" s="154">
        <f>(+G$129*'12. Planta'!$F14/1000)*-1</f>
        <v>29567.666699999998</v>
      </c>
      <c r="H79" s="155">
        <f>(+H$129*'12. Planta'!$G14/1000)*-1</f>
        <v>31298.530185000003</v>
      </c>
      <c r="I79" s="152">
        <f t="shared" si="36"/>
        <v>5.8539062367068961E-2</v>
      </c>
      <c r="J79" s="154">
        <f>((+J$129*'12. Planta'!$F14)/1000)*-1</f>
        <v>26989.972679999999</v>
      </c>
      <c r="K79" s="208">
        <f>((+K$129*'12. Planta'!$G14)/1000)*-1</f>
        <v>28569.940373999998</v>
      </c>
      <c r="L79" s="152">
        <f t="shared" si="37"/>
        <v>5.8539062367068739E-2</v>
      </c>
      <c r="M79" s="154">
        <f>((+M$129*'12. Planta'!$F14)/1000)*-1</f>
        <v>70810.771020000015</v>
      </c>
      <c r="N79" s="155">
        <f>((+N$129*'12. Planta'!$G14)/1000)*-1</f>
        <v>74955.967160999993</v>
      </c>
      <c r="O79" s="152">
        <f t="shared" si="38"/>
        <v>5.8539062367068295E-2</v>
      </c>
      <c r="P79" s="246">
        <v>0</v>
      </c>
      <c r="Q79" s="155">
        <v>0</v>
      </c>
      <c r="R79" s="152" t="str">
        <f t="shared" si="39"/>
        <v>n.a.</v>
      </c>
      <c r="S79" s="154">
        <f>((+S$129*'12. Planta'!$F14)/1000)*-1</f>
        <v>24260.649600000001</v>
      </c>
      <c r="T79" s="155">
        <f>((+T$129*'12. Planta'!$G14)/1000)*-1</f>
        <v>25680.845280000001</v>
      </c>
      <c r="U79" s="152">
        <f t="shared" si="40"/>
        <v>5.8539062367068739E-2</v>
      </c>
      <c r="V79" s="154">
        <v>0</v>
      </c>
      <c r="W79" s="208">
        <v>0</v>
      </c>
      <c r="X79" s="223" t="str">
        <f t="shared" si="41"/>
        <v>n.a.</v>
      </c>
      <c r="Y79" s="154">
        <v>0</v>
      </c>
      <c r="Z79" s="287">
        <f>(+'21.Procesos '!G14/1000)*-1</f>
        <v>58325.296999999999</v>
      </c>
      <c r="AA79" s="223" t="str">
        <f t="shared" si="42"/>
        <v>n.a.</v>
      </c>
      <c r="AB79" s="259">
        <f>+V79+S79+P79+M79+J79+G79+D79+Y79</f>
        <v>151629.06000000003</v>
      </c>
      <c r="AC79" s="260">
        <f>+W79+T79+Q79+N79+K79+H79+E79+Z79</f>
        <v>218830.58</v>
      </c>
      <c r="AD79" s="267">
        <f t="shared" si="43"/>
        <v>0.4431968383896856</v>
      </c>
      <c r="AE79" s="131"/>
      <c r="AF79" s="132">
        <f>+AC79+AC81+AC89+AC98</f>
        <v>709607.79700000002</v>
      </c>
    </row>
    <row r="80" spans="2:32" s="132" customFormat="1" ht="18" customHeight="1" x14ac:dyDescent="0.15">
      <c r="B80" s="130"/>
      <c r="C80" s="153" t="s">
        <v>16</v>
      </c>
      <c r="D80" s="154">
        <v>0</v>
      </c>
      <c r="E80" s="155">
        <v>0</v>
      </c>
      <c r="F80" s="152" t="str">
        <f t="shared" si="35"/>
        <v>n.a.</v>
      </c>
      <c r="G80" s="154">
        <f>(+G$129*'12. Planta'!$F15/1000)*-1</f>
        <v>28773.950205000001</v>
      </c>
      <c r="H80" s="155">
        <f>(+H$129*'12. Planta'!$G15/1000)*-1</f>
        <v>26454.455624999999</v>
      </c>
      <c r="I80" s="152">
        <f t="shared" si="36"/>
        <v>-8.0610919372375522E-2</v>
      </c>
      <c r="J80" s="154">
        <f>((+J$129*'12. Planta'!$F15)/1000)*-1</f>
        <v>26265.451981999999</v>
      </c>
      <c r="K80" s="208">
        <f>((+K$129*'12. Planta'!$G15)/1000)*-1</f>
        <v>24148.169750000001</v>
      </c>
      <c r="L80" s="152">
        <f t="shared" si="37"/>
        <v>-8.06109193723753E-2</v>
      </c>
      <c r="M80" s="154">
        <f>((+M$129*'12. Planta'!$F15)/1000)*-1</f>
        <v>68909.921773000009</v>
      </c>
      <c r="N80" s="155">
        <f>((+N$129*'12. Planta'!$G15)/1000)*-1</f>
        <v>63355.029625000003</v>
      </c>
      <c r="O80" s="152">
        <f t="shared" si="38"/>
        <v>-8.0610919372375522E-2</v>
      </c>
      <c r="P80" s="154">
        <v>0</v>
      </c>
      <c r="Q80" s="155">
        <v>0</v>
      </c>
      <c r="R80" s="152" t="str">
        <f t="shared" si="39"/>
        <v>n.a.</v>
      </c>
      <c r="S80" s="154">
        <f>((+S$129*'12. Planta'!$F15)/1000)*-1</f>
        <v>23609.395039999999</v>
      </c>
      <c r="T80" s="155">
        <f>((+T$129*'12. Planta'!$G15)/1000)*-1</f>
        <v>21706.22</v>
      </c>
      <c r="U80" s="152">
        <f t="shared" si="40"/>
        <v>-8.06109193723753E-2</v>
      </c>
      <c r="V80" s="154">
        <v>0</v>
      </c>
      <c r="W80" s="208">
        <v>0</v>
      </c>
      <c r="X80" s="152" t="str">
        <f t="shared" si="41"/>
        <v>n.a.</v>
      </c>
      <c r="Y80" s="154">
        <v>0</v>
      </c>
      <c r="Z80" s="288">
        <f>(+'21.Procesos '!G15/1000)*-1</f>
        <v>68074.933000000005</v>
      </c>
      <c r="AA80" s="152" t="str">
        <f t="shared" si="42"/>
        <v>n.a.</v>
      </c>
      <c r="AB80" s="259">
        <f>+V80+S80+P80+M80+J80+G80+D80+Y80</f>
        <v>147558.71900000001</v>
      </c>
      <c r="AC80" s="260">
        <f>+W80+T80+Q80+N80+K80+H80+E80+Z80</f>
        <v>203738.80800000002</v>
      </c>
      <c r="AD80" s="267">
        <f t="shared" si="43"/>
        <v>0.38073039248870133</v>
      </c>
      <c r="AE80" s="131"/>
      <c r="AF80" s="132">
        <f>+AC79-Z79</f>
        <v>160505.283</v>
      </c>
    </row>
    <row r="81" spans="2:45" s="132" customFormat="1" ht="18" customHeight="1" x14ac:dyDescent="0.15">
      <c r="B81" s="130"/>
      <c r="C81" s="153" t="s">
        <v>17</v>
      </c>
      <c r="D81" s="154">
        <v>0</v>
      </c>
      <c r="E81" s="155">
        <v>0</v>
      </c>
      <c r="F81" s="152" t="str">
        <f t="shared" si="35"/>
        <v>n.a.</v>
      </c>
      <c r="G81" s="154">
        <f>(+'13. Maiz de Exportación'!F16/1000)*-1</f>
        <v>13471.942999999999</v>
      </c>
      <c r="H81" s="155">
        <f>(+'13. Maiz de Exportación'!G16/1000)*-1</f>
        <v>15226.328</v>
      </c>
      <c r="I81" s="152">
        <f t="shared" si="36"/>
        <v>0.13022509076827293</v>
      </c>
      <c r="J81" s="154">
        <f>((+'15. Maiz Local'!F16)/1000)*-1</f>
        <v>12247.22</v>
      </c>
      <c r="K81" s="155">
        <f>((+'15. Maiz Local'!G16)/1000)*-1</f>
        <v>16193.263999999999</v>
      </c>
      <c r="L81" s="152">
        <f t="shared" si="37"/>
        <v>0.32219916029923534</v>
      </c>
      <c r="M81" s="154">
        <f>((+'16. Soya de Exportación'!F16)/1000)*-1</f>
        <v>32210.197</v>
      </c>
      <c r="N81" s="155">
        <f>((+'16. Soya de Exportación'!G16)/1000)*-1</f>
        <v>45112.082000000002</v>
      </c>
      <c r="O81" s="152">
        <f t="shared" si="38"/>
        <v>0.40055281251462072</v>
      </c>
      <c r="P81" s="154">
        <v>0</v>
      </c>
      <c r="Q81" s="155">
        <v>0</v>
      </c>
      <c r="R81" s="152" t="str">
        <f t="shared" si="39"/>
        <v>n.a.</v>
      </c>
      <c r="S81" s="154">
        <f>((+'18. Canola y Girasol'!F16)/1000)*-1</f>
        <v>11022.502</v>
      </c>
      <c r="T81" s="155">
        <f>((+'18. Canola y Girasol'!G16)/1000)*-1</f>
        <v>9602.2649999999994</v>
      </c>
      <c r="U81" s="152">
        <f t="shared" si="40"/>
        <v>-0.12884887659807187</v>
      </c>
      <c r="V81" s="154">
        <f>((+'20. Campos Propios'!F16)/1000)*-1</f>
        <v>54610.364000000001</v>
      </c>
      <c r="W81" s="155">
        <f>((+'20. Campos Propios'!G16)/1000)*-1</f>
        <v>89760.65</v>
      </c>
      <c r="X81" s="152">
        <f t="shared" si="41"/>
        <v>0.64365595512236462</v>
      </c>
      <c r="Y81" s="154">
        <v>0</v>
      </c>
      <c r="Z81" s="155">
        <v>0</v>
      </c>
      <c r="AA81" s="152" t="str">
        <f t="shared" si="42"/>
        <v>n.a.</v>
      </c>
      <c r="AB81" s="259">
        <f>+V81+S81+P81+M81+J81+G81+D81+Y81</f>
        <v>123562.22600000001</v>
      </c>
      <c r="AC81" s="260">
        <f>+W81+T81+Q81+N81+K81+H81+E81+Z81</f>
        <v>175894.58900000001</v>
      </c>
      <c r="AD81" s="267">
        <f t="shared" si="43"/>
        <v>0.42353043235074117</v>
      </c>
      <c r="AE81" s="131"/>
    </row>
    <row r="82" spans="2:45" s="132" customFormat="1" ht="18" customHeight="1" x14ac:dyDescent="0.15">
      <c r="B82" s="130"/>
      <c r="C82" s="153" t="s">
        <v>18</v>
      </c>
      <c r="D82" s="156">
        <f>((+'10. Remolacha'!F28)/1000)*-1</f>
        <v>1078</v>
      </c>
      <c r="E82" s="157">
        <f>(+'10. Remolacha'!G28/1000)*-1</f>
        <v>715.85299999999995</v>
      </c>
      <c r="F82" s="152">
        <f t="shared" si="35"/>
        <v>-0.33594341372912806</v>
      </c>
      <c r="G82" s="156">
        <f>(+'13. Maiz de Exportación'!F17/1000)*-1</f>
        <v>18313.396000000001</v>
      </c>
      <c r="H82" s="157">
        <f>(+'13. Maiz de Exportación'!G17/1000)*-1</f>
        <v>18916.050999999999</v>
      </c>
      <c r="I82" s="152">
        <f t="shared" si="36"/>
        <v>3.290787792717409E-2</v>
      </c>
      <c r="J82" s="156">
        <f>((+'15. Maiz Local'!F17)/1000)*-1</f>
        <v>87860.270999999993</v>
      </c>
      <c r="K82" s="157">
        <f>((+'15. Maiz Local'!G17)/1000)*-1</f>
        <v>88900.752999999997</v>
      </c>
      <c r="L82" s="152">
        <f t="shared" si="37"/>
        <v>1.1842462903398188E-2</v>
      </c>
      <c r="M82" s="156">
        <f>((+'16. Soya de Exportación'!F17)/1000)*-1</f>
        <v>136032.58300000001</v>
      </c>
      <c r="N82" s="157">
        <f>((+'16. Soya de Exportación'!G17)/1000)*-1</f>
        <v>147138.565</v>
      </c>
      <c r="O82" s="152">
        <f t="shared" si="38"/>
        <v>8.1642072473180782E-2</v>
      </c>
      <c r="P82" s="156">
        <f>(+'17. Alfalfa'!F31/1000)*-1-P91</f>
        <v>771</v>
      </c>
      <c r="Q82" s="157">
        <f>(+'17. Alfalfa'!G28/1000)*-1</f>
        <v>1263.7760000000001</v>
      </c>
      <c r="R82" s="152">
        <f t="shared" si="39"/>
        <v>0.63913878080415043</v>
      </c>
      <c r="S82" s="156">
        <f>((+'18. Canola y Girasol'!F17)/1000)*-1</f>
        <v>133814.31899999999</v>
      </c>
      <c r="T82" s="157">
        <f>((+'18. Canola y Girasol'!G17)/1000)*-1</f>
        <v>112078.101</v>
      </c>
      <c r="U82" s="152">
        <f t="shared" si="40"/>
        <v>-0.16243566579746971</v>
      </c>
      <c r="V82" s="156">
        <f>((+'20. Campos Propios'!F17)/1000)*-1</f>
        <v>323201.065</v>
      </c>
      <c r="W82" s="157">
        <f>((+'20. Campos Propios'!G17)/1000)*-1</f>
        <v>329883.79100000003</v>
      </c>
      <c r="X82" s="152">
        <f t="shared" si="41"/>
        <v>2.0676683104370319E-2</v>
      </c>
      <c r="Y82" s="154">
        <v>0</v>
      </c>
      <c r="Z82" s="155">
        <v>0</v>
      </c>
      <c r="AA82" s="152" t="str">
        <f t="shared" si="42"/>
        <v>n.a.</v>
      </c>
      <c r="AB82" s="259">
        <f>+V82+S82+P82+M82+J82+G82+D82+Y82</f>
        <v>701070.63399999985</v>
      </c>
      <c r="AC82" s="260">
        <f>+W82+T82+Q82+N82+K82+H82+E82+Z82</f>
        <v>698896.89</v>
      </c>
      <c r="AD82" s="267">
        <f t="shared" si="43"/>
        <v>-3.1006062650169586E-3</v>
      </c>
      <c r="AE82" s="131"/>
    </row>
    <row r="83" spans="2:45" s="132" customFormat="1" ht="18" customHeight="1" x14ac:dyDescent="0.15">
      <c r="B83" s="130"/>
      <c r="C83" s="153" t="s">
        <v>19</v>
      </c>
      <c r="D83" s="154">
        <v>0</v>
      </c>
      <c r="E83" s="155">
        <v>0</v>
      </c>
      <c r="F83" s="152" t="str">
        <f t="shared" si="35"/>
        <v>n.a.</v>
      </c>
      <c r="G83" s="154">
        <v>0</v>
      </c>
      <c r="H83" s="155">
        <v>0</v>
      </c>
      <c r="I83" s="152" t="str">
        <f t="shared" si="36"/>
        <v>n.a.</v>
      </c>
      <c r="J83" s="154">
        <v>0</v>
      </c>
      <c r="K83" s="208">
        <f>-'15. Maiz Local'!G18/1000</f>
        <v>3921.1979999999999</v>
      </c>
      <c r="L83" s="152" t="str">
        <f t="shared" si="37"/>
        <v>n.a.</v>
      </c>
      <c r="M83" s="154">
        <v>0</v>
      </c>
      <c r="N83" s="155">
        <v>0</v>
      </c>
      <c r="O83" s="152" t="str">
        <f t="shared" si="38"/>
        <v>n.a.</v>
      </c>
      <c r="P83" s="154">
        <v>0</v>
      </c>
      <c r="Q83" s="208">
        <v>0</v>
      </c>
      <c r="R83" s="152" t="str">
        <f t="shared" si="39"/>
        <v>n.a.</v>
      </c>
      <c r="S83" s="154">
        <f>-'18. Canola y Girasol'!F18</f>
        <v>0</v>
      </c>
      <c r="T83" s="208">
        <f>-'18. Canola y Girasol'!G18/1000</f>
        <v>448</v>
      </c>
      <c r="U83" s="152" t="str">
        <f t="shared" si="40"/>
        <v>n.a.</v>
      </c>
      <c r="V83" s="154">
        <v>0</v>
      </c>
      <c r="W83" s="155">
        <v>0</v>
      </c>
      <c r="X83" s="152" t="str">
        <f t="shared" si="41"/>
        <v>n.a.</v>
      </c>
      <c r="Y83" s="154">
        <v>0</v>
      </c>
      <c r="Z83" s="155">
        <v>0</v>
      </c>
      <c r="AA83" s="152" t="str">
        <f t="shared" si="42"/>
        <v>n.a.</v>
      </c>
      <c r="AB83" s="259">
        <f>+V83+S83+P83+M83+J83+G83+D83+Y83</f>
        <v>0</v>
      </c>
      <c r="AC83" s="260">
        <f>+W83+T83+Q83+N83+K83+H83+E83+Z83</f>
        <v>4369.1980000000003</v>
      </c>
      <c r="AD83" s="267" t="str">
        <f t="shared" si="43"/>
        <v>n.a.</v>
      </c>
      <c r="AE83" s="131"/>
    </row>
    <row r="84" spans="2:45" s="132" customFormat="1" ht="18" customHeight="1" x14ac:dyDescent="0.15">
      <c r="B84" s="130"/>
      <c r="C84" s="153" t="s">
        <v>20</v>
      </c>
      <c r="D84" s="154"/>
      <c r="E84" s="155"/>
      <c r="F84" s="152" t="str">
        <f t="shared" si="35"/>
        <v>n.a.</v>
      </c>
      <c r="G84" s="154"/>
      <c r="H84" s="155"/>
      <c r="I84" s="152" t="str">
        <f t="shared" si="36"/>
        <v>n.a.</v>
      </c>
      <c r="J84" s="245">
        <f>((+'15. Maiz Local'!F19)/1000)*-1</f>
        <v>38592</v>
      </c>
      <c r="K84" s="155">
        <f>((+'15. Maiz Local'!G19)/1000)*-1</f>
        <v>30243.71</v>
      </c>
      <c r="L84" s="152">
        <f t="shared" si="37"/>
        <v>-0.21632177653399676</v>
      </c>
      <c r="M84" s="154"/>
      <c r="N84" s="155"/>
      <c r="O84" s="152" t="str">
        <f t="shared" si="38"/>
        <v>n.a.</v>
      </c>
      <c r="P84" s="154"/>
      <c r="Q84" s="155"/>
      <c r="R84" s="152" t="str">
        <f t="shared" si="39"/>
        <v>n.a.</v>
      </c>
      <c r="S84" s="154">
        <f>((+'18. Canola y Girasol'!$F$19)/1000)*-1</f>
        <v>148488</v>
      </c>
      <c r="T84" s="155">
        <f>((+'18. Canola y Girasol'!$G$19)/1000)*-1</f>
        <v>323262.73200000002</v>
      </c>
      <c r="U84" s="152">
        <f t="shared" si="40"/>
        <v>1.1770293357038955</v>
      </c>
      <c r="V84" s="154"/>
      <c r="W84" s="155"/>
      <c r="X84" s="152" t="str">
        <f t="shared" si="41"/>
        <v>n.a.</v>
      </c>
      <c r="Y84" s="154"/>
      <c r="Z84" s="155"/>
      <c r="AA84" s="152" t="str">
        <f t="shared" si="42"/>
        <v>n.a.</v>
      </c>
      <c r="AB84" s="259">
        <f>+V84+S84+P84+M84+J84+G84+D84+Y84</f>
        <v>187080</v>
      </c>
      <c r="AC84" s="260">
        <f>+W84+T84+Q84+N84+K84+H84+E84+Z84</f>
        <v>353506.44200000004</v>
      </c>
      <c r="AD84" s="267">
        <f t="shared" si="43"/>
        <v>0.88960039555270498</v>
      </c>
      <c r="AE84" s="131"/>
      <c r="AS84" s="158"/>
    </row>
    <row r="85" spans="2:45" s="132" customFormat="1" ht="18" customHeight="1" x14ac:dyDescent="0.15">
      <c r="B85" s="130"/>
      <c r="C85" s="147" t="s">
        <v>21</v>
      </c>
      <c r="D85" s="148">
        <f>SUM(D76:D84)</f>
        <v>27224.575000000001</v>
      </c>
      <c r="E85" s="149">
        <f>SUM(E76:E84)</f>
        <v>715.85299999999995</v>
      </c>
      <c r="F85" s="150">
        <f t="shared" si="35"/>
        <v>-0.97370563176835634</v>
      </c>
      <c r="G85" s="148">
        <f>SUM(G76:G84)</f>
        <v>187462.95590500001</v>
      </c>
      <c r="H85" s="149">
        <f>SUM(H76:H84)</f>
        <v>199377.76981000003</v>
      </c>
      <c r="I85" s="150">
        <f t="shared" si="36"/>
        <v>6.3558231264837506E-2</v>
      </c>
      <c r="J85" s="148">
        <f>SUM(J76:J84)</f>
        <v>314422.91566200001</v>
      </c>
      <c r="K85" s="149">
        <f>SUM(K76:K84)</f>
        <v>333189.34312399995</v>
      </c>
      <c r="L85" s="150">
        <f t="shared" si="37"/>
        <v>5.9685304496614799E-2</v>
      </c>
      <c r="M85" s="148">
        <f>SUM(M76:M84)</f>
        <v>795745.97279300005</v>
      </c>
      <c r="N85" s="149">
        <f>SUM(N76:N84)</f>
        <v>866292.30978600006</v>
      </c>
      <c r="O85" s="150">
        <f t="shared" si="38"/>
        <v>8.8654343729052565E-2</v>
      </c>
      <c r="P85" s="148">
        <f>SUM(P76:P84)</f>
        <v>69671</v>
      </c>
      <c r="Q85" s="149">
        <f>SUM(Q76:Q84)</f>
        <v>43731.789000000004</v>
      </c>
      <c r="R85" s="150">
        <f t="shared" si="39"/>
        <v>-0.37231001420964238</v>
      </c>
      <c r="S85" s="148">
        <f>SUM(S76:S84)</f>
        <v>494780.06564000004</v>
      </c>
      <c r="T85" s="226">
        <f>SUM(T76:T84)</f>
        <v>513944.14528</v>
      </c>
      <c r="U85" s="150">
        <f t="shared" si="40"/>
        <v>3.8732521721971835E-2</v>
      </c>
      <c r="V85" s="148">
        <f>SUM(V76:V84)</f>
        <v>377811.429</v>
      </c>
      <c r="W85" s="149">
        <f>SUM(W76:W84)</f>
        <v>424145.87800000003</v>
      </c>
      <c r="X85" s="150">
        <f t="shared" si="41"/>
        <v>0.12263908776565891</v>
      </c>
      <c r="Y85" s="148">
        <f>SUM(Y76:Y84)</f>
        <v>0</v>
      </c>
      <c r="Z85" s="149">
        <f>SUM(Z76:Z84)</f>
        <v>126400.23000000001</v>
      </c>
      <c r="AA85" s="150" t="str">
        <f t="shared" si="42"/>
        <v>n.a.</v>
      </c>
      <c r="AB85" s="259">
        <f>+V85+S85+P85+M85+J85+G85+D85+Y85</f>
        <v>2267118.9140000003</v>
      </c>
      <c r="AC85" s="260">
        <f>+W85+T85+Q85+N85+K85+H85+E85+Z85</f>
        <v>2507797.318</v>
      </c>
      <c r="AD85" s="267">
        <f t="shared" si="43"/>
        <v>0.10616046759336406</v>
      </c>
      <c r="AE85" s="131"/>
    </row>
    <row r="86" spans="2:45" s="132" customFormat="1" ht="18" customHeight="1" x14ac:dyDescent="0.15">
      <c r="B86" s="130"/>
      <c r="C86" s="147"/>
      <c r="D86" s="148"/>
      <c r="E86" s="149"/>
      <c r="F86" s="152"/>
      <c r="G86" s="148"/>
      <c r="H86" s="149"/>
      <c r="I86" s="152"/>
      <c r="J86" s="148"/>
      <c r="K86" s="149"/>
      <c r="L86" s="152"/>
      <c r="M86" s="148"/>
      <c r="N86" s="149"/>
      <c r="O86" s="152"/>
      <c r="P86" s="148"/>
      <c r="Q86" s="149"/>
      <c r="R86" s="152"/>
      <c r="S86" s="148"/>
      <c r="T86" s="149"/>
      <c r="U86" s="152"/>
      <c r="V86" s="148"/>
      <c r="W86" s="149"/>
      <c r="X86" s="152"/>
      <c r="Y86" s="148"/>
      <c r="Z86" s="149"/>
      <c r="AA86" s="152"/>
      <c r="AB86" s="259"/>
      <c r="AC86" s="260"/>
      <c r="AD86" s="267"/>
      <c r="AE86" s="131"/>
    </row>
    <row r="87" spans="2:45" s="132" customFormat="1" ht="18" customHeight="1" x14ac:dyDescent="0.15">
      <c r="B87" s="130"/>
      <c r="C87" s="159" t="s">
        <v>22</v>
      </c>
      <c r="D87" s="249">
        <f>+D74-D85</f>
        <v>1536.6579999999994</v>
      </c>
      <c r="E87" s="253">
        <f>+E74-E85</f>
        <v>-715.85299999999995</v>
      </c>
      <c r="F87" s="250">
        <f>+IFERROR(E87/D87-1,"n.a.")</f>
        <v>-1.4658505666192478</v>
      </c>
      <c r="G87" s="160">
        <f>+G74-G85</f>
        <v>-16187.95590500001</v>
      </c>
      <c r="H87" s="255">
        <f>+H74-H85</f>
        <v>-110705.76181000003</v>
      </c>
      <c r="I87" s="250">
        <f>+IFERROR(H87/G87-1,"n.a.")</f>
        <v>5.8387733732216365</v>
      </c>
      <c r="J87" s="249">
        <f>+J74-J85</f>
        <v>-75722.915662000014</v>
      </c>
      <c r="K87" s="253">
        <f>+K74-K85</f>
        <v>-71307.814123999939</v>
      </c>
      <c r="L87" s="250">
        <f>+IFERROR(K87/J87-1,"n.a.")</f>
        <v>-5.8306016077187328E-2</v>
      </c>
      <c r="M87" s="160">
        <f>+M74-M85</f>
        <v>-171873.36179300002</v>
      </c>
      <c r="N87" s="255">
        <f>+N74-N85</f>
        <v>-125420.23178600008</v>
      </c>
      <c r="O87" s="250">
        <f>+IFERROR(N87/M87-1,"n.a.")</f>
        <v>-0.27027533250293279</v>
      </c>
      <c r="P87" s="249">
        <f>+P74-P85</f>
        <v>7497</v>
      </c>
      <c r="Q87" s="253">
        <f>+Q74-Q85</f>
        <v>4776.2109999999957</v>
      </c>
      <c r="R87" s="250">
        <f>+IFERROR(Q87/P87-1,"n.a.")</f>
        <v>-0.36291703348005921</v>
      </c>
      <c r="S87" s="249">
        <f>+S74-S85</f>
        <v>675046.22935999988</v>
      </c>
      <c r="T87" s="253">
        <f>+T74-T85</f>
        <v>740559.53771999991</v>
      </c>
      <c r="U87" s="250">
        <f>+IFERROR(T87/S87-1,"n.a.")</f>
        <v>9.7050106363992361E-2</v>
      </c>
      <c r="V87" s="160">
        <f>+V74-V85</f>
        <v>46742.031000000017</v>
      </c>
      <c r="W87" s="161">
        <f>+W74-W85</f>
        <v>-4087.8760000000475</v>
      </c>
      <c r="X87" s="162">
        <f>+IFERROR(W87/V87-1,"n.a.")</f>
        <v>-1.0874561056193739</v>
      </c>
      <c r="Y87" s="249">
        <f>+Y74-Y85</f>
        <v>0</v>
      </c>
      <c r="Z87" s="161">
        <f>+Z74-Z85</f>
        <v>43078.364000000001</v>
      </c>
      <c r="AA87" s="250" t="str">
        <f>+IFERROR(Z87/Y87-1,"n.a.")</f>
        <v>n.a.</v>
      </c>
      <c r="AB87" s="257">
        <f>+AB74-AB85</f>
        <v>467037.68499999959</v>
      </c>
      <c r="AC87" s="258">
        <f>+AC74-AC85</f>
        <v>476176.57600000035</v>
      </c>
      <c r="AD87" s="268">
        <f>+IFERROR(AC87/AB87-1,"n.a.")</f>
        <v>1.9567780702751669E-2</v>
      </c>
      <c r="AE87" s="131"/>
    </row>
    <row r="88" spans="2:45" s="132" customFormat="1" ht="18" customHeight="1" x14ac:dyDescent="0.15">
      <c r="B88" s="130"/>
      <c r="C88" s="147"/>
      <c r="D88" s="148"/>
      <c r="E88" s="149"/>
      <c r="F88" s="152"/>
      <c r="G88" s="148"/>
      <c r="H88" s="149"/>
      <c r="I88" s="148"/>
      <c r="J88" s="148"/>
      <c r="K88" s="149"/>
      <c r="L88" s="152"/>
      <c r="M88" s="148"/>
      <c r="N88" s="149"/>
      <c r="O88" s="152"/>
      <c r="P88" s="148"/>
      <c r="Q88" s="149"/>
      <c r="R88" s="152"/>
      <c r="S88" s="148"/>
      <c r="T88" s="149"/>
      <c r="U88" s="152"/>
      <c r="V88" s="148"/>
      <c r="W88" s="149"/>
      <c r="X88" s="152"/>
      <c r="Y88" s="148"/>
      <c r="Z88" s="149"/>
      <c r="AA88" s="152"/>
      <c r="AB88" s="259"/>
      <c r="AC88" s="260"/>
      <c r="AD88" s="267"/>
      <c r="AE88" s="131"/>
    </row>
    <row r="89" spans="2:45" s="132" customFormat="1" ht="18" customHeight="1" x14ac:dyDescent="0.15">
      <c r="B89" s="130"/>
      <c r="C89" s="153" t="s">
        <v>23</v>
      </c>
      <c r="D89" s="156"/>
      <c r="E89" s="157"/>
      <c r="F89" s="152" t="str">
        <f t="shared" ref="F89:F120" si="44">+IFERROR(E89/D89-1,"n.a.")</f>
        <v>n.a.</v>
      </c>
      <c r="G89" s="156">
        <v>0</v>
      </c>
      <c r="H89" s="157">
        <v>0</v>
      </c>
      <c r="I89" s="152" t="str">
        <f t="shared" ref="I89:I120" si="45">+IFERROR(H89/G89-1,"n.a.")</f>
        <v>n.a.</v>
      </c>
      <c r="J89" s="156">
        <f>((+J$128*'11. Ventas Mer. Local'!$F$24)/1000)*-1</f>
        <v>44626.824000000001</v>
      </c>
      <c r="K89" s="157">
        <f>((+K128*'11. Ventas Mer. Local'!$G$24)/1000)*-1</f>
        <v>66234.088199999998</v>
      </c>
      <c r="L89" s="152">
        <f t="shared" ref="L89:L120" si="46">+IFERROR(K89/J89-1,"n.a.")</f>
        <v>0.4841766064284565</v>
      </c>
      <c r="M89" s="156">
        <v>0</v>
      </c>
      <c r="N89" s="157">
        <v>0</v>
      </c>
      <c r="O89" s="152" t="str">
        <f t="shared" ref="O89:O120" si="47">+IFERROR(N89/M89-1,"n.a.")</f>
        <v>n.a.</v>
      </c>
      <c r="P89" s="156">
        <f>((+P$128*'11. Ventas Mer. Local'!$F$24)/1000)*-1</f>
        <v>5950.2431999999999</v>
      </c>
      <c r="Q89" s="157">
        <f>((+Q128*'11. Ventas Mer. Local'!$G$24)/1000)*-1</f>
        <v>8831.2117600000001</v>
      </c>
      <c r="R89" s="152">
        <f t="shared" ref="R89:R120" si="48">+IFERROR(Q89/P89-1,"n.a.")</f>
        <v>0.48417660642845672</v>
      </c>
      <c r="S89" s="156">
        <f>((+S$128*'11. Ventas Mer. Local'!$F$24)/1000)*-1</f>
        <v>23800.9728</v>
      </c>
      <c r="T89" s="157">
        <f>((+T128*'11. Ventas Mer. Local'!$G$24)/1000)*-1</f>
        <v>35324.847040000001</v>
      </c>
      <c r="U89" s="152">
        <f t="shared" ref="U89:U120" si="49">+IFERROR(T89/S89-1,"n.a.")</f>
        <v>0.48417660642845672</v>
      </c>
      <c r="V89" s="156"/>
      <c r="W89" s="157"/>
      <c r="X89" s="152" t="str">
        <f t="shared" ref="X89:X120" si="50">+IFERROR(W89/V89-1,"n.a.")</f>
        <v>n.a.</v>
      </c>
      <c r="Y89" s="156"/>
      <c r="Z89" s="157"/>
      <c r="AA89" s="152" t="str">
        <f t="shared" ref="AA89:AA120" si="51">+IFERROR(Z89/Y89-1,"n.a.")</f>
        <v>n.a.</v>
      </c>
      <c r="AB89" s="259">
        <f>+V89+S89+P89+M89+J89+G89+D89+Y89</f>
        <v>74378.040000000008</v>
      </c>
      <c r="AC89" s="260">
        <f>+W89+T89+Q89+N89+K89+H89+E89+Z89</f>
        <v>110390.147</v>
      </c>
      <c r="AD89" s="267">
        <f t="shared" ref="AD89:AD120" si="52">+IFERROR(AC89/AB89-1,"n.a.")</f>
        <v>0.48417660642845628</v>
      </c>
      <c r="AE89" s="131"/>
    </row>
    <row r="90" spans="2:45" s="132" customFormat="1" ht="18" customHeight="1" x14ac:dyDescent="0.15">
      <c r="B90" s="130"/>
      <c r="C90" s="153" t="s">
        <v>24</v>
      </c>
      <c r="D90" s="156"/>
      <c r="E90" s="157"/>
      <c r="F90" s="152" t="str">
        <f t="shared" si="44"/>
        <v>n.a.</v>
      </c>
      <c r="G90" s="156">
        <v>0</v>
      </c>
      <c r="H90" s="157">
        <v>0</v>
      </c>
      <c r="I90" s="152" t="str">
        <f t="shared" si="45"/>
        <v>n.a.</v>
      </c>
      <c r="J90" s="156">
        <f>((+J$128*'11. Ventas Mer. Local'!$F$25)/1000)*-1</f>
        <v>4900.2</v>
      </c>
      <c r="K90" s="157">
        <f>((+K$128*'11. Ventas Mer. Local'!$G$25)/1000)*-1</f>
        <v>4393.4633999999996</v>
      </c>
      <c r="L90" s="152">
        <f t="shared" si="46"/>
        <v>-0.10341141177911106</v>
      </c>
      <c r="M90" s="156">
        <v>0</v>
      </c>
      <c r="N90" s="157">
        <v>0</v>
      </c>
      <c r="O90" s="152" t="str">
        <f t="shared" si="47"/>
        <v>n.a.</v>
      </c>
      <c r="P90" s="156">
        <f>((+P$128*'11. Ventas Mer. Local'!$F$25)/1000)*-1</f>
        <v>653.36</v>
      </c>
      <c r="Q90" s="157">
        <f>((+Q$128*'11. Ventas Mer. Local'!$G$25)/1000)*-1</f>
        <v>585.79512</v>
      </c>
      <c r="R90" s="152">
        <f t="shared" si="48"/>
        <v>-0.10341141177911106</v>
      </c>
      <c r="S90" s="156">
        <f>((+S$128*'11. Ventas Mer. Local'!$F$25)/1000)*-1</f>
        <v>2613.44</v>
      </c>
      <c r="T90" s="157">
        <f>((+T$128*'11. Ventas Mer. Local'!$G$25)/1000)*-1</f>
        <v>2343.18048</v>
      </c>
      <c r="U90" s="152">
        <f t="shared" si="49"/>
        <v>-0.10341141177911106</v>
      </c>
      <c r="V90" s="156"/>
      <c r="W90" s="157"/>
      <c r="X90" s="152" t="str">
        <f t="shared" si="50"/>
        <v>n.a.</v>
      </c>
      <c r="Y90" s="156"/>
      <c r="Z90" s="157"/>
      <c r="AA90" s="152" t="str">
        <f t="shared" si="51"/>
        <v>n.a.</v>
      </c>
      <c r="AB90" s="259">
        <f>+V90+S90+P90+M90+J90+G90+D90+Y90</f>
        <v>8167</v>
      </c>
      <c r="AC90" s="260">
        <f>+W90+T90+Q90+N90+K90+H90+E90+Z90</f>
        <v>7322.4389999999994</v>
      </c>
      <c r="AD90" s="267">
        <f t="shared" si="52"/>
        <v>-0.10341141177911117</v>
      </c>
      <c r="AE90" s="131"/>
    </row>
    <row r="91" spans="2:45" s="132" customFormat="1" ht="18" customHeight="1" x14ac:dyDescent="0.15">
      <c r="B91" s="130"/>
      <c r="C91" s="153" t="s">
        <v>25</v>
      </c>
      <c r="D91" s="225">
        <f>-'10. Remolacha'!F26/1000</f>
        <v>200</v>
      </c>
      <c r="E91" s="157">
        <f>-'10. Remolacha'!G26/1000</f>
        <v>133.61500000000001</v>
      </c>
      <c r="F91" s="152">
        <f t="shared" si="44"/>
        <v>-0.33192499999999991</v>
      </c>
      <c r="G91" s="156">
        <f>(+'13. Maiz de Exportación'!F26/1000)*-1</f>
        <v>1400</v>
      </c>
      <c r="H91" s="157">
        <f>(+'13. Maiz de Exportación'!G26/1000)*-1</f>
        <v>2439.1010000000001</v>
      </c>
      <c r="I91" s="152">
        <f t="shared" si="45"/>
        <v>0.74221500000000007</v>
      </c>
      <c r="J91" s="156">
        <f>((+'15. Maiz Local'!F26)/1000)*-1</f>
        <v>6900</v>
      </c>
      <c r="K91" s="157">
        <f>((+'15. Maiz Local'!G26)/1000)*-1</f>
        <v>3367.4650000000001</v>
      </c>
      <c r="L91" s="152">
        <f t="shared" si="46"/>
        <v>-0.51196159420289855</v>
      </c>
      <c r="M91" s="156">
        <f>((+'16. Soya de Exportación'!F26)/1000)*-1</f>
        <v>10727.272999999999</v>
      </c>
      <c r="N91" s="157">
        <f>((+'16. Soya de Exportación'!G26)/1000)*-1</f>
        <v>12728.859</v>
      </c>
      <c r="O91" s="152">
        <f t="shared" si="47"/>
        <v>0.18658852067995291</v>
      </c>
      <c r="P91" s="224">
        <f>(+'17. Alfalfa'!F26/1000)*-1</f>
        <v>650</v>
      </c>
      <c r="Q91" s="225">
        <f>(+'17. Alfalfa'!G26/1000)*-1</f>
        <v>337.286</v>
      </c>
      <c r="R91" s="223">
        <f t="shared" si="48"/>
        <v>-0.48109846153846159</v>
      </c>
      <c r="S91" s="156">
        <f>((+'18. Canola y Girasol'!F26)/1000)*-1</f>
        <v>6250</v>
      </c>
      <c r="T91" s="157">
        <f>((+'18. Canola y Girasol'!G26)/1000)*-1</f>
        <v>4613.991</v>
      </c>
      <c r="U91" s="152">
        <f t="shared" si="49"/>
        <v>-0.26176144000000001</v>
      </c>
      <c r="V91" s="156"/>
      <c r="W91" s="157"/>
      <c r="X91" s="152" t="str">
        <f t="shared" si="50"/>
        <v>n.a.</v>
      </c>
      <c r="Y91" s="156"/>
      <c r="Z91" s="157"/>
      <c r="AA91" s="152" t="str">
        <f t="shared" si="51"/>
        <v>n.a.</v>
      </c>
      <c r="AB91" s="259">
        <f>+V91+S91+P91+M91+J91+G91+D91+Y91</f>
        <v>26127.273000000001</v>
      </c>
      <c r="AC91" s="259">
        <f>+W91+T91+Q91+N91+K91+H91+E91+Z91</f>
        <v>23620.316999999999</v>
      </c>
      <c r="AD91" s="267">
        <f t="shared" si="52"/>
        <v>-9.5951690021381153E-2</v>
      </c>
      <c r="AE91" s="131"/>
      <c r="AG91" s="132">
        <f>+AC90+AC93+14</f>
        <v>25919.409</v>
      </c>
    </row>
    <row r="92" spans="2:45" s="132" customFormat="1" ht="18" customHeight="1" x14ac:dyDescent="0.15">
      <c r="B92" s="130"/>
      <c r="C92" s="153" t="s">
        <v>26</v>
      </c>
      <c r="D92" s="156"/>
      <c r="E92" s="157"/>
      <c r="F92" s="152" t="str">
        <f t="shared" si="44"/>
        <v>n.a.</v>
      </c>
      <c r="G92" s="156">
        <v>0</v>
      </c>
      <c r="H92" s="157">
        <v>0</v>
      </c>
      <c r="I92" s="152" t="str">
        <f t="shared" si="45"/>
        <v>n.a.</v>
      </c>
      <c r="J92" s="156">
        <f>((+'15. Maiz Local'!F27)/1000)*-1</f>
        <v>0</v>
      </c>
      <c r="K92" s="157">
        <f>((+'15. Maiz Local'!G27)/1000)*-1</f>
        <v>0</v>
      </c>
      <c r="L92" s="152" t="str">
        <f t="shared" si="46"/>
        <v>n.a.</v>
      </c>
      <c r="M92" s="156">
        <v>0</v>
      </c>
      <c r="N92" s="157">
        <v>0</v>
      </c>
      <c r="O92" s="152" t="str">
        <f t="shared" si="47"/>
        <v>n.a.</v>
      </c>
      <c r="P92" s="156">
        <v>0</v>
      </c>
      <c r="Q92" s="157">
        <v>0</v>
      </c>
      <c r="R92" s="152" t="str">
        <f t="shared" si="48"/>
        <v>n.a.</v>
      </c>
      <c r="S92" s="156">
        <v>0</v>
      </c>
      <c r="T92" s="157">
        <v>0</v>
      </c>
      <c r="U92" s="152" t="str">
        <f t="shared" si="49"/>
        <v>n.a.</v>
      </c>
      <c r="V92" s="156"/>
      <c r="W92" s="157"/>
      <c r="X92" s="152" t="str">
        <f t="shared" si="50"/>
        <v>n.a.</v>
      </c>
      <c r="Y92" s="156"/>
      <c r="Z92" s="157"/>
      <c r="AA92" s="152" t="str">
        <f t="shared" si="51"/>
        <v>n.a.</v>
      </c>
      <c r="AB92" s="259">
        <f>+V92+S92+P92+M92+J92+G92+D92+Y92</f>
        <v>0</v>
      </c>
      <c r="AC92" s="260">
        <f>+W92+T92+Q92+N92+K92+H92+E92+Z92</f>
        <v>0</v>
      </c>
      <c r="AD92" s="267" t="str">
        <f t="shared" si="52"/>
        <v>n.a.</v>
      </c>
      <c r="AE92" s="131"/>
    </row>
    <row r="93" spans="2:45" s="132" customFormat="1" ht="18" customHeight="1" x14ac:dyDescent="0.15">
      <c r="B93" s="130"/>
      <c r="C93" s="163" t="s">
        <v>27</v>
      </c>
      <c r="D93" s="156">
        <v>0</v>
      </c>
      <c r="E93" s="157">
        <v>0</v>
      </c>
      <c r="F93" s="152" t="str">
        <f t="shared" si="44"/>
        <v>n.a.</v>
      </c>
      <c r="G93" s="156">
        <v>0</v>
      </c>
      <c r="H93" s="157">
        <v>0</v>
      </c>
      <c r="I93" s="152" t="str">
        <f t="shared" si="45"/>
        <v>n.a.</v>
      </c>
      <c r="J93" s="156">
        <f>((+J$128*'11. Ventas Mer. Local'!$F$28)/1000)*-1</f>
        <v>19050.84</v>
      </c>
      <c r="K93" s="157">
        <f>((+K$128*'11. Ventas Mer. Local'!$G$28)/1000)*-1</f>
        <v>11149.781999999999</v>
      </c>
      <c r="L93" s="152">
        <f t="shared" si="46"/>
        <v>-0.41473541324162089</v>
      </c>
      <c r="M93" s="156">
        <v>0</v>
      </c>
      <c r="N93" s="157">
        <v>0</v>
      </c>
      <c r="O93" s="152" t="str">
        <f t="shared" si="47"/>
        <v>n.a.</v>
      </c>
      <c r="P93" s="156">
        <f>((+P$128*'11. Ventas Mer. Local'!$F$28)/1000)*-1</f>
        <v>2540.1120000000001</v>
      </c>
      <c r="Q93" s="157">
        <f>((+Q$128*'11. Ventas Mer. Local'!$G$28)/1000)*-1</f>
        <v>1486.6376</v>
      </c>
      <c r="R93" s="152">
        <f t="shared" si="48"/>
        <v>-0.41473541324162089</v>
      </c>
      <c r="S93" s="156">
        <f>((+S$128*'11. Ventas Mer. Local'!$F$28)/1000)*-1</f>
        <v>10160.448</v>
      </c>
      <c r="T93" s="157">
        <f>((+T$128*'11. Ventas Mer. Local'!$G$28)/1000)*-1</f>
        <v>5946.5504000000001</v>
      </c>
      <c r="U93" s="152">
        <f t="shared" si="49"/>
        <v>-0.41473541324162089</v>
      </c>
      <c r="V93" s="156"/>
      <c r="W93" s="157"/>
      <c r="X93" s="152" t="str">
        <f t="shared" si="50"/>
        <v>n.a.</v>
      </c>
      <c r="Y93" s="156"/>
      <c r="Z93" s="157"/>
      <c r="AA93" s="152" t="str">
        <f t="shared" si="51"/>
        <v>n.a.</v>
      </c>
      <c r="AB93" s="259">
        <f>+V93+S93+P93+M93+J93+G93+D93+Y93</f>
        <v>31751.4</v>
      </c>
      <c r="AC93" s="260">
        <f>+W93+T93+Q93+N93+K93+H93+E93+Z93</f>
        <v>18582.97</v>
      </c>
      <c r="AD93" s="267">
        <f t="shared" si="52"/>
        <v>-0.41473541324162089</v>
      </c>
      <c r="AE93" s="131"/>
    </row>
    <row r="94" spans="2:45" s="132" customFormat="1" ht="18" customHeight="1" x14ac:dyDescent="0.15">
      <c r="B94" s="130"/>
      <c r="C94" s="153" t="s">
        <v>28</v>
      </c>
      <c r="D94" s="156"/>
      <c r="E94" s="157"/>
      <c r="F94" s="152" t="str">
        <f t="shared" si="44"/>
        <v>n.a.</v>
      </c>
      <c r="G94" s="156">
        <v>0</v>
      </c>
      <c r="H94" s="157">
        <v>0</v>
      </c>
      <c r="I94" s="152" t="str">
        <f t="shared" si="45"/>
        <v>n.a.</v>
      </c>
      <c r="J94" s="156">
        <f>((+'15. Maiz Local'!F29)/1000)*-1</f>
        <v>11451.8</v>
      </c>
      <c r="K94" s="157">
        <f>((+'15. Maiz Local'!G29)/1000)*-1</f>
        <v>13425.062</v>
      </c>
      <c r="L94" s="152">
        <f t="shared" si="46"/>
        <v>0.17231020450933476</v>
      </c>
      <c r="M94" s="156">
        <v>0</v>
      </c>
      <c r="N94" s="157">
        <v>0</v>
      </c>
      <c r="O94" s="152" t="str">
        <f t="shared" si="47"/>
        <v>n.a.</v>
      </c>
      <c r="P94" s="156">
        <v>0</v>
      </c>
      <c r="Q94" s="157">
        <f>(+'17. Alfalfa'!G29)/1000*-1</f>
        <v>46.615000000000002</v>
      </c>
      <c r="R94" s="152" t="str">
        <f t="shared" si="48"/>
        <v>n.a.</v>
      </c>
      <c r="S94" s="156">
        <f>((+'18. Canola y Girasol'!F29)/1000)*-1</f>
        <v>7201.6450000000004</v>
      </c>
      <c r="T94" s="157">
        <f>((+'18. Canola y Girasol'!G29)/1000)*-1</f>
        <v>9801.5669999999991</v>
      </c>
      <c r="U94" s="152">
        <f t="shared" si="49"/>
        <v>0.36101779523983746</v>
      </c>
      <c r="V94" s="156"/>
      <c r="W94" s="157"/>
      <c r="X94" s="152" t="str">
        <f t="shared" si="50"/>
        <v>n.a.</v>
      </c>
      <c r="Y94" s="156"/>
      <c r="Z94" s="157"/>
      <c r="AA94" s="152" t="str">
        <f t="shared" si="51"/>
        <v>n.a.</v>
      </c>
      <c r="AB94" s="259">
        <f>+V94+S94+P94+M94+J94+G94+D94+Y94</f>
        <v>18653.445</v>
      </c>
      <c r="AC94" s="260">
        <f>+W94+T94+Q94+N94+K94+H94+E94+Z94</f>
        <v>23273.243999999999</v>
      </c>
      <c r="AD94" s="267">
        <f t="shared" si="52"/>
        <v>0.24766465390173242</v>
      </c>
      <c r="AE94" s="131"/>
    </row>
    <row r="95" spans="2:45" s="132" customFormat="1" ht="18" customHeight="1" x14ac:dyDescent="0.15">
      <c r="B95" s="130"/>
      <c r="C95" s="153" t="s">
        <v>29</v>
      </c>
      <c r="D95" s="156"/>
      <c r="E95" s="157"/>
      <c r="F95" s="152" t="str">
        <f t="shared" si="44"/>
        <v>n.a.</v>
      </c>
      <c r="G95" s="156"/>
      <c r="H95" s="157"/>
      <c r="I95" s="152" t="str">
        <f t="shared" si="45"/>
        <v>n.a.</v>
      </c>
      <c r="J95" s="156"/>
      <c r="K95" s="157"/>
      <c r="L95" s="152" t="str">
        <f t="shared" si="46"/>
        <v>n.a.</v>
      </c>
      <c r="M95" s="156"/>
      <c r="N95" s="157"/>
      <c r="O95" s="152" t="str">
        <f t="shared" si="47"/>
        <v>n.a.</v>
      </c>
      <c r="P95" s="156">
        <v>0</v>
      </c>
      <c r="Q95" s="157">
        <v>0</v>
      </c>
      <c r="R95" s="152" t="str">
        <f t="shared" si="48"/>
        <v>n.a.</v>
      </c>
      <c r="S95" s="156">
        <v>0</v>
      </c>
      <c r="T95" s="157">
        <v>0</v>
      </c>
      <c r="U95" s="152" t="str">
        <f t="shared" si="49"/>
        <v>n.a.</v>
      </c>
      <c r="V95" s="156"/>
      <c r="W95" s="157"/>
      <c r="X95" s="152" t="str">
        <f t="shared" si="50"/>
        <v>n.a.</v>
      </c>
      <c r="Y95" s="156"/>
      <c r="Z95" s="157"/>
      <c r="AA95" s="152" t="str">
        <f t="shared" si="51"/>
        <v>n.a.</v>
      </c>
      <c r="AB95" s="259">
        <f>+V95+S95+P95+M95+J95+G95+D95+Y95</f>
        <v>0</v>
      </c>
      <c r="AC95" s="260">
        <f>+W95+T95+Q95+N95+K95+H95+E95+Z95</f>
        <v>0</v>
      </c>
      <c r="AD95" s="267" t="str">
        <f t="shared" si="52"/>
        <v>n.a.</v>
      </c>
      <c r="AE95" s="131"/>
    </row>
    <row r="96" spans="2:45" s="132" customFormat="1" ht="18" customHeight="1" x14ac:dyDescent="0.15">
      <c r="B96" s="130"/>
      <c r="C96" s="147" t="s">
        <v>30</v>
      </c>
      <c r="D96" s="151">
        <f>SUM(D89:D95)</f>
        <v>200</v>
      </c>
      <c r="E96" s="164">
        <f>SUM(E89:E95)</f>
        <v>133.61500000000001</v>
      </c>
      <c r="F96" s="152">
        <f t="shared" si="44"/>
        <v>-0.33192499999999991</v>
      </c>
      <c r="G96" s="151">
        <f>SUM(G89:G95)</f>
        <v>1400</v>
      </c>
      <c r="H96" s="164">
        <f>SUM(H89:H95)</f>
        <v>2439.1010000000001</v>
      </c>
      <c r="I96" s="152">
        <f t="shared" si="45"/>
        <v>0.74221500000000007</v>
      </c>
      <c r="J96" s="151">
        <f>SUM(J89:J95)</f>
        <v>86929.664000000004</v>
      </c>
      <c r="K96" s="164">
        <f>SUM(K89:K95)</f>
        <v>98569.860599999985</v>
      </c>
      <c r="L96" s="152">
        <f t="shared" si="46"/>
        <v>0.13390361890734992</v>
      </c>
      <c r="M96" s="151">
        <f>SUM(M89:M95)</f>
        <v>10727.272999999999</v>
      </c>
      <c r="N96" s="164">
        <f>SUM(N89:N95)</f>
        <v>12728.859</v>
      </c>
      <c r="O96" s="152">
        <f t="shared" si="47"/>
        <v>0.18658852067995291</v>
      </c>
      <c r="P96" s="151">
        <f>SUM(P89:P95)</f>
        <v>9793.7151999999987</v>
      </c>
      <c r="Q96" s="164">
        <f>SUM(Q89:Q95)</f>
        <v>11287.545480000001</v>
      </c>
      <c r="R96" s="152">
        <f t="shared" si="48"/>
        <v>0.15252947931342775</v>
      </c>
      <c r="S96" s="151">
        <f>SUM(S89:S95)</f>
        <v>50026.505799999999</v>
      </c>
      <c r="T96" s="164">
        <f>SUM(T89:T95)</f>
        <v>58030.135920000001</v>
      </c>
      <c r="U96" s="152">
        <f t="shared" si="49"/>
        <v>0.15998779031255062</v>
      </c>
      <c r="V96" s="151">
        <f>SUM(V89:V95)</f>
        <v>0</v>
      </c>
      <c r="W96" s="164">
        <f>SUM(W89:W95)</f>
        <v>0</v>
      </c>
      <c r="X96" s="152" t="str">
        <f t="shared" si="50"/>
        <v>n.a.</v>
      </c>
      <c r="Y96" s="151">
        <f>SUM(Y89:Y95)</f>
        <v>0</v>
      </c>
      <c r="Z96" s="164">
        <f>SUM(Z89:Z95)</f>
        <v>0</v>
      </c>
      <c r="AA96" s="152" t="str">
        <f t="shared" si="51"/>
        <v>n.a.</v>
      </c>
      <c r="AB96" s="259">
        <f>SUM(AB89:AB95)</f>
        <v>159077.15800000002</v>
      </c>
      <c r="AC96" s="259">
        <f>SUM(AC89:AC95)</f>
        <v>183189.117</v>
      </c>
      <c r="AD96" s="266">
        <f t="shared" si="52"/>
        <v>0.15157398650534093</v>
      </c>
      <c r="AE96" s="131"/>
    </row>
    <row r="97" spans="2:32" s="132" customFormat="1" ht="18" customHeight="1" x14ac:dyDescent="0.15">
      <c r="B97" s="130"/>
      <c r="C97" s="147"/>
      <c r="D97" s="148"/>
      <c r="E97" s="149"/>
      <c r="F97" s="152"/>
      <c r="G97" s="148"/>
      <c r="H97" s="149"/>
      <c r="I97" s="152"/>
      <c r="J97" s="148"/>
      <c r="K97" s="149"/>
      <c r="L97" s="152"/>
      <c r="M97" s="148"/>
      <c r="N97" s="149"/>
      <c r="O97" s="152"/>
      <c r="P97" s="148"/>
      <c r="Q97" s="149"/>
      <c r="R97" s="152"/>
      <c r="S97" s="148"/>
      <c r="T97" s="149"/>
      <c r="U97" s="152"/>
      <c r="V97" s="148"/>
      <c r="W97" s="149"/>
      <c r="X97" s="152"/>
      <c r="Y97" s="148"/>
      <c r="Z97" s="149"/>
      <c r="AA97" s="152"/>
      <c r="AB97" s="259"/>
      <c r="AC97" s="260"/>
      <c r="AD97" s="267"/>
      <c r="AE97" s="131"/>
    </row>
    <row r="98" spans="2:32" s="132" customFormat="1" ht="18" customHeight="1" x14ac:dyDescent="0.15">
      <c r="B98" s="130"/>
      <c r="C98" s="153" t="s">
        <v>23</v>
      </c>
      <c r="D98" s="154">
        <f>(+D$127*'1. Administracion (Informe 2)'!$H40/1000)*-1</f>
        <v>2069.0509000000002</v>
      </c>
      <c r="E98" s="155">
        <f>(+E$127*'1. Administracion (Informe 2)'!$I40/1000)*-1</f>
        <v>2044.92481</v>
      </c>
      <c r="F98" s="152">
        <f t="shared" si="44"/>
        <v>-1.1660462292155449E-2</v>
      </c>
      <c r="G98" s="154">
        <f>(+G$127*'1. Administracion (Informe 2)'!$H40/1000)*-1</f>
        <v>10138.349410000001</v>
      </c>
      <c r="H98" s="155">
        <f>(+H$127*'1. Administracion (Informe 2)'!$I40/1000)*-1</f>
        <v>10020.131569000001</v>
      </c>
      <c r="I98" s="152">
        <f t="shared" si="45"/>
        <v>-1.1660462292155227E-2</v>
      </c>
      <c r="J98" s="154">
        <f>((+J$127*'1. Administracion (Informe 2)'!$H40)/1000)*-1</f>
        <v>28345.997330000002</v>
      </c>
      <c r="K98" s="155">
        <f>((+K$127*'1. Administracion (Informe 2)'!$I40)/1000)*-1</f>
        <v>28015.469897000003</v>
      </c>
      <c r="L98" s="152">
        <f t="shared" si="46"/>
        <v>-1.1660462292155227E-2</v>
      </c>
      <c r="M98" s="154">
        <f>((+M$127*'1. Administracion (Informe 2)'!$H40)/1000)*-1</f>
        <v>55036.753940000002</v>
      </c>
      <c r="N98" s="155">
        <f>((+N$127*'1. Administracion (Informe 2)'!$I40)/1000)*-1</f>
        <v>54394.999946000004</v>
      </c>
      <c r="O98" s="152">
        <f t="shared" si="47"/>
        <v>-1.1660462292155338E-2</v>
      </c>
      <c r="P98" s="154">
        <f>((+P$127*'1. Administracion (Informe 2)'!$H40)/1000)*-1</f>
        <v>4551.9119799999999</v>
      </c>
      <c r="Q98" s="155">
        <f>((+Q$127*'1. Administracion (Informe 2)'!$I40)/1000)*-1</f>
        <v>4498.8345819999995</v>
      </c>
      <c r="R98" s="152">
        <f t="shared" si="48"/>
        <v>-1.1660462292155338E-2</v>
      </c>
      <c r="S98" s="154">
        <f>((+S$127*'1. Administracion (Informe 2)'!$H40)/1000)*-1</f>
        <v>81520.605460000006</v>
      </c>
      <c r="T98" s="155">
        <f>((+T$127*'1. Administracion (Informe 2)'!$I40)/1000)*-1</f>
        <v>80570.037513999996</v>
      </c>
      <c r="U98" s="152">
        <f t="shared" si="49"/>
        <v>-1.1660462292155449E-2</v>
      </c>
      <c r="V98" s="154">
        <f>((+V$127*'1. Administracion (Informe 2)'!$H40)/1000)*-1</f>
        <v>25242.420979999999</v>
      </c>
      <c r="W98" s="155">
        <f>((+W$127*'1. Administracion (Informe 2)'!$I40)/1000)*-1</f>
        <v>24948.082682</v>
      </c>
      <c r="X98" s="152">
        <f t="shared" si="50"/>
        <v>-1.1660462292155227E-2</v>
      </c>
      <c r="Y98" s="154"/>
      <c r="Z98" s="155"/>
      <c r="AA98" s="152" t="str">
        <f t="shared" si="51"/>
        <v>n.a.</v>
      </c>
      <c r="AB98" s="259">
        <f>+V98+S98+P98+M98+J98+G98+D98+Y98</f>
        <v>206905.09000000003</v>
      </c>
      <c r="AC98" s="260">
        <f>+W98+T98+Q98+N98+K98+H98+E98+Z98</f>
        <v>204492.481</v>
      </c>
      <c r="AD98" s="267">
        <f t="shared" si="52"/>
        <v>-1.1660462292155449E-2</v>
      </c>
      <c r="AE98" s="131"/>
    </row>
    <row r="99" spans="2:32" s="132" customFormat="1" ht="18" customHeight="1" x14ac:dyDescent="0.15">
      <c r="B99" s="130"/>
      <c r="C99" s="153" t="s">
        <v>31</v>
      </c>
      <c r="D99" s="154">
        <f>(+D$127*'1. Administracion (Informe 2)'!$H41/1000)*-1</f>
        <v>530.52589</v>
      </c>
      <c r="E99" s="155">
        <f>(+E$127*'1. Administracion (Informe 2)'!$I41/1000)*-1</f>
        <v>318.21204999999998</v>
      </c>
      <c r="F99" s="152">
        <f t="shared" si="44"/>
        <v>-0.40019505928353472</v>
      </c>
      <c r="G99" s="154">
        <f>(+G$127*'1. Administracion (Informe 2)'!$H41/1000)*-1</f>
        <v>2599.576861</v>
      </c>
      <c r="H99" s="155">
        <f>(+H$127*'1. Administracion (Informe 2)'!$I41/1000)*-1</f>
        <v>1559.2390450000003</v>
      </c>
      <c r="I99" s="152">
        <f t="shared" si="45"/>
        <v>-0.4001950592835346</v>
      </c>
      <c r="J99" s="154">
        <f>((+J$127*'1. Administracion (Informe 2)'!$H41)/1000)*-1</f>
        <v>7268.2046930000006</v>
      </c>
      <c r="K99" s="155">
        <f>((+K$127*'1. Administracion (Informe 2)'!$I41)/1000)*-1</f>
        <v>4359.5050849999998</v>
      </c>
      <c r="L99" s="152">
        <f t="shared" si="46"/>
        <v>-0.40019505928353472</v>
      </c>
      <c r="M99" s="154">
        <f>((+M$127*'1. Administracion (Informe 2)'!$H41)/1000)*-1</f>
        <v>14111.988674</v>
      </c>
      <c r="N99" s="155">
        <f>((+N$127*'1. Administracion (Informe 2)'!$I41)/1000)*-1</f>
        <v>8464.4405300000017</v>
      </c>
      <c r="O99" s="152">
        <f t="shared" si="47"/>
        <v>-0.4001950592835346</v>
      </c>
      <c r="P99" s="154">
        <f>((+P$127*'1. Administracion (Informe 2)'!$H41)/1000)*-1</f>
        <v>1167.1569579999998</v>
      </c>
      <c r="Q99" s="155">
        <f>((+Q$127*'1. Administracion (Informe 2)'!$I41)/1000)*-1</f>
        <v>700.06650999999999</v>
      </c>
      <c r="R99" s="152">
        <f t="shared" si="48"/>
        <v>-0.4001950592835346</v>
      </c>
      <c r="S99" s="154">
        <f>((+S$127*'1. Administracion (Informe 2)'!$H41)/1000)*-1</f>
        <v>20902.720065999998</v>
      </c>
      <c r="T99" s="155">
        <f>((+T$127*'1. Administracion (Informe 2)'!$I41)/1000)*-1</f>
        <v>12537.554770000001</v>
      </c>
      <c r="U99" s="152">
        <f t="shared" si="49"/>
        <v>-0.4001950592835346</v>
      </c>
      <c r="V99" s="154">
        <f>((+V$127*'1. Administracion (Informe 2)'!$H41)/1000)*-1</f>
        <v>6472.4158580000003</v>
      </c>
      <c r="W99" s="155">
        <f>((+W$127*'1. Administracion (Informe 2)'!$I41)/1000)*-1</f>
        <v>3882.1870099999996</v>
      </c>
      <c r="X99" s="152">
        <f t="shared" si="50"/>
        <v>-0.40019505928353472</v>
      </c>
      <c r="Y99" s="154"/>
      <c r="Z99" s="155"/>
      <c r="AA99" s="152" t="str">
        <f t="shared" si="51"/>
        <v>n.a.</v>
      </c>
      <c r="AB99" s="259">
        <f>+V99+S99+P99+M99+J99+G99+D99+Y99</f>
        <v>53052.589</v>
      </c>
      <c r="AC99" s="260">
        <f>+W99+T99+Q99+N99+K99+H99+E99+Z99</f>
        <v>31821.204999999998</v>
      </c>
      <c r="AD99" s="267">
        <f t="shared" si="52"/>
        <v>-0.40019505928353472</v>
      </c>
      <c r="AE99" s="131"/>
    </row>
    <row r="100" spans="2:32" s="132" customFormat="1" ht="18" customHeight="1" x14ac:dyDescent="0.15">
      <c r="B100" s="130"/>
      <c r="C100" s="153" t="s">
        <v>32</v>
      </c>
      <c r="D100" s="154">
        <v>0</v>
      </c>
      <c r="E100" s="155">
        <v>0</v>
      </c>
      <c r="F100" s="152" t="str">
        <f t="shared" si="44"/>
        <v>n.a.</v>
      </c>
      <c r="G100" s="154">
        <v>0</v>
      </c>
      <c r="H100" s="155">
        <v>0</v>
      </c>
      <c r="I100" s="152" t="str">
        <f t="shared" si="45"/>
        <v>n.a.</v>
      </c>
      <c r="J100" s="154">
        <v>0</v>
      </c>
      <c r="K100" s="155">
        <v>0</v>
      </c>
      <c r="L100" s="152" t="str">
        <f t="shared" si="46"/>
        <v>n.a.</v>
      </c>
      <c r="M100" s="154">
        <v>0</v>
      </c>
      <c r="N100" s="155">
        <v>0</v>
      </c>
      <c r="O100" s="152" t="str">
        <f t="shared" si="47"/>
        <v>n.a.</v>
      </c>
      <c r="P100" s="154">
        <v>0</v>
      </c>
      <c r="Q100" s="155">
        <v>0</v>
      </c>
      <c r="R100" s="152" t="str">
        <f t="shared" si="48"/>
        <v>n.a.</v>
      </c>
      <c r="S100" s="154">
        <v>0</v>
      </c>
      <c r="T100" s="155">
        <v>0</v>
      </c>
      <c r="U100" s="152" t="str">
        <f t="shared" si="49"/>
        <v>n.a.</v>
      </c>
      <c r="V100" s="154">
        <v>0</v>
      </c>
      <c r="W100" s="155">
        <v>0</v>
      </c>
      <c r="X100" s="152" t="str">
        <f t="shared" si="50"/>
        <v>n.a.</v>
      </c>
      <c r="Y100" s="154"/>
      <c r="Z100" s="155"/>
      <c r="AA100" s="152" t="str">
        <f t="shared" si="51"/>
        <v>n.a.</v>
      </c>
      <c r="AB100" s="259">
        <f>+V100+S100+P100+M100+J100+G100+D100+Y100</f>
        <v>0</v>
      </c>
      <c r="AC100" s="260">
        <f>+W100+T100+Q100+N100+K100+H100+E100+Z100</f>
        <v>0</v>
      </c>
      <c r="AD100" s="267" t="str">
        <f t="shared" si="52"/>
        <v>n.a.</v>
      </c>
      <c r="AE100" s="131"/>
    </row>
    <row r="101" spans="2:32" s="132" customFormat="1" ht="18" customHeight="1" x14ac:dyDescent="0.15">
      <c r="B101" s="130"/>
      <c r="C101" s="153" t="s">
        <v>33</v>
      </c>
      <c r="D101" s="154"/>
      <c r="E101" s="155"/>
      <c r="F101" s="152" t="str">
        <f t="shared" si="44"/>
        <v>n.a.</v>
      </c>
      <c r="G101" s="154"/>
      <c r="H101" s="155"/>
      <c r="I101" s="152" t="str">
        <f t="shared" si="45"/>
        <v>n.a.</v>
      </c>
      <c r="J101" s="154">
        <v>0</v>
      </c>
      <c r="K101" s="155">
        <v>0</v>
      </c>
      <c r="L101" s="152" t="str">
        <f t="shared" si="46"/>
        <v>n.a.</v>
      </c>
      <c r="M101" s="154"/>
      <c r="N101" s="155"/>
      <c r="O101" s="152" t="str">
        <f t="shared" si="47"/>
        <v>n.a.</v>
      </c>
      <c r="P101" s="154"/>
      <c r="Q101" s="155"/>
      <c r="R101" s="152" t="str">
        <f t="shared" si="48"/>
        <v>n.a.</v>
      </c>
      <c r="S101" s="154"/>
      <c r="T101" s="155"/>
      <c r="U101" s="152" t="str">
        <f t="shared" si="49"/>
        <v>n.a.</v>
      </c>
      <c r="V101" s="154"/>
      <c r="W101" s="155"/>
      <c r="X101" s="152" t="str">
        <f t="shared" si="50"/>
        <v>n.a.</v>
      </c>
      <c r="Y101" s="154"/>
      <c r="Z101" s="155"/>
      <c r="AA101" s="152" t="str">
        <f t="shared" si="51"/>
        <v>n.a.</v>
      </c>
      <c r="AB101" s="259">
        <f>+V101+S101+P101+M101+J101+G101+D101+Y101</f>
        <v>0</v>
      </c>
      <c r="AC101" s="260">
        <f>+W101+T101+Q101+N101+K101+H101+E101+Z101</f>
        <v>0</v>
      </c>
      <c r="AD101" s="267" t="str">
        <f t="shared" si="52"/>
        <v>n.a.</v>
      </c>
      <c r="AE101" s="131"/>
      <c r="AF101" s="132">
        <f>+AC102+AC96</f>
        <v>419502.80299999996</v>
      </c>
    </row>
    <row r="102" spans="2:32" s="132" customFormat="1" ht="18" customHeight="1" x14ac:dyDescent="0.15">
      <c r="B102" s="130"/>
      <c r="C102" s="147" t="s">
        <v>34</v>
      </c>
      <c r="D102" s="148">
        <f>SUM(D98:D101)</f>
        <v>2599.5767900000001</v>
      </c>
      <c r="E102" s="149">
        <f>SUM(E98:E101)</f>
        <v>2363.1368600000001</v>
      </c>
      <c r="F102" s="150">
        <f t="shared" si="44"/>
        <v>-9.095323935401034E-2</v>
      </c>
      <c r="G102" s="148">
        <f>SUM(G98:G101)</f>
        <v>12737.926271</v>
      </c>
      <c r="H102" s="149">
        <f>SUM(H98:H101)</f>
        <v>11579.370614000001</v>
      </c>
      <c r="I102" s="150">
        <f t="shared" si="45"/>
        <v>-9.095323935401034E-2</v>
      </c>
      <c r="J102" s="148">
        <f>SUM(J98:J101)</f>
        <v>35614.202023000005</v>
      </c>
      <c r="K102" s="149">
        <f>SUM(K98:K101)</f>
        <v>32374.974982000003</v>
      </c>
      <c r="L102" s="150">
        <f t="shared" si="46"/>
        <v>-9.0953239354010451E-2</v>
      </c>
      <c r="M102" s="148">
        <f>SUM(M98:M101)</f>
        <v>69148.742614000003</v>
      </c>
      <c r="N102" s="149">
        <f>SUM(N98:N101)</f>
        <v>62859.440476000003</v>
      </c>
      <c r="O102" s="150">
        <f t="shared" si="47"/>
        <v>-9.095323935401034E-2</v>
      </c>
      <c r="P102" s="148">
        <f>SUM(P98:P101)</f>
        <v>5719.0689379999994</v>
      </c>
      <c r="Q102" s="149">
        <f>SUM(Q98:Q101)</f>
        <v>5198.9010919999992</v>
      </c>
      <c r="R102" s="150">
        <f t="shared" si="48"/>
        <v>-9.0953239354010451E-2</v>
      </c>
      <c r="S102" s="148">
        <f>SUM(S98:S101)</f>
        <v>102423.325526</v>
      </c>
      <c r="T102" s="149">
        <f>SUM(T98:T101)</f>
        <v>93107.592283999998</v>
      </c>
      <c r="U102" s="150">
        <f t="shared" si="49"/>
        <v>-9.0953239354010451E-2</v>
      </c>
      <c r="V102" s="148">
        <f>SUM(V98:V101)</f>
        <v>31714.836837999999</v>
      </c>
      <c r="W102" s="149">
        <f>SUM(W98:W101)</f>
        <v>28830.269692000002</v>
      </c>
      <c r="X102" s="150">
        <f t="shared" si="50"/>
        <v>-9.095323935401034E-2</v>
      </c>
      <c r="Y102" s="148">
        <f>SUM(Y98:Y101)</f>
        <v>0</v>
      </c>
      <c r="Z102" s="149">
        <f>SUM(Z98:Z101)</f>
        <v>0</v>
      </c>
      <c r="AA102" s="150" t="str">
        <f t="shared" si="51"/>
        <v>n.a.</v>
      </c>
      <c r="AB102" s="259">
        <f>SUM(AB98:AB101)</f>
        <v>259957.67900000003</v>
      </c>
      <c r="AC102" s="259">
        <f>SUM(AC98:AC101)</f>
        <v>236313.68599999999</v>
      </c>
      <c r="AD102" s="266">
        <f t="shared" si="52"/>
        <v>-9.0953239354010562E-2</v>
      </c>
      <c r="AE102" s="131"/>
    </row>
    <row r="103" spans="2:32" s="132" customFormat="1" ht="18" customHeight="1" x14ac:dyDescent="0.15">
      <c r="B103" s="130"/>
      <c r="C103" s="147"/>
      <c r="D103" s="148"/>
      <c r="E103" s="149"/>
      <c r="F103" s="152"/>
      <c r="G103" s="148"/>
      <c r="H103" s="149"/>
      <c r="I103" s="152"/>
      <c r="J103" s="148"/>
      <c r="K103" s="149"/>
      <c r="L103" s="152"/>
      <c r="M103" s="148"/>
      <c r="N103" s="149"/>
      <c r="O103" s="152"/>
      <c r="P103" s="148"/>
      <c r="Q103" s="149"/>
      <c r="R103" s="152"/>
      <c r="S103" s="148"/>
      <c r="T103" s="149"/>
      <c r="U103" s="152"/>
      <c r="V103" s="148"/>
      <c r="W103" s="149"/>
      <c r="X103" s="152"/>
      <c r="Y103" s="148"/>
      <c r="Z103" s="149"/>
      <c r="AA103" s="152"/>
      <c r="AB103" s="259"/>
      <c r="AC103" s="260"/>
      <c r="AD103" s="267"/>
      <c r="AE103" s="131"/>
    </row>
    <row r="104" spans="2:32" s="132" customFormat="1" ht="18" customHeight="1" x14ac:dyDescent="0.15">
      <c r="B104" s="130"/>
      <c r="C104" s="159" t="s">
        <v>35</v>
      </c>
      <c r="D104" s="160">
        <f>+D87-D96-D102</f>
        <v>-1262.9187900000006</v>
      </c>
      <c r="E104" s="255">
        <f>+E87-E96-E102</f>
        <v>-3212.6048599999999</v>
      </c>
      <c r="F104" s="250">
        <f t="shared" si="44"/>
        <v>1.5437936987223053</v>
      </c>
      <c r="G104" s="249">
        <f>+G87-G96-G102</f>
        <v>-30325.88217600001</v>
      </c>
      <c r="H104" s="253">
        <f>+H87-H96-H102</f>
        <v>-124724.23342400002</v>
      </c>
      <c r="I104" s="250">
        <f t="shared" si="45"/>
        <v>3.1127981933105024</v>
      </c>
      <c r="J104" s="249">
        <f>+J87-J96-J102</f>
        <v>-198266.78168499999</v>
      </c>
      <c r="K104" s="253">
        <f>+K87-K96-K102</f>
        <v>-202252.64970599994</v>
      </c>
      <c r="L104" s="250">
        <f t="shared" si="46"/>
        <v>2.0103559391671411E-2</v>
      </c>
      <c r="M104" s="249">
        <f>+M87-M96-M102</f>
        <v>-251749.37740699999</v>
      </c>
      <c r="N104" s="253">
        <f>+N87-N96-N102</f>
        <v>-201008.53126200009</v>
      </c>
      <c r="O104" s="250">
        <f t="shared" si="47"/>
        <v>-0.2015530154140871</v>
      </c>
      <c r="P104" s="249">
        <f>+P87-P96-P102</f>
        <v>-8015.7841379999982</v>
      </c>
      <c r="Q104" s="253">
        <f>+Q87-Q96-Q102</f>
        <v>-11710.235572000005</v>
      </c>
      <c r="R104" s="250">
        <f t="shared" si="48"/>
        <v>0.46089707137769831</v>
      </c>
      <c r="S104" s="249">
        <f>+S87-S96-S102</f>
        <v>522596.39803399984</v>
      </c>
      <c r="T104" s="253">
        <f>+T87-T96-T102</f>
        <v>589421.80951599986</v>
      </c>
      <c r="U104" s="250">
        <f t="shared" si="49"/>
        <v>0.12787193278292053</v>
      </c>
      <c r="V104" s="249">
        <f>+V87-V96-V102</f>
        <v>15027.194162000018</v>
      </c>
      <c r="W104" s="253">
        <f>+W87-W96-W102</f>
        <v>-32918.145692000049</v>
      </c>
      <c r="X104" s="250">
        <f t="shared" si="50"/>
        <v>-3.1905716620899018</v>
      </c>
      <c r="Y104" s="249">
        <f>+Y87-Y96-Y102</f>
        <v>0</v>
      </c>
      <c r="Z104" s="253">
        <f>+Z87-Z96-Z102</f>
        <v>43078.364000000001</v>
      </c>
      <c r="AA104" s="250" t="str">
        <f t="shared" si="51"/>
        <v>n.a.</v>
      </c>
      <c r="AB104" s="257">
        <f>+AB87-AB96-AB102</f>
        <v>48002.847999999503</v>
      </c>
      <c r="AC104" s="258">
        <f>+AC87-AC96-AC102</f>
        <v>56673.773000000394</v>
      </c>
      <c r="AD104" s="268">
        <f t="shared" si="52"/>
        <v>0.18063355324252806</v>
      </c>
      <c r="AE104" s="131"/>
      <c r="AF104" s="132">
        <f>575640+256111</f>
        <v>831751</v>
      </c>
    </row>
    <row r="105" spans="2:32" s="132" customFormat="1" ht="18" customHeight="1" x14ac:dyDescent="0.15">
      <c r="B105" s="130"/>
      <c r="C105" s="147"/>
      <c r="D105" s="148"/>
      <c r="E105" s="149"/>
      <c r="F105" s="152"/>
      <c r="G105" s="148"/>
      <c r="H105" s="149"/>
      <c r="I105" s="152"/>
      <c r="J105" s="148"/>
      <c r="K105" s="149"/>
      <c r="L105" s="152"/>
      <c r="M105" s="148"/>
      <c r="N105" s="149"/>
      <c r="O105" s="152"/>
      <c r="P105" s="148"/>
      <c r="Q105" s="149"/>
      <c r="R105" s="152"/>
      <c r="S105" s="148"/>
      <c r="T105" s="149"/>
      <c r="U105" s="152"/>
      <c r="V105" s="148"/>
      <c r="W105" s="149"/>
      <c r="X105" s="152"/>
      <c r="Y105" s="148"/>
      <c r="Z105" s="149"/>
      <c r="AA105" s="152"/>
      <c r="AB105" s="259"/>
      <c r="AC105" s="260"/>
      <c r="AD105" s="267"/>
      <c r="AE105" s="131"/>
      <c r="AF105" s="132">
        <f>+AF104-AC104</f>
        <v>775077.22699999961</v>
      </c>
    </row>
    <row r="106" spans="2:32" s="132" customFormat="1" ht="18" customHeight="1" x14ac:dyDescent="0.2">
      <c r="B106" s="130"/>
      <c r="C106" s="147" t="s">
        <v>36</v>
      </c>
      <c r="D106" s="156">
        <f>+'10. Remolacha'!F97</f>
        <v>0</v>
      </c>
      <c r="E106" s="252">
        <f>+'10. Remolacha'!G97</f>
        <v>0</v>
      </c>
      <c r="F106" s="152" t="str">
        <f t="shared" si="44"/>
        <v>n.a.</v>
      </c>
      <c r="G106" s="156">
        <f>+'1. Administracion (Informe 2)'!$H$48*G131</f>
        <v>0</v>
      </c>
      <c r="H106" s="256">
        <f>((+'1. Administracion (Informe 2)'!$I$48*H131)/1000)*-1</f>
        <v>110998.12577777776</v>
      </c>
      <c r="I106" s="152" t="str">
        <f t="shared" si="45"/>
        <v>n.a.</v>
      </c>
      <c r="J106" s="156">
        <f>+'1. Administracion (Informe 2)'!$H$48*J131</f>
        <v>0</v>
      </c>
      <c r="K106" s="252">
        <f>((+'1. Administracion (Informe 2)'!$I$48*K131)/1000)*-1</f>
        <v>7928.4375555555562</v>
      </c>
      <c r="L106" s="152" t="str">
        <f t="shared" si="46"/>
        <v>n.a.</v>
      </c>
      <c r="M106" s="156">
        <f>+'1. Administracion (Informe 2)'!$H$48*M131</f>
        <v>0</v>
      </c>
      <c r="N106" s="157">
        <f>((+'1. Administracion (Informe 2)'!$I$48*N131)/1000)*-1</f>
        <v>20613.937644444442</v>
      </c>
      <c r="O106" s="152" t="str">
        <f t="shared" si="47"/>
        <v>n.a.</v>
      </c>
      <c r="P106" s="156">
        <f>+'1. Administracion (Informe 2)'!$H$48*P131</f>
        <v>0</v>
      </c>
      <c r="Q106" s="254">
        <f>+'1. Administracion (Informe 2)'!$I$48*Q131</f>
        <v>0</v>
      </c>
      <c r="R106" s="223" t="str">
        <f t="shared" si="48"/>
        <v>n.a.</v>
      </c>
      <c r="S106" s="156">
        <f>+'1. Administracion (Informe 2)'!$H$48*S131</f>
        <v>0</v>
      </c>
      <c r="T106" s="254">
        <f>((+'1. Administracion (Informe 2)'!$I$48*T131)/1000)*-1</f>
        <v>17442.562622222224</v>
      </c>
      <c r="U106" s="223" t="str">
        <f t="shared" si="49"/>
        <v>n.a.</v>
      </c>
      <c r="V106" s="156">
        <f>+'1. Administracion (Informe 2)'!$H$48*V131</f>
        <v>0</v>
      </c>
      <c r="W106" s="254">
        <f>((+'1. Administracion (Informe 2)'!$I$48*W131)/1000)*-1</f>
        <v>1585.6875111111112</v>
      </c>
      <c r="X106" s="223" t="str">
        <f t="shared" si="50"/>
        <v>n.a.</v>
      </c>
      <c r="Y106" s="156">
        <f>+'1. Administracion (Informe 2)'!$H$48*Y131</f>
        <v>0</v>
      </c>
      <c r="Z106" s="252">
        <f>+'1. Administracion (Informe 2)'!$I$48*Z131</f>
        <v>0</v>
      </c>
      <c r="AA106" s="152" t="str">
        <f t="shared" si="51"/>
        <v>n.a.</v>
      </c>
      <c r="AB106" s="259">
        <f>+V106+S106+P106+M106+J106+G106+D106+Y106</f>
        <v>0</v>
      </c>
      <c r="AC106" s="260">
        <f>+W106+T106+Q106+N106+K106+H106+E106+Z106</f>
        <v>158568.75111111108</v>
      </c>
      <c r="AD106" s="267" t="str">
        <f t="shared" si="52"/>
        <v>n.a.</v>
      </c>
      <c r="AE106" s="131"/>
    </row>
    <row r="107" spans="2:32" s="132" customFormat="1" ht="18" customHeight="1" x14ac:dyDescent="0.15">
      <c r="B107" s="130"/>
      <c r="C107" s="147"/>
      <c r="D107" s="148"/>
      <c r="E107" s="226"/>
      <c r="F107" s="152"/>
      <c r="G107" s="148"/>
      <c r="H107" s="149"/>
      <c r="I107" s="152"/>
      <c r="J107" s="148"/>
      <c r="K107" s="226"/>
      <c r="L107" s="152"/>
      <c r="M107" s="148"/>
      <c r="N107" s="149"/>
      <c r="O107" s="152"/>
      <c r="P107" s="148"/>
      <c r="Q107" s="226"/>
      <c r="R107" s="152"/>
      <c r="S107" s="148"/>
      <c r="T107" s="226"/>
      <c r="U107" s="152"/>
      <c r="V107" s="148"/>
      <c r="W107" s="226"/>
      <c r="X107" s="152"/>
      <c r="Y107" s="148"/>
      <c r="Z107" s="149"/>
      <c r="AA107" s="152"/>
      <c r="AB107" s="259"/>
      <c r="AC107" s="260"/>
      <c r="AD107" s="267"/>
      <c r="AE107" s="131"/>
    </row>
    <row r="108" spans="2:32" s="132" customFormat="1" ht="18" customHeight="1" x14ac:dyDescent="0.15">
      <c r="B108" s="130"/>
      <c r="C108" s="159" t="s">
        <v>37</v>
      </c>
      <c r="D108" s="249">
        <f>+D104-D106</f>
        <v>-1262.9187900000006</v>
      </c>
      <c r="E108" s="253">
        <f>+E104-E106</f>
        <v>-3212.6048599999999</v>
      </c>
      <c r="F108" s="250">
        <f t="shared" si="44"/>
        <v>1.5437936987223053</v>
      </c>
      <c r="G108" s="160">
        <f>+G104-G106</f>
        <v>-30325.88217600001</v>
      </c>
      <c r="H108" s="255">
        <f>+H104-H106</f>
        <v>-235722.35920177778</v>
      </c>
      <c r="I108" s="250">
        <f t="shared" si="45"/>
        <v>6.7729761605526893</v>
      </c>
      <c r="J108" s="249">
        <f>+J104-J106</f>
        <v>-198266.78168499999</v>
      </c>
      <c r="K108" s="161">
        <f>+K104-K106</f>
        <v>-210181.08726155548</v>
      </c>
      <c r="L108" s="250">
        <f t="shared" si="46"/>
        <v>6.0092293198588109E-2</v>
      </c>
      <c r="M108" s="249">
        <f>+M104-M106</f>
        <v>-251749.37740699999</v>
      </c>
      <c r="N108" s="253">
        <f>+N104-N106</f>
        <v>-221622.46890644453</v>
      </c>
      <c r="O108" s="250">
        <f t="shared" si="47"/>
        <v>-0.11967024034323503</v>
      </c>
      <c r="P108" s="249">
        <f>+P104-P106</f>
        <v>-8015.7841379999982</v>
      </c>
      <c r="Q108" s="161">
        <f>+Q104-Q106</f>
        <v>-11710.235572000005</v>
      </c>
      <c r="R108" s="250">
        <f t="shared" si="48"/>
        <v>0.46089707137769831</v>
      </c>
      <c r="S108" s="249">
        <f>+S104-S106</f>
        <v>522596.39803399984</v>
      </c>
      <c r="T108" s="161">
        <f>+T104-T106</f>
        <v>571979.24689377763</v>
      </c>
      <c r="U108" s="250">
        <f t="shared" si="49"/>
        <v>9.4495195614733296E-2</v>
      </c>
      <c r="V108" s="249">
        <f>+V104-V106</f>
        <v>15027.194162000018</v>
      </c>
      <c r="W108" s="253">
        <f>+W104-W106</f>
        <v>-34503.833203111164</v>
      </c>
      <c r="X108" s="250">
        <f t="shared" si="50"/>
        <v>-3.2960928587961318</v>
      </c>
      <c r="Y108" s="249">
        <f>+Y104-Y106</f>
        <v>0</v>
      </c>
      <c r="Z108" s="161">
        <f>+Z104-Z106</f>
        <v>43078.364000000001</v>
      </c>
      <c r="AA108" s="250" t="str">
        <f t="shared" si="51"/>
        <v>n.a.</v>
      </c>
      <c r="AB108" s="257">
        <f>+AB104-AB106</f>
        <v>48002.847999999503</v>
      </c>
      <c r="AC108" s="258">
        <f>+AC104-AC106</f>
        <v>-101894.97811111069</v>
      </c>
      <c r="AD108" s="268">
        <f t="shared" si="52"/>
        <v>-3.1226860979396833</v>
      </c>
      <c r="AE108" s="131"/>
    </row>
    <row r="109" spans="2:32" s="132" customFormat="1" ht="18" customHeight="1" x14ac:dyDescent="0.15">
      <c r="B109" s="130"/>
      <c r="C109" s="147"/>
      <c r="D109" s="148"/>
      <c r="E109" s="226"/>
      <c r="F109" s="152"/>
      <c r="G109" s="148"/>
      <c r="H109" s="149"/>
      <c r="I109" s="152"/>
      <c r="J109" s="148"/>
      <c r="K109" s="149"/>
      <c r="L109" s="152"/>
      <c r="M109" s="148"/>
      <c r="N109" s="149"/>
      <c r="O109" s="152"/>
      <c r="P109" s="148"/>
      <c r="Q109" s="226"/>
      <c r="R109" s="152"/>
      <c r="S109" s="148"/>
      <c r="T109" s="226"/>
      <c r="U109" s="152"/>
      <c r="V109" s="148"/>
      <c r="W109" s="226"/>
      <c r="X109" s="152"/>
      <c r="Y109" s="148"/>
      <c r="Z109" s="149"/>
      <c r="AA109" s="152"/>
      <c r="AB109" s="259"/>
      <c r="AC109" s="260"/>
      <c r="AD109" s="267"/>
      <c r="AE109" s="131"/>
    </row>
    <row r="110" spans="2:32" s="132" customFormat="1" ht="18" customHeight="1" x14ac:dyDescent="0.15">
      <c r="B110" s="130"/>
      <c r="C110" s="153" t="s">
        <v>38</v>
      </c>
      <c r="D110" s="154">
        <f>+D$127*'1. Administracion (Informe 2)'!$H52/1000</f>
        <v>0</v>
      </c>
      <c r="E110" s="155">
        <f>+E$127*'1. Administracion (Informe 2)'!$I52/1000</f>
        <v>720.46306000000004</v>
      </c>
      <c r="F110" s="152" t="str">
        <f t="shared" si="44"/>
        <v>n.a.</v>
      </c>
      <c r="G110" s="154">
        <f>+G$127*'1. Administracion (Informe 2)'!$H52/1000</f>
        <v>0</v>
      </c>
      <c r="H110" s="155">
        <f>+H$127*'1. Administracion (Informe 2)'!$I52/1000</f>
        <v>3530.268994</v>
      </c>
      <c r="I110" s="152" t="str">
        <f t="shared" si="45"/>
        <v>n.a.</v>
      </c>
      <c r="J110" s="154">
        <f>+J$127*'1. Administracion (Informe 2)'!$H52/1000</f>
        <v>0</v>
      </c>
      <c r="K110" s="155">
        <f>+K$127*'1. Administracion (Informe 2)'!$I52/1000</f>
        <v>9870.343922</v>
      </c>
      <c r="L110" s="152" t="str">
        <f t="shared" si="46"/>
        <v>n.a.</v>
      </c>
      <c r="M110" s="154">
        <f>+M$127*'1. Administracion (Informe 2)'!$H52/1000</f>
        <v>0</v>
      </c>
      <c r="N110" s="155">
        <f>+N$127*'1. Administracion (Informe 2)'!$I52/1000</f>
        <v>19164.317396000002</v>
      </c>
      <c r="O110" s="152" t="str">
        <f t="shared" si="47"/>
        <v>n.a.</v>
      </c>
      <c r="P110" s="154">
        <f>+P$127*'1. Administracion (Informe 2)'!$H52/1000</f>
        <v>0</v>
      </c>
      <c r="Q110" s="155">
        <f>+Q$127*'1. Administracion (Informe 2)'!$I52/1000</f>
        <v>1585.0187319999998</v>
      </c>
      <c r="R110" s="152" t="str">
        <f t="shared" si="48"/>
        <v>n.a.</v>
      </c>
      <c r="S110" s="154">
        <f>+S$127*'1. Administracion (Informe 2)'!$H52/1000</f>
        <v>0</v>
      </c>
      <c r="T110" s="155">
        <f>+T$127*'1. Administracion (Informe 2)'!$I52/1000</f>
        <v>28386.244564000004</v>
      </c>
      <c r="U110" s="152" t="str">
        <f t="shared" si="49"/>
        <v>n.a.</v>
      </c>
      <c r="V110" s="154">
        <f>+V$127*'1. Administracion (Informe 2)'!$H52/1000</f>
        <v>0</v>
      </c>
      <c r="W110" s="155">
        <f>+W$127*'1. Administracion (Informe 2)'!$I52/1000</f>
        <v>8789.6493320000009</v>
      </c>
      <c r="X110" s="152" t="str">
        <f t="shared" si="50"/>
        <v>n.a.</v>
      </c>
      <c r="Y110" s="154">
        <f>+Y$127*'1. Administracion (Informe 2)'!$H52/1000</f>
        <v>0</v>
      </c>
      <c r="Z110" s="155">
        <f>+Z$127*'1. Administracion (Informe 2)'!$I52/1000</f>
        <v>0</v>
      </c>
      <c r="AA110" s="152" t="str">
        <f t="shared" si="51"/>
        <v>n.a.</v>
      </c>
      <c r="AB110" s="259">
        <f>+V110+S110+P110+M110+J110+G110+D110+Y110</f>
        <v>0</v>
      </c>
      <c r="AC110" s="260">
        <f>+W110+T110+Q110+N110+K110+H110+E110+Z110</f>
        <v>72046.305999999997</v>
      </c>
      <c r="AD110" s="267" t="str">
        <f t="shared" si="52"/>
        <v>n.a.</v>
      </c>
      <c r="AE110" s="131"/>
    </row>
    <row r="111" spans="2:32" s="132" customFormat="1" ht="18" customHeight="1" x14ac:dyDescent="0.15">
      <c r="B111" s="130"/>
      <c r="C111" s="153" t="s">
        <v>39</v>
      </c>
      <c r="D111" s="154">
        <f>+D$127*'1. Administracion (Informe 2)'!$H53/1000</f>
        <v>0</v>
      </c>
      <c r="E111" s="155">
        <f>+E$127*'1. Administracion (Informe 2)'!$I53/1000</f>
        <v>-327.66038000000003</v>
      </c>
      <c r="F111" s="152" t="str">
        <f t="shared" si="44"/>
        <v>n.a.</v>
      </c>
      <c r="G111" s="154">
        <f>+G$127*'1. Administracion (Informe 2)'!$H53/1000</f>
        <v>0</v>
      </c>
      <c r="H111" s="155">
        <f>+H$127*'1. Administracion (Informe 2)'!$I53/1000</f>
        <v>-1605.535862</v>
      </c>
      <c r="I111" s="152" t="str">
        <f t="shared" si="45"/>
        <v>n.a.</v>
      </c>
      <c r="J111" s="154">
        <f>+J$127*'1. Administracion (Informe 2)'!$H53/1000</f>
        <v>0</v>
      </c>
      <c r="K111" s="155">
        <f>+K$127*'1. Administracion (Informe 2)'!$I53/1000</f>
        <v>-4488.9472059999998</v>
      </c>
      <c r="L111" s="152" t="str">
        <f t="shared" si="46"/>
        <v>n.a.</v>
      </c>
      <c r="M111" s="154">
        <f>+M$127*'1. Administracion (Informe 2)'!$H53/1000</f>
        <v>0</v>
      </c>
      <c r="N111" s="155">
        <f>+N$127*'1. Administracion (Informe 2)'!$I53/1000</f>
        <v>-8715.7661080000016</v>
      </c>
      <c r="O111" s="152" t="str">
        <f t="shared" si="47"/>
        <v>n.a.</v>
      </c>
      <c r="P111" s="154">
        <f>+P$127*'1. Administracion (Informe 2)'!$H53/1000</f>
        <v>0</v>
      </c>
      <c r="Q111" s="155">
        <f>+Q$127*'1. Administracion (Informe 2)'!$I53/1000</f>
        <v>-720.85283600000002</v>
      </c>
      <c r="R111" s="152" t="str">
        <f t="shared" si="48"/>
        <v>n.a.</v>
      </c>
      <c r="S111" s="154">
        <f>+S$127*'1. Administracion (Informe 2)'!$H53/1000</f>
        <v>0</v>
      </c>
      <c r="T111" s="155">
        <f>+T$127*'1. Administracion (Informe 2)'!$I53/1000</f>
        <v>-12909.818972000001</v>
      </c>
      <c r="U111" s="152" t="str">
        <f t="shared" si="49"/>
        <v>n.a.</v>
      </c>
      <c r="V111" s="154">
        <f>+V$127*'1. Administracion (Informe 2)'!$H53/1000</f>
        <v>0</v>
      </c>
      <c r="W111" s="155">
        <f>+W$127*'1. Administracion (Informe 2)'!$I53/1000</f>
        <v>-3997.4566359999999</v>
      </c>
      <c r="X111" s="152" t="str">
        <f t="shared" si="50"/>
        <v>n.a.</v>
      </c>
      <c r="Y111" s="154">
        <f>+Y$127*'1. Administracion (Informe 2)'!$H53/1000</f>
        <v>0</v>
      </c>
      <c r="Z111" s="155">
        <f>+Z$127*'1. Administracion (Informe 2)'!$I53/1000</f>
        <v>0</v>
      </c>
      <c r="AA111" s="152" t="str">
        <f t="shared" si="51"/>
        <v>n.a.</v>
      </c>
      <c r="AB111" s="259">
        <f>+V111+S111+P111+M111+J111+G111+D111+Y111</f>
        <v>0</v>
      </c>
      <c r="AC111" s="260">
        <f>+W111+T111+Q111+N111+K111+H111+E111+Z111</f>
        <v>-32766.038000000008</v>
      </c>
      <c r="AD111" s="267" t="str">
        <f t="shared" si="52"/>
        <v>n.a.</v>
      </c>
      <c r="AE111" s="131"/>
    </row>
    <row r="112" spans="2:32" s="132" customFormat="1" ht="18" customHeight="1" x14ac:dyDescent="0.15">
      <c r="B112" s="130"/>
      <c r="C112" s="153" t="s">
        <v>40</v>
      </c>
      <c r="D112" s="154">
        <f>+D$127*'1. Administracion (Informe 2)'!$H54/1000</f>
        <v>0</v>
      </c>
      <c r="E112" s="155">
        <f>+E$127*'1. Administracion (Informe 2)'!$I54/1000</f>
        <v>1123.5681200000001</v>
      </c>
      <c r="F112" s="152" t="str">
        <f t="shared" si="44"/>
        <v>n.a.</v>
      </c>
      <c r="G112" s="154">
        <f>+G$127*'1. Administracion (Informe 2)'!$H54/1000</f>
        <v>0</v>
      </c>
      <c r="H112" s="155">
        <f>+H$127*'1. Administracion (Informe 2)'!$I54/1000</f>
        <v>5505.4837880000005</v>
      </c>
      <c r="I112" s="152" t="str">
        <f t="shared" si="45"/>
        <v>n.a.</v>
      </c>
      <c r="J112" s="154">
        <f>+J$127*'1. Administracion (Informe 2)'!$H54/1000</f>
        <v>0</v>
      </c>
      <c r="K112" s="155">
        <f>+K$127*'1. Administracion (Informe 2)'!$I54/1000</f>
        <v>15392.883244000001</v>
      </c>
      <c r="L112" s="152" t="str">
        <f t="shared" si="46"/>
        <v>n.a.</v>
      </c>
      <c r="M112" s="154">
        <f>+M$127*'1. Administracion (Informe 2)'!$H54/1000</f>
        <v>0</v>
      </c>
      <c r="N112" s="155">
        <f>+N$127*'1. Administracion (Informe 2)'!$I54/1000</f>
        <v>29886.911992000001</v>
      </c>
      <c r="O112" s="152" t="str">
        <f t="shared" si="47"/>
        <v>n.a.</v>
      </c>
      <c r="P112" s="154">
        <f>+P$127*'1. Administracion (Informe 2)'!$H54/1000</f>
        <v>0</v>
      </c>
      <c r="Q112" s="155">
        <f>+Q$127*'1. Administracion (Informe 2)'!$I54/1000</f>
        <v>2471.8498640000003</v>
      </c>
      <c r="R112" s="152" t="str">
        <f t="shared" si="48"/>
        <v>n.a.</v>
      </c>
      <c r="S112" s="154">
        <f>+S$127*'1. Administracion (Informe 2)'!$H54/1000</f>
        <v>0</v>
      </c>
      <c r="T112" s="155">
        <f>+T$127*'1. Administracion (Informe 2)'!$I54/1000</f>
        <v>44268.583928</v>
      </c>
      <c r="U112" s="152" t="str">
        <f t="shared" si="49"/>
        <v>n.a.</v>
      </c>
      <c r="V112" s="154">
        <f>+V$127*'1. Administracion (Informe 2)'!$H54/1000</f>
        <v>0</v>
      </c>
      <c r="W112" s="155">
        <f>+W$127*'1. Administracion (Informe 2)'!$I54/1000</f>
        <v>13707.531063999999</v>
      </c>
      <c r="X112" s="152" t="str">
        <f t="shared" si="50"/>
        <v>n.a.</v>
      </c>
      <c r="Y112" s="154">
        <f>+Y$127*'1. Administracion (Informe 2)'!$H54/1000</f>
        <v>0</v>
      </c>
      <c r="Z112" s="155">
        <f>+Z$127*'1. Administracion (Informe 2)'!$I54/1000</f>
        <v>0</v>
      </c>
      <c r="AA112" s="152" t="str">
        <f t="shared" si="51"/>
        <v>n.a.</v>
      </c>
      <c r="AB112" s="259">
        <f>+V112+S112+P112+M112+J112+G112+D112+Y112</f>
        <v>0</v>
      </c>
      <c r="AC112" s="260">
        <f>+W112+T112+Q112+N112+K112+H112+E112+Z112</f>
        <v>112356.81200000001</v>
      </c>
      <c r="AD112" s="267" t="str">
        <f t="shared" si="52"/>
        <v>n.a.</v>
      </c>
      <c r="AE112" s="131"/>
      <c r="AF112" s="132">
        <f>100000000/240*12</f>
        <v>5000000</v>
      </c>
    </row>
    <row r="113" spans="2:32" s="132" customFormat="1" ht="18" customHeight="1" x14ac:dyDescent="0.15">
      <c r="B113" s="130"/>
      <c r="C113" s="153" t="s">
        <v>41</v>
      </c>
      <c r="D113" s="154">
        <f>+D$127*'1. Administracion (Informe 2)'!$H55/1000</f>
        <v>0</v>
      </c>
      <c r="E113" s="155">
        <f>+E$127*'1. Administracion (Informe 2)'!$I55/1000</f>
        <v>0</v>
      </c>
      <c r="F113" s="152" t="str">
        <f t="shared" si="44"/>
        <v>n.a.</v>
      </c>
      <c r="G113" s="154">
        <f>+G$127*'1. Administracion (Informe 2)'!$H55/1000</f>
        <v>0</v>
      </c>
      <c r="H113" s="155">
        <f>+H$127*'1. Administracion (Informe 2)'!$I55/1000</f>
        <v>0</v>
      </c>
      <c r="I113" s="152" t="str">
        <f t="shared" si="45"/>
        <v>n.a.</v>
      </c>
      <c r="J113" s="154">
        <f>+J$127*'1. Administracion (Informe 2)'!$H55/1000</f>
        <v>0</v>
      </c>
      <c r="K113" s="155">
        <f>+K$127*'1. Administracion (Informe 2)'!$I55/1000</f>
        <v>0</v>
      </c>
      <c r="L113" s="152" t="str">
        <f t="shared" si="46"/>
        <v>n.a.</v>
      </c>
      <c r="M113" s="154">
        <f>+M$127*'1. Administracion (Informe 2)'!$H55/1000</f>
        <v>0</v>
      </c>
      <c r="N113" s="155">
        <f>+N$127*'1. Administracion (Informe 2)'!$I55/1000</f>
        <v>0</v>
      </c>
      <c r="O113" s="152" t="str">
        <f t="shared" si="47"/>
        <v>n.a.</v>
      </c>
      <c r="P113" s="154">
        <f>+P$127*'1. Administracion (Informe 2)'!$H55/1000</f>
        <v>0</v>
      </c>
      <c r="Q113" s="155">
        <f>+Q$127*'1. Administracion (Informe 2)'!$I55/1000</f>
        <v>0</v>
      </c>
      <c r="R113" s="152" t="str">
        <f t="shared" si="48"/>
        <v>n.a.</v>
      </c>
      <c r="S113" s="154">
        <f>+S$127*'1. Administracion (Informe 2)'!$H55/1000</f>
        <v>0</v>
      </c>
      <c r="T113" s="155">
        <f>+T$127*'1. Administracion (Informe 2)'!$I55/1000</f>
        <v>0</v>
      </c>
      <c r="U113" s="152" t="str">
        <f t="shared" si="49"/>
        <v>n.a.</v>
      </c>
      <c r="V113" s="154">
        <f>+V$127*'1. Administracion (Informe 2)'!$H55/1000</f>
        <v>0</v>
      </c>
      <c r="W113" s="155">
        <f>+W$127*'1. Administracion (Informe 2)'!$I55/1000</f>
        <v>0</v>
      </c>
      <c r="X113" s="152" t="str">
        <f t="shared" si="50"/>
        <v>n.a.</v>
      </c>
      <c r="Y113" s="154">
        <f>+Y$127*'1. Administracion (Informe 2)'!$H55/1000</f>
        <v>0</v>
      </c>
      <c r="Z113" s="155">
        <f>+Z$127*'1. Administracion (Informe 2)'!$I55/1000</f>
        <v>0</v>
      </c>
      <c r="AA113" s="152" t="str">
        <f t="shared" si="51"/>
        <v>n.a.</v>
      </c>
      <c r="AB113" s="259">
        <f>+V113+S113+P113+M113+J113+G113+D113+Y113</f>
        <v>0</v>
      </c>
      <c r="AC113" s="260">
        <f>+W113+T113+Q113+N113+K113+H113+E113+Z113</f>
        <v>0</v>
      </c>
      <c r="AD113" s="267" t="str">
        <f t="shared" si="52"/>
        <v>n.a.</v>
      </c>
      <c r="AE113" s="131"/>
    </row>
    <row r="114" spans="2:32" s="132" customFormat="1" ht="18" customHeight="1" x14ac:dyDescent="0.15">
      <c r="B114" s="130"/>
      <c r="C114" s="153" t="s">
        <v>42</v>
      </c>
      <c r="D114" s="154">
        <f>+D$127*'1. Administracion (Informe 2)'!$H56/1000</f>
        <v>0</v>
      </c>
      <c r="E114" s="155">
        <f>+E$127*'1. Administracion (Informe 2)'!$I56/1000</f>
        <v>-491.75518</v>
      </c>
      <c r="F114" s="152" t="str">
        <f t="shared" si="44"/>
        <v>n.a.</v>
      </c>
      <c r="G114" s="154">
        <f>+G$127*'1. Administracion (Informe 2)'!$H56/1000</f>
        <v>0</v>
      </c>
      <c r="H114" s="155">
        <f>+H$127*'1. Administracion (Informe 2)'!$I56/1000</f>
        <v>-2409.6003820000001</v>
      </c>
      <c r="I114" s="152" t="str">
        <f t="shared" si="45"/>
        <v>n.a.</v>
      </c>
      <c r="J114" s="154">
        <f>+J$127*'1. Administracion (Informe 2)'!$H56/1000</f>
        <v>0</v>
      </c>
      <c r="K114" s="155">
        <f>+K$127*'1. Administracion (Informe 2)'!$I56/1000</f>
        <v>-6737.0459660000006</v>
      </c>
      <c r="L114" s="152" t="str">
        <f t="shared" si="46"/>
        <v>n.a.</v>
      </c>
      <c r="M114" s="154">
        <f>+M$127*'1. Administracion (Informe 2)'!$H56/1000</f>
        <v>0</v>
      </c>
      <c r="N114" s="155">
        <f>+N$127*'1. Administracion (Informe 2)'!$I56/1000</f>
        <v>-13080.687788000001</v>
      </c>
      <c r="O114" s="152" t="str">
        <f t="shared" si="47"/>
        <v>n.a.</v>
      </c>
      <c r="P114" s="154">
        <f>+P$127*'1. Administracion (Informe 2)'!$H56/1000</f>
        <v>0</v>
      </c>
      <c r="Q114" s="155">
        <f>+Q$127*'1. Administracion (Informe 2)'!$I56/1000</f>
        <v>-1081.861396</v>
      </c>
      <c r="R114" s="152" t="str">
        <f t="shared" si="48"/>
        <v>n.a.</v>
      </c>
      <c r="S114" s="154">
        <f>+S$127*'1. Administracion (Informe 2)'!$H56/1000</f>
        <v>0</v>
      </c>
      <c r="T114" s="155">
        <f>+T$127*'1. Administracion (Informe 2)'!$I56/1000</f>
        <v>-19375.154092000001</v>
      </c>
      <c r="U114" s="152" t="str">
        <f t="shared" si="49"/>
        <v>n.a.</v>
      </c>
      <c r="V114" s="154">
        <f>+V$127*'1. Administracion (Informe 2)'!$H56/1000</f>
        <v>0</v>
      </c>
      <c r="W114" s="155">
        <f>+W$127*'1. Administracion (Informe 2)'!$I56/1000</f>
        <v>-5999.4131959999995</v>
      </c>
      <c r="X114" s="152" t="str">
        <f t="shared" si="50"/>
        <v>n.a.</v>
      </c>
      <c r="Y114" s="154">
        <f>+Y$127*'1. Administracion (Informe 2)'!$H56/1000</f>
        <v>0</v>
      </c>
      <c r="Z114" s="155">
        <f>+Z$127*'1. Administracion (Informe 2)'!$I56/1000</f>
        <v>0</v>
      </c>
      <c r="AA114" s="152" t="str">
        <f t="shared" si="51"/>
        <v>n.a.</v>
      </c>
      <c r="AB114" s="259">
        <f>+V114+S114+P114+M114+J114+G114+D114+Y114</f>
        <v>0</v>
      </c>
      <c r="AC114" s="260">
        <f>+W114+T114+Q114+N114+K114+H114+E114+Z114</f>
        <v>-49175.517999999996</v>
      </c>
      <c r="AD114" s="267" t="str">
        <f t="shared" si="52"/>
        <v>n.a.</v>
      </c>
      <c r="AE114" s="131"/>
    </row>
    <row r="115" spans="2:32" s="132" customFormat="1" ht="18" customHeight="1" x14ac:dyDescent="0.15">
      <c r="B115" s="130"/>
      <c r="C115" s="153" t="s">
        <v>43</v>
      </c>
      <c r="D115" s="154">
        <f>+D$127*'1. Administracion (Informe 2)'!$H57/1000</f>
        <v>0</v>
      </c>
      <c r="E115" s="155">
        <f>+E$127*'1. Administracion (Informe 2)'!$I57/1000+'10. Remolacha'!G50/1000</f>
        <v>-2138.2145799999998</v>
      </c>
      <c r="F115" s="152" t="str">
        <f t="shared" si="44"/>
        <v>n.a.</v>
      </c>
      <c r="G115" s="154">
        <f>+G$127*'1. Administracion (Informe 2)'!$H57/1000</f>
        <v>0</v>
      </c>
      <c r="H115" s="155">
        <f>+H$127*'1. Administracion (Informe 2)'!$I57/1000+'13. Maiz de Exportación'!G50/1000</f>
        <v>6590.3939580000006</v>
      </c>
      <c r="I115" s="152" t="str">
        <f t="shared" si="45"/>
        <v>n.a.</v>
      </c>
      <c r="J115" s="154">
        <f>+J$127*'1. Administracion (Informe 2)'!$H57/1000</f>
        <v>0</v>
      </c>
      <c r="K115" s="155">
        <f>+K$127*'1. Administracion (Informe 2)'!$I57/1000+'15. Maiz Local'!G50/1000</f>
        <v>4735.0134539999999</v>
      </c>
      <c r="L115" s="152" t="str">
        <f t="shared" si="46"/>
        <v>n.a.</v>
      </c>
      <c r="M115" s="154">
        <f>+M$127*'1. Administracion (Informe 2)'!$H57/1000</f>
        <v>0</v>
      </c>
      <c r="N115" s="155">
        <f>+N$127*'1. Administracion (Informe 2)'!$I57/1000+'16. Soya de Exportación'!G50/1000</f>
        <v>37255.701772</v>
      </c>
      <c r="O115" s="152" t="str">
        <f t="shared" si="47"/>
        <v>n.a.</v>
      </c>
      <c r="P115" s="154">
        <f>+P$127*'1. Administracion (Informe 2)'!$H57/1000</f>
        <v>0</v>
      </c>
      <c r="Q115" s="155">
        <f>+Q$127*'1. Administracion (Informe 2)'!$I57/1000+'17. Alfalfa'!G50/1000</f>
        <v>-981.49487600000009</v>
      </c>
      <c r="R115" s="152" t="str">
        <f t="shared" si="48"/>
        <v>n.a.</v>
      </c>
      <c r="S115" s="154">
        <f>+S$127*'1. Administracion (Informe 2)'!$H57/1000</f>
        <v>0</v>
      </c>
      <c r="T115" s="155">
        <f>+T$127*'1. Administracion (Informe 2)'!$I57/1000+'18. Canola y Girasol'!G50/1000</f>
        <v>15633.095948000002</v>
      </c>
      <c r="U115" s="152" t="str">
        <f t="shared" si="49"/>
        <v>n.a.</v>
      </c>
      <c r="V115" s="154">
        <f>+V$127*'1. Administracion (Informe 2)'!$H57/1000</f>
        <v>0</v>
      </c>
      <c r="W115" s="155">
        <f>+W$127*'1. Administracion (Informe 2)'!$I57/1000</f>
        <v>4216.5813239999998</v>
      </c>
      <c r="X115" s="152" t="str">
        <f t="shared" si="50"/>
        <v>n.a.</v>
      </c>
      <c r="Y115" s="154">
        <f>+Y$127*'1. Administracion (Informe 2)'!$H57/1000</f>
        <v>0</v>
      </c>
      <c r="Z115" s="155">
        <f>+Z$127*'1. Administracion (Informe 2)'!$I57/1000</f>
        <v>0</v>
      </c>
      <c r="AA115" s="152" t="str">
        <f t="shared" si="51"/>
        <v>n.a.</v>
      </c>
      <c r="AB115" s="259">
        <f>+V115+S115+P115+M115+J115+G115+D115+Y115</f>
        <v>0</v>
      </c>
      <c r="AC115" s="260">
        <f>+W115+T115+Q115+N115+K115+H115+E115+Z115</f>
        <v>65311.077000000005</v>
      </c>
      <c r="AD115" s="267" t="str">
        <f t="shared" si="52"/>
        <v>n.a.</v>
      </c>
      <c r="AE115" s="131"/>
    </row>
    <row r="116" spans="2:32" s="132" customFormat="1" ht="18" customHeight="1" x14ac:dyDescent="0.15">
      <c r="B116" s="130"/>
      <c r="C116" s="147" t="s">
        <v>44</v>
      </c>
      <c r="D116" s="148">
        <f>SUM(D110:D115)</f>
        <v>0</v>
      </c>
      <c r="E116" s="149">
        <f>SUM(E110:E115)</f>
        <v>-1113.5989599999998</v>
      </c>
      <c r="F116" s="150" t="str">
        <f t="shared" si="44"/>
        <v>n.a.</v>
      </c>
      <c r="G116" s="148">
        <f>SUM(G110:G115)</f>
        <v>0</v>
      </c>
      <c r="H116" s="149">
        <f>SUM(H110:H115)</f>
        <v>11611.010496000001</v>
      </c>
      <c r="I116" s="150" t="str">
        <f t="shared" si="45"/>
        <v>n.a.</v>
      </c>
      <c r="J116" s="148">
        <f>SUM(J110:J115)</f>
        <v>0</v>
      </c>
      <c r="K116" s="149">
        <f>SUM(K110:K115)</f>
        <v>18772.247447999998</v>
      </c>
      <c r="L116" s="150" t="str">
        <f t="shared" si="46"/>
        <v>n.a.</v>
      </c>
      <c r="M116" s="148">
        <f>SUM(M110:M115)</f>
        <v>0</v>
      </c>
      <c r="N116" s="149">
        <f>SUM(N110:N115)</f>
        <v>64510.477264000001</v>
      </c>
      <c r="O116" s="150" t="str">
        <f t="shared" si="47"/>
        <v>n.a.</v>
      </c>
      <c r="P116" s="148">
        <f>SUM(P110:P115)</f>
        <v>0</v>
      </c>
      <c r="Q116" s="149">
        <f>SUM(Q110:Q115)</f>
        <v>1272.6594879999998</v>
      </c>
      <c r="R116" s="150" t="str">
        <f t="shared" si="48"/>
        <v>n.a.</v>
      </c>
      <c r="S116" s="148">
        <f>SUM(S110:S115)</f>
        <v>0</v>
      </c>
      <c r="T116" s="149">
        <f>SUM(T110:T115)</f>
        <v>56002.951376000012</v>
      </c>
      <c r="U116" s="150" t="str">
        <f t="shared" si="49"/>
        <v>n.a.</v>
      </c>
      <c r="V116" s="148">
        <f>SUM(V110:V115)</f>
        <v>0</v>
      </c>
      <c r="W116" s="149">
        <f>SUM(W110:W115)</f>
        <v>16716.891888000002</v>
      </c>
      <c r="X116" s="150" t="str">
        <f t="shared" si="50"/>
        <v>n.a.</v>
      </c>
      <c r="Y116" s="148">
        <f>SUM(Y110:Y115)</f>
        <v>0</v>
      </c>
      <c r="Z116" s="149">
        <f>SUM(Z110:Z115)</f>
        <v>0</v>
      </c>
      <c r="AA116" s="150" t="str">
        <f t="shared" si="51"/>
        <v>n.a.</v>
      </c>
      <c r="AB116" s="259">
        <f>+V116+S116+P116+M116+J116+G116+D116+Y116</f>
        <v>0</v>
      </c>
      <c r="AC116" s="260">
        <f>+W116+T116+Q116+N116+K116+H116+E116+Z116</f>
        <v>167772.63900000002</v>
      </c>
      <c r="AD116" s="266" t="str">
        <f t="shared" si="52"/>
        <v>n.a.</v>
      </c>
      <c r="AE116" s="131"/>
    </row>
    <row r="117" spans="2:32" s="132" customFormat="1" ht="18" customHeight="1" x14ac:dyDescent="0.15">
      <c r="B117" s="130"/>
      <c r="C117" s="147"/>
      <c r="D117" s="148"/>
      <c r="E117" s="149"/>
      <c r="F117" s="152"/>
      <c r="G117" s="148"/>
      <c r="H117" s="149"/>
      <c r="I117" s="152"/>
      <c r="J117" s="148"/>
      <c r="K117" s="149"/>
      <c r="L117" s="152"/>
      <c r="M117" s="148"/>
      <c r="N117" s="149"/>
      <c r="O117" s="152"/>
      <c r="P117" s="148"/>
      <c r="Q117" s="149"/>
      <c r="R117" s="152"/>
      <c r="S117" s="148"/>
      <c r="T117" s="149"/>
      <c r="U117" s="152"/>
      <c r="V117" s="148"/>
      <c r="W117" s="149"/>
      <c r="X117" s="152"/>
      <c r="Y117" s="148"/>
      <c r="Z117" s="149"/>
      <c r="AA117" s="152"/>
      <c r="AB117" s="259"/>
      <c r="AC117" s="260"/>
      <c r="AD117" s="267"/>
      <c r="AE117" s="131"/>
    </row>
    <row r="118" spans="2:32" s="167" customFormat="1" ht="18" customHeight="1" x14ac:dyDescent="0.15">
      <c r="B118" s="165"/>
      <c r="C118" s="147" t="s">
        <v>45</v>
      </c>
      <c r="D118" s="148">
        <f>+D108+D116</f>
        <v>-1262.9187900000006</v>
      </c>
      <c r="E118" s="149">
        <f>+E108+E116</f>
        <v>-4326.2038199999997</v>
      </c>
      <c r="F118" s="150">
        <f t="shared" si="44"/>
        <v>2.4255597859938387</v>
      </c>
      <c r="G118" s="148">
        <f>+G108+G116</f>
        <v>-30325.88217600001</v>
      </c>
      <c r="H118" s="149">
        <f>+H108+H116</f>
        <v>-224111.34870577778</v>
      </c>
      <c r="I118" s="150">
        <f t="shared" si="45"/>
        <v>6.3901015444536728</v>
      </c>
      <c r="J118" s="148">
        <f>+J108+J116</f>
        <v>-198266.78168499999</v>
      </c>
      <c r="K118" s="149">
        <f>+K108+K116</f>
        <v>-191408.83981355547</v>
      </c>
      <c r="L118" s="150">
        <f t="shared" si="46"/>
        <v>-3.4589464826943139E-2</v>
      </c>
      <c r="M118" s="148">
        <f>+M108+M116</f>
        <v>-251749.37740699999</v>
      </c>
      <c r="N118" s="149">
        <f>+N108+N116</f>
        <v>-157111.99164244451</v>
      </c>
      <c r="O118" s="150">
        <f t="shared" si="47"/>
        <v>-0.37591904591508263</v>
      </c>
      <c r="P118" s="148">
        <f>+P108+P116</f>
        <v>-8015.7841379999982</v>
      </c>
      <c r="Q118" s="149">
        <f>+Q108+Q116</f>
        <v>-10437.576084000006</v>
      </c>
      <c r="R118" s="150">
        <f t="shared" si="48"/>
        <v>0.3021278897118933</v>
      </c>
      <c r="S118" s="148">
        <f>+S108+S116</f>
        <v>522596.39803399984</v>
      </c>
      <c r="T118" s="149">
        <f>+T108+T116</f>
        <v>627982.1982697777</v>
      </c>
      <c r="U118" s="150">
        <f t="shared" si="49"/>
        <v>0.20165810677654439</v>
      </c>
      <c r="V118" s="148">
        <f>+V108+V116</f>
        <v>15027.194162000018</v>
      </c>
      <c r="W118" s="149">
        <f>+W108+W116</f>
        <v>-17786.941315111162</v>
      </c>
      <c r="X118" s="150">
        <f t="shared" si="50"/>
        <v>-2.1836501959953276</v>
      </c>
      <c r="Y118" s="148">
        <f>+Y108+Y116</f>
        <v>0</v>
      </c>
      <c r="Z118" s="149">
        <f>+Z108+Z116</f>
        <v>43078.364000000001</v>
      </c>
      <c r="AA118" s="150" t="str">
        <f t="shared" si="51"/>
        <v>n.a.</v>
      </c>
      <c r="AB118" s="259">
        <f>+V118+S118+P118+M118+J118+G118+D118+Y118</f>
        <v>48002.847999999816</v>
      </c>
      <c r="AC118" s="260">
        <f>+W118+T118+Q118+N118+K118+H118+E118+Z118</f>
        <v>65877.660888888757</v>
      </c>
      <c r="AD118" s="266">
        <f t="shared" si="52"/>
        <v>0.37236984124127415</v>
      </c>
      <c r="AE118" s="166"/>
      <c r="AF118" s="132"/>
    </row>
    <row r="119" spans="2:32" s="132" customFormat="1" ht="18" customHeight="1" x14ac:dyDescent="0.15">
      <c r="B119" s="130"/>
      <c r="C119" s="147"/>
      <c r="D119" s="148"/>
      <c r="E119" s="149"/>
      <c r="F119" s="152"/>
      <c r="G119" s="148"/>
      <c r="H119" s="149"/>
      <c r="I119" s="152"/>
      <c r="J119" s="148"/>
      <c r="K119" s="149"/>
      <c r="L119" s="152"/>
      <c r="M119" s="148"/>
      <c r="N119" s="149"/>
      <c r="O119" s="152"/>
      <c r="P119" s="148"/>
      <c r="Q119" s="149"/>
      <c r="R119" s="152"/>
      <c r="S119" s="148"/>
      <c r="T119" s="149"/>
      <c r="U119" s="152"/>
      <c r="V119" s="148"/>
      <c r="W119" s="149"/>
      <c r="X119" s="152"/>
      <c r="Y119" s="148"/>
      <c r="Z119" s="149"/>
      <c r="AA119" s="152"/>
      <c r="AB119" s="259"/>
      <c r="AC119" s="260"/>
      <c r="AD119" s="267"/>
      <c r="AE119" s="131"/>
    </row>
    <row r="120" spans="2:32" s="167" customFormat="1" ht="18" customHeight="1" x14ac:dyDescent="0.15">
      <c r="B120" s="165"/>
      <c r="C120" s="147" t="s">
        <v>46</v>
      </c>
      <c r="D120" s="148">
        <f>-(D118*0.24)+D118</f>
        <v>-959.8182804000005</v>
      </c>
      <c r="E120" s="149">
        <f>-(E118*0.24)+E118</f>
        <v>-3287.9149031999996</v>
      </c>
      <c r="F120" s="150">
        <f t="shared" si="44"/>
        <v>2.4255597859938383</v>
      </c>
      <c r="G120" s="148">
        <f>-(G118*0.24)+G118</f>
        <v>-23047.670453760009</v>
      </c>
      <c r="H120" s="149">
        <f>-(H118*0.24)+H118</f>
        <v>-170324.6250163911</v>
      </c>
      <c r="I120" s="150">
        <f t="shared" si="45"/>
        <v>6.390101544453672</v>
      </c>
      <c r="J120" s="148">
        <f>-(J118*0.24)+J118</f>
        <v>-150682.75408059999</v>
      </c>
      <c r="K120" s="149">
        <f>-(K118*0.24)+K118</f>
        <v>-145470.71825830216</v>
      </c>
      <c r="L120" s="150">
        <f t="shared" si="46"/>
        <v>-3.4589464826943028E-2</v>
      </c>
      <c r="M120" s="148">
        <f>-(M118*0.24)+M118</f>
        <v>-191329.52682932001</v>
      </c>
      <c r="N120" s="149">
        <f>-(N118*0.24)+N118</f>
        <v>-119405.11364825783</v>
      </c>
      <c r="O120" s="150">
        <f t="shared" si="47"/>
        <v>-0.37591904591508263</v>
      </c>
      <c r="P120" s="148">
        <f>-(P118*0.24)+P118</f>
        <v>-6091.9959448799982</v>
      </c>
      <c r="Q120" s="149">
        <f>-(Q118*0.24)+Q118</f>
        <v>-7932.5578238400049</v>
      </c>
      <c r="R120" s="150">
        <f t="shared" si="48"/>
        <v>0.30212788971189353</v>
      </c>
      <c r="S120" s="148">
        <f>-(S118*0.24)+S118</f>
        <v>397173.26250583987</v>
      </c>
      <c r="T120" s="149">
        <f>-(T118*0.24)+T118</f>
        <v>477266.47068503103</v>
      </c>
      <c r="U120" s="150">
        <f t="shared" si="49"/>
        <v>0.20165810677654439</v>
      </c>
      <c r="V120" s="148">
        <f>-(V118*0.24)+V118</f>
        <v>11420.667563120014</v>
      </c>
      <c r="W120" s="149">
        <f>-(W118*0.24)+W118</f>
        <v>-13518.075399484484</v>
      </c>
      <c r="X120" s="150">
        <f t="shared" si="50"/>
        <v>-2.1836501959953276</v>
      </c>
      <c r="Y120" s="148">
        <f>IF(Y118&gt;0,Y118*(1-[1]Supuestos!$P$15),Y118)</f>
        <v>0</v>
      </c>
      <c r="Z120" s="149">
        <f>-(Z118*0.24)+Z118</f>
        <v>32739.556640000003</v>
      </c>
      <c r="AA120" s="150" t="str">
        <f t="shared" si="51"/>
        <v>n.a.</v>
      </c>
      <c r="AB120" s="259">
        <f>+V120+S120+P120+M120+J120+G120+D120+Y120</f>
        <v>36482.164479999876</v>
      </c>
      <c r="AC120" s="260">
        <f>+W120+T120+Q120+N120+K120+H120+E120+Z120</f>
        <v>50067.02227555542</v>
      </c>
      <c r="AD120" s="266">
        <f t="shared" si="52"/>
        <v>0.37236984124127259</v>
      </c>
      <c r="AE120" s="166"/>
    </row>
    <row r="121" spans="2:32" s="132" customFormat="1" ht="18" customHeight="1" thickBot="1" x14ac:dyDescent="0.2">
      <c r="B121" s="130"/>
      <c r="C121" s="168"/>
      <c r="D121" s="169"/>
      <c r="E121" s="170"/>
      <c r="F121" s="171"/>
      <c r="G121" s="169"/>
      <c r="H121" s="170"/>
      <c r="I121" s="171"/>
      <c r="J121" s="169"/>
      <c r="K121" s="170"/>
      <c r="L121" s="171"/>
      <c r="M121" s="169"/>
      <c r="N121" s="170"/>
      <c r="O121" s="171"/>
      <c r="P121" s="169"/>
      <c r="Q121" s="170"/>
      <c r="R121" s="171"/>
      <c r="S121" s="169"/>
      <c r="T121" s="170"/>
      <c r="U121" s="171"/>
      <c r="V121" s="169"/>
      <c r="W121" s="170"/>
      <c r="X121" s="171"/>
      <c r="Y121" s="169"/>
      <c r="Z121" s="170"/>
      <c r="AA121" s="171"/>
      <c r="AB121" s="269"/>
      <c r="AC121" s="270"/>
      <c r="AD121" s="271"/>
      <c r="AE121" s="131"/>
    </row>
    <row r="122" spans="2:32" s="129" customFormat="1" ht="16.5" customHeight="1" thickBot="1" x14ac:dyDescent="0.25">
      <c r="B122" s="172"/>
      <c r="C122" s="427" t="s">
        <v>176</v>
      </c>
      <c r="D122" s="428"/>
      <c r="E122" s="428"/>
      <c r="F122" s="427"/>
      <c r="G122" s="427"/>
      <c r="H122" s="427"/>
      <c r="I122" s="427"/>
      <c r="J122" s="427"/>
      <c r="K122" s="427"/>
      <c r="L122" s="427"/>
      <c r="M122" s="427"/>
      <c r="N122" s="427"/>
      <c r="O122" s="427"/>
      <c r="P122" s="427"/>
      <c r="Q122" s="427"/>
      <c r="R122" s="427"/>
      <c r="S122" s="427"/>
      <c r="T122" s="427"/>
      <c r="U122" s="427"/>
      <c r="V122" s="427"/>
      <c r="W122" s="427"/>
      <c r="X122" s="427"/>
      <c r="Y122" s="427"/>
      <c r="Z122" s="427"/>
      <c r="AA122" s="427"/>
      <c r="AB122" s="427"/>
      <c r="AC122" s="427"/>
      <c r="AD122" s="427"/>
      <c r="AE122" s="173"/>
    </row>
    <row r="123" spans="2:32" s="129" customFormat="1" ht="16.5" customHeight="1" thickTop="1" x14ac:dyDescent="0.2"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88"/>
      <c r="AD123" s="179"/>
    </row>
    <row r="124" spans="2:32" s="129" customFormat="1" ht="16.5" customHeight="1" x14ac:dyDescent="0.2"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88"/>
      <c r="AD124" s="179"/>
    </row>
    <row r="125" spans="2:32" s="167" customFormat="1" ht="23.25" customHeight="1" x14ac:dyDescent="0.15">
      <c r="C125" s="167" t="s">
        <v>270</v>
      </c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80"/>
      <c r="Z125" s="181"/>
      <c r="AA125" s="136"/>
      <c r="AB125" s="136"/>
      <c r="AC125" s="181"/>
      <c r="AD125" s="136"/>
    </row>
    <row r="127" spans="2:32" s="132" customFormat="1" ht="23.25" customHeight="1" x14ac:dyDescent="0.15">
      <c r="C127" s="132" t="s">
        <v>62</v>
      </c>
      <c r="D127" s="183">
        <v>0.01</v>
      </c>
      <c r="E127" s="184">
        <v>0.01</v>
      </c>
      <c r="F127" s="133"/>
      <c r="G127" s="183">
        <v>4.9000000000000002E-2</v>
      </c>
      <c r="H127" s="184">
        <f>+G127</f>
        <v>4.9000000000000002E-2</v>
      </c>
      <c r="I127" s="133"/>
      <c r="J127" s="183">
        <v>0.13700000000000001</v>
      </c>
      <c r="K127" s="184">
        <f>+J127</f>
        <v>0.13700000000000001</v>
      </c>
      <c r="L127" s="133"/>
      <c r="M127" s="183">
        <v>0.26600000000000001</v>
      </c>
      <c r="N127" s="184">
        <f>+M127</f>
        <v>0.26600000000000001</v>
      </c>
      <c r="O127" s="133"/>
      <c r="P127" s="183">
        <v>2.1999999999999999E-2</v>
      </c>
      <c r="Q127" s="184">
        <f>+P127</f>
        <v>2.1999999999999999E-2</v>
      </c>
      <c r="R127" s="133"/>
      <c r="S127" s="183">
        <v>0.39400000000000002</v>
      </c>
      <c r="T127" s="184">
        <f>+S127</f>
        <v>0.39400000000000002</v>
      </c>
      <c r="U127" s="133"/>
      <c r="V127" s="183">
        <v>0.122</v>
      </c>
      <c r="W127" s="184">
        <f>+V127</f>
        <v>0.122</v>
      </c>
      <c r="X127" s="133"/>
      <c r="Y127" s="185">
        <v>0</v>
      </c>
      <c r="Z127" s="135">
        <f>+Y127</f>
        <v>0</v>
      </c>
      <c r="AA127" s="133"/>
      <c r="AB127" s="136"/>
      <c r="AC127" s="181"/>
      <c r="AD127" s="136"/>
    </row>
    <row r="128" spans="2:32" s="132" customFormat="1" ht="23.25" customHeight="1" x14ac:dyDescent="0.15">
      <c r="C128" s="132" t="s">
        <v>271</v>
      </c>
      <c r="D128" s="183">
        <v>0</v>
      </c>
      <c r="E128" s="184">
        <f>+D128</f>
        <v>0</v>
      </c>
      <c r="F128" s="133"/>
      <c r="G128" s="183">
        <v>0</v>
      </c>
      <c r="H128" s="184">
        <f>+G128</f>
        <v>0</v>
      </c>
      <c r="I128" s="133"/>
      <c r="J128" s="183">
        <v>0.6</v>
      </c>
      <c r="K128" s="184">
        <f>+J128</f>
        <v>0.6</v>
      </c>
      <c r="L128" s="133"/>
      <c r="M128" s="183">
        <v>0</v>
      </c>
      <c r="N128" s="184">
        <f>+M128</f>
        <v>0</v>
      </c>
      <c r="O128" s="133"/>
      <c r="P128" s="183">
        <v>0.08</v>
      </c>
      <c r="Q128" s="184">
        <f>+P128</f>
        <v>0.08</v>
      </c>
      <c r="R128" s="133"/>
      <c r="S128" s="183">
        <v>0.32</v>
      </c>
      <c r="T128" s="184">
        <f>+S128</f>
        <v>0.32</v>
      </c>
      <c r="U128" s="133"/>
      <c r="V128" s="183">
        <v>0</v>
      </c>
      <c r="W128" s="184">
        <f>+V128</f>
        <v>0</v>
      </c>
      <c r="X128" s="133"/>
      <c r="Y128" s="185">
        <v>0</v>
      </c>
      <c r="Z128" s="135">
        <f>+Y128</f>
        <v>0</v>
      </c>
      <c r="AA128" s="133"/>
      <c r="AB128" s="136"/>
      <c r="AC128" s="181"/>
      <c r="AD128" s="136"/>
    </row>
    <row r="129" spans="3:30" s="132" customFormat="1" ht="23.25" customHeight="1" x14ac:dyDescent="0.15">
      <c r="C129" s="132" t="s">
        <v>272</v>
      </c>
      <c r="D129" s="183">
        <v>0</v>
      </c>
      <c r="E129" s="184">
        <f>+D129</f>
        <v>0</v>
      </c>
      <c r="F129" s="133"/>
      <c r="G129" s="183">
        <v>0.19500000000000001</v>
      </c>
      <c r="H129" s="184">
        <f>+G129</f>
        <v>0.19500000000000001</v>
      </c>
      <c r="I129" s="133"/>
      <c r="J129" s="183">
        <v>0.17799999999999999</v>
      </c>
      <c r="K129" s="184">
        <f>+J129</f>
        <v>0.17799999999999999</v>
      </c>
      <c r="L129" s="133"/>
      <c r="M129" s="183">
        <v>0.46700000000000003</v>
      </c>
      <c r="N129" s="184">
        <f>+M129</f>
        <v>0.46700000000000003</v>
      </c>
      <c r="O129" s="133"/>
      <c r="P129" s="183">
        <v>0</v>
      </c>
      <c r="Q129" s="184">
        <f>+P129</f>
        <v>0</v>
      </c>
      <c r="R129" s="133"/>
      <c r="S129" s="183">
        <v>0.16</v>
      </c>
      <c r="T129" s="184">
        <f>+S129</f>
        <v>0.16</v>
      </c>
      <c r="U129" s="133"/>
      <c r="V129" s="183">
        <v>0</v>
      </c>
      <c r="W129" s="184">
        <f>+V129</f>
        <v>0</v>
      </c>
      <c r="X129" s="133"/>
      <c r="Y129" s="185">
        <v>0</v>
      </c>
      <c r="Z129" s="135">
        <f>+Y129</f>
        <v>0</v>
      </c>
      <c r="AA129" s="133"/>
      <c r="AB129" s="136"/>
      <c r="AC129" s="181"/>
      <c r="AD129" s="136"/>
    </row>
    <row r="130" spans="3:30" s="132" customFormat="1" ht="23.25" customHeight="1" x14ac:dyDescent="0.15"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4"/>
      <c r="Z130" s="135"/>
      <c r="AA130" s="133"/>
      <c r="AB130" s="136"/>
      <c r="AC130" s="181"/>
      <c r="AD130" s="136"/>
    </row>
    <row r="131" spans="3:30" s="132" customFormat="1" ht="23.25" customHeight="1" x14ac:dyDescent="0.15">
      <c r="C131" s="132" t="s">
        <v>300</v>
      </c>
      <c r="D131" s="183">
        <v>0</v>
      </c>
      <c r="E131" s="184">
        <f>+D131</f>
        <v>0</v>
      </c>
      <c r="F131" s="133"/>
      <c r="G131" s="183">
        <v>0.7</v>
      </c>
      <c r="H131" s="184">
        <f>+G131</f>
        <v>0.7</v>
      </c>
      <c r="I131" s="133"/>
      <c r="J131" s="183">
        <v>0.05</v>
      </c>
      <c r="K131" s="184">
        <f>+J131</f>
        <v>0.05</v>
      </c>
      <c r="L131" s="133"/>
      <c r="M131" s="183">
        <v>0.13</v>
      </c>
      <c r="N131" s="184">
        <f>+M131</f>
        <v>0.13</v>
      </c>
      <c r="O131" s="133"/>
      <c r="P131" s="183">
        <v>0</v>
      </c>
      <c r="Q131" s="184">
        <f>+P131</f>
        <v>0</v>
      </c>
      <c r="R131" s="133"/>
      <c r="S131" s="183">
        <v>0.11</v>
      </c>
      <c r="T131" s="184">
        <f>+S131</f>
        <v>0.11</v>
      </c>
      <c r="U131" s="133"/>
      <c r="V131" s="183">
        <v>0.01</v>
      </c>
      <c r="W131" s="184">
        <f>+V131</f>
        <v>0.01</v>
      </c>
      <c r="X131" s="133"/>
      <c r="Y131" s="185">
        <v>0</v>
      </c>
      <c r="Z131" s="135">
        <f>+Y131</f>
        <v>0</v>
      </c>
      <c r="AA131" s="133"/>
      <c r="AB131" s="136"/>
      <c r="AC131" s="181"/>
      <c r="AD131" s="136"/>
    </row>
    <row r="132" spans="3:30" s="132" customFormat="1" ht="23.25" customHeight="1" x14ac:dyDescent="0.15"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4"/>
      <c r="Z132" s="135"/>
      <c r="AA132" s="133"/>
      <c r="AB132" s="136"/>
      <c r="AC132" s="181"/>
      <c r="AD132" s="136"/>
    </row>
    <row r="133" spans="3:30" s="132" customFormat="1" ht="23.25" customHeight="1" x14ac:dyDescent="0.15">
      <c r="D133" s="183"/>
      <c r="E133" s="184"/>
      <c r="F133" s="133"/>
      <c r="G133" s="183"/>
      <c r="H133" s="184"/>
      <c r="I133" s="133">
        <f>+G129+J129+M129+P129+S129+V129</f>
        <v>1</v>
      </c>
      <c r="J133" s="183"/>
      <c r="K133" s="184"/>
      <c r="L133" s="133"/>
      <c r="M133" s="183"/>
      <c r="N133" s="184"/>
      <c r="O133" s="133"/>
      <c r="P133" s="183"/>
      <c r="Q133" s="184"/>
      <c r="R133" s="133"/>
      <c r="S133" s="183"/>
      <c r="T133" s="184"/>
      <c r="U133" s="133"/>
      <c r="V133" s="183"/>
      <c r="W133" s="184"/>
      <c r="X133" s="133"/>
      <c r="Y133" s="185"/>
      <c r="Z133" s="135"/>
      <c r="AA133" s="133"/>
      <c r="AB133" s="136"/>
      <c r="AC133" s="181"/>
      <c r="AD133" s="136"/>
    </row>
    <row r="134" spans="3:30" s="132" customFormat="1" ht="23.25" customHeight="1" x14ac:dyDescent="0.15"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4"/>
      <c r="Z134" s="135"/>
      <c r="AA134" s="133"/>
      <c r="AB134" s="136"/>
      <c r="AC134" s="181"/>
      <c r="AD134" s="136"/>
    </row>
    <row r="135" spans="3:30" s="132" customFormat="1" ht="23.25" customHeight="1" x14ac:dyDescent="0.15"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4"/>
      <c r="Z135" s="135"/>
      <c r="AA135" s="133"/>
      <c r="AB135" s="136"/>
      <c r="AC135" s="181"/>
      <c r="AD135" s="136"/>
    </row>
    <row r="136" spans="3:30" s="132" customFormat="1" ht="23.25" customHeight="1" x14ac:dyDescent="0.15"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4"/>
      <c r="Z136" s="135"/>
      <c r="AA136" s="133"/>
      <c r="AB136" s="136"/>
      <c r="AC136" s="181"/>
      <c r="AD136" s="136"/>
    </row>
  </sheetData>
  <mergeCells count="40">
    <mergeCell ref="V73:W73"/>
    <mergeCell ref="S73:T73"/>
    <mergeCell ref="M73:N73"/>
    <mergeCell ref="J73:K73"/>
    <mergeCell ref="V7:W7"/>
    <mergeCell ref="S7:T7"/>
    <mergeCell ref="P7:Q7"/>
    <mergeCell ref="M7:N7"/>
    <mergeCell ref="J7:K7"/>
    <mergeCell ref="Y73:Z73"/>
    <mergeCell ref="AB73:AC73"/>
    <mergeCell ref="C64:AD64"/>
    <mergeCell ref="C122:AD122"/>
    <mergeCell ref="C68:AD68"/>
    <mergeCell ref="D71:E71"/>
    <mergeCell ref="G71:H71"/>
    <mergeCell ref="J71:K71"/>
    <mergeCell ref="M71:N71"/>
    <mergeCell ref="P71:Q71"/>
    <mergeCell ref="S71:T71"/>
    <mergeCell ref="V71:W71"/>
    <mergeCell ref="Y71:Z71"/>
    <mergeCell ref="AB71:AC71"/>
    <mergeCell ref="D73:E73"/>
    <mergeCell ref="P73:Q73"/>
    <mergeCell ref="G73:H73"/>
    <mergeCell ref="Y7:Z7"/>
    <mergeCell ref="AB7:AC7"/>
    <mergeCell ref="D7:E7"/>
    <mergeCell ref="G7:H7"/>
    <mergeCell ref="C2:AD2"/>
    <mergeCell ref="D5:E5"/>
    <mergeCell ref="V5:W5"/>
    <mergeCell ref="S5:T5"/>
    <mergeCell ref="P5:Q5"/>
    <mergeCell ref="J5:K5"/>
    <mergeCell ref="M5:N5"/>
    <mergeCell ref="G5:H5"/>
    <mergeCell ref="Y5:Z5"/>
    <mergeCell ref="AB5:AC5"/>
  </mergeCells>
  <printOptions horizontalCentered="1" verticalCentered="1"/>
  <pageMargins left="3.937007874015748E-2" right="3.937007874015748E-2" top="0.15748031496062992" bottom="0" header="0.11811023622047245" footer="0.11811023622047245"/>
  <pageSetup paperSize="135" scale="47" fitToHeight="2" orientation="landscape" r:id="rId1"/>
  <rowBreaks count="1" manualBreakCount="1">
    <brk id="65" min="1" max="30" man="1"/>
  </rowBreaks>
  <ignoredErrors>
    <ignoredError sqref="C64:AE64 C23:E23 C85:E86 C32:E33 C31 C101:E103 C122:AD123 C108 C63:E63 G63:H63 J63:K63 M63:N63 P63:Q63 S63:T63 V63:W63 Y63:Z63 AE63 C109:E109 C121:AC121 AB109:AC119 AB85:AC86 Y109:Z109 Y85:Z86 V109:W109 V101:W103 V85:W86 S109:T109 S101:T103 S85:T85 P109:Q109 P101:Q103 P85:Q85 M109:N109 M101:N103 M85:N85 J109:K109 J102:K103 J85:K85 G109:H109 G101:H103 G85:H85 F85:F120 I85:I120 L85:L120 O85:O120 R85:R120 U85:U120 X85:X120 AA85:AA120 AD85:AD121 AD22:AE24 AB26:AC27 AB23:AC23 Y36:Z42 Y22:Z23 V36:W36 V22:W23 S22:T23 P26:Q26 P22:Q23 M36:N36 M22:N23 J22:K23 G27:H28 G22:H23 AE9 F52:F63 I52:I62 L22:L24 L52:L62 O22:O24 O52:O62 R52:R62 U22:U24 U52:U62 X52:X62 AA22:AA24 AA52:AA62 AD52:AE62 AB32:AC33 AC31 AB29:AC29 AB28 P36:Q36 P96:Q97 AB92:AC95 C93:E97 E92 F13:F24 L21:O21 S96:T97 F8:AB8 AD8:AE8 C116:E119 C110:C115 G107:H107 J107:K107 M107:N107 P107:Q107 S107:T107 V107:W107 Y107:Z107 G116:H119 J116:K119 M116:N119 P116:Q119 S116:T119 V116:W119 Y116:Z119 G86 J86 M86 P86 S86 M95:N97 M88 G95:H96 J95:K97 P88 C120 Y120 AB120 C27:E30 C24 C40:E40 C37:C39 C46:E46 C43 I13:I24 G36:H36 L13:L20 O13:O20 R13:R24 U13:U20 X13:X24 AA13:AE21 J36:K36 S36:T36 G40:H42 J40:K42 M40:N42 P40:Q42 S40:T42 V40:W42 G52:H61 J52:K56 M52:N61 P52:Q61 S52:T61 V52:W61 Y52:Z61 C62 C89:E90 C87 V88:W97 Y88:Z103 C98:C100 C105:E107 C104 G105:H105 J105:K105 M105:N105 P105:Q105 S105:T105 V105:W105 Y105:Z105 AB105:AC107 AB88:AC90 AB36:AC40 AB42:AC42 AB52:AC57 AB59:AC59 AB61:AC63 AB103:AC103 AB97:AC101 C91:C92 C88:D88 AB30 W26 J58:K61 J57 D22:E22 D26:E26 D36:E36 D34:E34 S33:T34 J34:K34 G30:H34 P33:Q34 U26:U34 R26:R34 O26:O34 L26:L34 I26:I34 F26:F34 M27:N34 V27:W34 X26:AA34 AD26:AE34 C42:E42 D41:E41 AD36:AE43 AA36:AA43 X36:X43 U36:U43 R36:R43 O36:O43 L36:L43 I36:I43 F36:F43 D45:E45 C52:E57 D47:E47 F45:AE47 C49:E50 AB49:AC50 Y49:Z50 V49:W50 S49:T50 P49:Q50 M49:N50 J49:K50 G49:H50 AD49:AE50 AA49:AA50 X49:X50 U49:U50 R49:R50 O49:O50 L49:L50 I49:I50 F49:F50 C59:E61 D58:E5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Y70"/>
  <sheetViews>
    <sheetView showGridLines="0" view="pageBreakPreview" zoomScale="75" zoomScaleNormal="70" zoomScaleSheetLayoutView="75" workbookViewId="0">
      <selection activeCell="D14" sqref="D14"/>
    </sheetView>
  </sheetViews>
  <sheetFormatPr baseColWidth="10" defaultRowHeight="12" x14ac:dyDescent="0.15"/>
  <cols>
    <col min="1" max="1" width="3.125" style="4" customWidth="1"/>
    <col min="2" max="2" width="34.25" style="4" hidden="1" customWidth="1"/>
    <col min="3" max="5" width="16.5" style="37" customWidth="1"/>
    <col min="6" max="6" width="15.125" style="37" customWidth="1"/>
    <col min="7" max="7" width="33.875" style="37" bestFit="1" customWidth="1"/>
    <col min="8" max="8" width="16.5" style="37" customWidth="1"/>
    <col min="9" max="9" width="17.875" style="37" customWidth="1"/>
    <col min="10" max="10" width="16.75" style="37" bestFit="1" customWidth="1"/>
    <col min="11" max="11" width="16.75" style="37" customWidth="1"/>
    <col min="12" max="12" width="2.75" style="4" customWidth="1"/>
    <col min="13" max="24" width="14.125" style="4" customWidth="1"/>
    <col min="25" max="16384" width="11" style="4"/>
  </cols>
  <sheetData>
    <row r="3" spans="1:11" ht="22.5" customHeight="1" x14ac:dyDescent="0.25">
      <c r="C3" s="404" t="s">
        <v>316</v>
      </c>
    </row>
    <row r="4" spans="1:11" ht="22.5" customHeight="1" x14ac:dyDescent="0.2">
      <c r="C4" s="405" t="s">
        <v>317</v>
      </c>
    </row>
    <row r="5" spans="1:11" ht="22.5" customHeight="1" x14ac:dyDescent="0.2">
      <c r="C5" s="405" t="s">
        <v>318</v>
      </c>
    </row>
    <row r="6" spans="1:11" ht="22.5" customHeight="1" x14ac:dyDescent="0.2">
      <c r="C6" s="405" t="s">
        <v>319</v>
      </c>
    </row>
    <row r="7" spans="1:11" ht="22.5" customHeight="1" thickBot="1" x14ac:dyDescent="0.25">
      <c r="C7" s="365"/>
    </row>
    <row r="8" spans="1:11" ht="21.75" customHeight="1" thickTop="1" x14ac:dyDescent="0.25">
      <c r="A8" s="1"/>
      <c r="B8" s="2"/>
      <c r="C8" s="3"/>
      <c r="D8" s="3"/>
      <c r="E8" s="3"/>
      <c r="F8" s="3"/>
      <c r="G8" s="3"/>
      <c r="H8" s="3"/>
      <c r="I8" s="3"/>
      <c r="J8" s="3"/>
      <c r="K8" s="365"/>
    </row>
    <row r="9" spans="1:11" s="6" customFormat="1" ht="20.25" x14ac:dyDescent="0.15">
      <c r="A9" s="5"/>
      <c r="B9" s="431" t="s">
        <v>47</v>
      </c>
      <c r="C9" s="431"/>
      <c r="D9" s="431"/>
      <c r="E9" s="431"/>
      <c r="F9" s="431"/>
      <c r="G9" s="431"/>
      <c r="H9" s="431"/>
      <c r="I9" s="431"/>
      <c r="J9" s="431"/>
      <c r="K9" s="353"/>
    </row>
    <row r="10" spans="1:11" s="6" customFormat="1" ht="20.25" x14ac:dyDescent="0.15">
      <c r="A10" s="5"/>
      <c r="B10" s="38" t="s">
        <v>55</v>
      </c>
      <c r="C10" s="41" t="s">
        <v>62</v>
      </c>
      <c r="D10" s="38"/>
      <c r="E10" s="353"/>
      <c r="F10" s="353"/>
      <c r="G10" s="353"/>
      <c r="H10" s="38"/>
      <c r="I10" s="38"/>
      <c r="J10" s="353"/>
      <c r="K10" s="353"/>
    </row>
    <row r="11" spans="1:11" s="6" customFormat="1" ht="20.25" x14ac:dyDescent="0.15">
      <c r="A11" s="5"/>
      <c r="B11" s="38" t="s">
        <v>48</v>
      </c>
      <c r="C11" s="41" t="str">
        <f>+Portada!H19</f>
        <v>Octubre de 2016</v>
      </c>
      <c r="D11" s="38"/>
      <c r="E11" s="353"/>
      <c r="F11" s="353"/>
      <c r="G11" s="353"/>
      <c r="H11" s="38"/>
      <c r="I11" s="38"/>
      <c r="J11" s="353"/>
      <c r="K11" s="353"/>
    </row>
    <row r="12" spans="1:11" s="10" customFormat="1" ht="14.25" customHeight="1" thickBot="1" x14ac:dyDescent="0.2">
      <c r="A12" s="7"/>
      <c r="B12" s="8"/>
      <c r="C12" s="9" t="s">
        <v>0</v>
      </c>
      <c r="D12" s="9"/>
      <c r="E12" s="9"/>
      <c r="F12" s="9"/>
      <c r="G12" s="9"/>
      <c r="H12" s="9" t="s">
        <v>0</v>
      </c>
      <c r="I12" s="9"/>
      <c r="J12" s="9"/>
      <c r="K12" s="9"/>
    </row>
    <row r="13" spans="1:11" s="13" customFormat="1" ht="27.75" customHeight="1" x14ac:dyDescent="0.15">
      <c r="A13" s="11"/>
      <c r="C13" s="433" t="s">
        <v>52</v>
      </c>
      <c r="D13" s="434"/>
      <c r="E13" s="434"/>
      <c r="F13" s="435"/>
      <c r="G13" s="394" t="s">
        <v>1</v>
      </c>
      <c r="H13" s="436" t="s">
        <v>53</v>
      </c>
      <c r="I13" s="434"/>
      <c r="J13" s="434"/>
      <c r="K13" s="435"/>
    </row>
    <row r="14" spans="1:11" s="13" customFormat="1" ht="30" x14ac:dyDescent="0.15">
      <c r="A14" s="11"/>
      <c r="C14" s="367" t="s">
        <v>49</v>
      </c>
      <c r="D14" s="40" t="s">
        <v>50</v>
      </c>
      <c r="E14" s="385" t="s">
        <v>312</v>
      </c>
      <c r="F14" s="355" t="s">
        <v>313</v>
      </c>
      <c r="G14" s="395"/>
      <c r="H14" s="40" t="s">
        <v>49</v>
      </c>
      <c r="I14" s="40" t="s">
        <v>50</v>
      </c>
      <c r="J14" s="384" t="s">
        <v>312</v>
      </c>
      <c r="K14" s="368" t="s">
        <v>313</v>
      </c>
    </row>
    <row r="15" spans="1:11" s="10" customFormat="1" ht="20.25" customHeight="1" x14ac:dyDescent="0.15">
      <c r="A15" s="7"/>
      <c r="C15" s="406" t="s">
        <v>1</v>
      </c>
      <c r="D15" s="386" t="s">
        <v>1</v>
      </c>
      <c r="E15" s="15" t="s">
        <v>1</v>
      </c>
      <c r="F15" s="356" t="s">
        <v>10</v>
      </c>
      <c r="G15" s="396"/>
      <c r="H15" s="15" t="s">
        <v>1</v>
      </c>
      <c r="I15" s="15" t="s">
        <v>1</v>
      </c>
      <c r="J15" s="15" t="s">
        <v>1</v>
      </c>
      <c r="K15" s="369" t="s">
        <v>10</v>
      </c>
    </row>
    <row r="16" spans="1:11" s="10" customFormat="1" ht="20.25" customHeight="1" x14ac:dyDescent="0.15">
      <c r="A16" s="16"/>
      <c r="C16" s="370"/>
      <c r="D16" s="18"/>
      <c r="E16" s="387"/>
      <c r="F16" s="357"/>
      <c r="G16" s="397" t="s">
        <v>11</v>
      </c>
      <c r="H16" s="18"/>
      <c r="I16" s="18"/>
      <c r="J16" s="18"/>
      <c r="K16" s="371"/>
    </row>
    <row r="17" spans="1:25" s="10" customFormat="1" ht="10.5" customHeight="1" x14ac:dyDescent="0.15">
      <c r="A17" s="7"/>
      <c r="C17" s="370"/>
      <c r="D17" s="18"/>
      <c r="E17" s="387"/>
      <c r="F17" s="357"/>
      <c r="G17" s="397"/>
      <c r="H17" s="18"/>
      <c r="I17" s="18"/>
      <c r="J17" s="18"/>
      <c r="K17" s="371"/>
    </row>
    <row r="18" spans="1:25" s="10" customFormat="1" ht="20.25" customHeight="1" x14ac:dyDescent="0.15">
      <c r="A18" s="7"/>
      <c r="C18" s="372"/>
      <c r="D18" s="21"/>
      <c r="E18" s="388"/>
      <c r="F18" s="358"/>
      <c r="G18" s="398" t="s">
        <v>12</v>
      </c>
      <c r="H18" s="21"/>
      <c r="I18" s="21"/>
      <c r="J18" s="21"/>
      <c r="K18" s="373"/>
    </row>
    <row r="19" spans="1:25" s="10" customFormat="1" ht="20.25" customHeight="1" x14ac:dyDescent="0.15">
      <c r="A19" s="7"/>
      <c r="C19" s="372"/>
      <c r="D19" s="21"/>
      <c r="E19" s="388"/>
      <c r="F19" s="358"/>
      <c r="G19" s="398" t="s">
        <v>13</v>
      </c>
      <c r="H19" s="21"/>
      <c r="I19" s="21"/>
      <c r="J19" s="21"/>
      <c r="K19" s="373"/>
    </row>
    <row r="20" spans="1:25" s="10" customFormat="1" ht="20.25" customHeight="1" x14ac:dyDescent="0.15">
      <c r="A20" s="7"/>
      <c r="C20" s="372"/>
      <c r="D20" s="21"/>
      <c r="E20" s="388"/>
      <c r="F20" s="358"/>
      <c r="G20" s="398" t="s">
        <v>14</v>
      </c>
      <c r="H20" s="21"/>
      <c r="I20" s="21"/>
      <c r="J20" s="21"/>
      <c r="K20" s="373"/>
    </row>
    <row r="21" spans="1:25" s="10" customFormat="1" ht="20.25" customHeight="1" x14ac:dyDescent="0.15">
      <c r="A21" s="7"/>
      <c r="C21" s="372"/>
      <c r="D21" s="21"/>
      <c r="E21" s="388"/>
      <c r="F21" s="358"/>
      <c r="G21" s="398" t="s">
        <v>15</v>
      </c>
      <c r="H21" s="21"/>
      <c r="I21" s="21"/>
      <c r="J21" s="21"/>
      <c r="K21" s="373"/>
    </row>
    <row r="22" spans="1:25" s="10" customFormat="1" ht="20.25" customHeight="1" x14ac:dyDescent="0.15">
      <c r="A22" s="7"/>
      <c r="C22" s="372"/>
      <c r="D22" s="21"/>
      <c r="E22" s="388"/>
      <c r="F22" s="358"/>
      <c r="G22" s="398" t="s">
        <v>16</v>
      </c>
      <c r="H22" s="21"/>
      <c r="I22" s="21"/>
      <c r="J22" s="21"/>
      <c r="K22" s="373"/>
    </row>
    <row r="23" spans="1:25" s="10" customFormat="1" ht="20.25" customHeight="1" x14ac:dyDescent="0.15">
      <c r="A23" s="7"/>
      <c r="C23" s="372"/>
      <c r="D23" s="21"/>
      <c r="E23" s="388"/>
      <c r="F23" s="358"/>
      <c r="G23" s="398" t="s">
        <v>17</v>
      </c>
      <c r="H23" s="21"/>
      <c r="I23" s="21"/>
      <c r="J23" s="21"/>
      <c r="K23" s="373"/>
    </row>
    <row r="24" spans="1:25" s="10" customFormat="1" ht="20.25" customHeight="1" x14ac:dyDescent="0.15">
      <c r="A24" s="7"/>
      <c r="C24" s="372"/>
      <c r="D24" s="21"/>
      <c r="E24" s="388"/>
      <c r="F24" s="358"/>
      <c r="G24" s="398" t="s">
        <v>18</v>
      </c>
      <c r="H24" s="21"/>
      <c r="I24" s="21"/>
      <c r="J24" s="21"/>
      <c r="K24" s="373"/>
    </row>
    <row r="25" spans="1:25" s="10" customFormat="1" ht="20.25" customHeight="1" x14ac:dyDescent="0.15">
      <c r="A25" s="7"/>
      <c r="C25" s="372"/>
      <c r="D25" s="21"/>
      <c r="E25" s="388"/>
      <c r="F25" s="358"/>
      <c r="G25" s="398" t="s">
        <v>19</v>
      </c>
      <c r="H25" s="21"/>
      <c r="I25" s="21"/>
      <c r="J25" s="21"/>
      <c r="K25" s="373"/>
    </row>
    <row r="26" spans="1:25" s="10" customFormat="1" ht="20.25" customHeight="1" x14ac:dyDescent="0.15">
      <c r="A26" s="7"/>
      <c r="C26" s="372"/>
      <c r="D26" s="21"/>
      <c r="E26" s="388"/>
      <c r="F26" s="358"/>
      <c r="G26" s="398" t="s">
        <v>20</v>
      </c>
      <c r="H26" s="21"/>
      <c r="I26" s="21"/>
      <c r="J26" s="21"/>
      <c r="K26" s="373"/>
      <c r="Y26" s="24"/>
    </row>
    <row r="27" spans="1:25" s="10" customFormat="1" ht="20.25" customHeight="1" x14ac:dyDescent="0.15">
      <c r="A27" s="7"/>
      <c r="C27" s="370">
        <f>SUM(C18:C26)</f>
        <v>0</v>
      </c>
      <c r="D27" s="18">
        <f>SUM(D18:D26)</f>
        <v>0</v>
      </c>
      <c r="E27" s="387"/>
      <c r="F27" s="357"/>
      <c r="G27" s="397" t="s">
        <v>21</v>
      </c>
      <c r="H27" s="18">
        <f>SUM(H18:H26)</f>
        <v>0</v>
      </c>
      <c r="I27" s="18">
        <f>SUM(I18:I26)</f>
        <v>0</v>
      </c>
      <c r="J27" s="18"/>
      <c r="K27" s="371"/>
    </row>
    <row r="28" spans="1:25" s="10" customFormat="1" ht="10.5" customHeight="1" x14ac:dyDescent="0.15">
      <c r="A28" s="7"/>
      <c r="C28" s="370"/>
      <c r="D28" s="18"/>
      <c r="E28" s="387"/>
      <c r="F28" s="357"/>
      <c r="G28" s="397"/>
      <c r="H28" s="18"/>
      <c r="I28" s="18"/>
      <c r="J28" s="18"/>
      <c r="K28" s="371"/>
    </row>
    <row r="29" spans="1:25" s="10" customFormat="1" ht="26.25" customHeight="1" x14ac:dyDescent="0.15">
      <c r="A29" s="7"/>
      <c r="C29" s="374">
        <f>+C16-C27</f>
        <v>0</v>
      </c>
      <c r="D29" s="26">
        <f>+D16-D27</f>
        <v>0</v>
      </c>
      <c r="E29" s="389"/>
      <c r="F29" s="359"/>
      <c r="G29" s="399" t="s">
        <v>22</v>
      </c>
      <c r="H29" s="26">
        <f>+H16-H27</f>
        <v>0</v>
      </c>
      <c r="I29" s="26">
        <f>+I16-I27</f>
        <v>0</v>
      </c>
      <c r="J29" s="26"/>
      <c r="K29" s="375"/>
    </row>
    <row r="30" spans="1:25" s="10" customFormat="1" ht="10.5" customHeight="1" x14ac:dyDescent="0.15">
      <c r="A30" s="7"/>
      <c r="C30" s="370"/>
      <c r="D30" s="18"/>
      <c r="E30" s="387"/>
      <c r="F30" s="357"/>
      <c r="G30" s="397"/>
      <c r="H30" s="18"/>
      <c r="I30" s="18"/>
      <c r="J30" s="18"/>
      <c r="K30" s="371"/>
    </row>
    <row r="31" spans="1:25" s="10" customFormat="1" ht="20.25" customHeight="1" x14ac:dyDescent="0.15">
      <c r="A31" s="7"/>
      <c r="C31" s="376"/>
      <c r="D31" s="23"/>
      <c r="E31" s="390"/>
      <c r="F31" s="360"/>
      <c r="G31" s="398" t="s">
        <v>23</v>
      </c>
      <c r="H31" s="23"/>
      <c r="I31" s="23"/>
      <c r="J31" s="23"/>
      <c r="K31" s="377"/>
    </row>
    <row r="32" spans="1:25" s="10" customFormat="1" ht="20.25" customHeight="1" x14ac:dyDescent="0.15">
      <c r="A32" s="7"/>
      <c r="C32" s="376"/>
      <c r="D32" s="23"/>
      <c r="E32" s="390"/>
      <c r="F32" s="360"/>
      <c r="G32" s="398" t="s">
        <v>24</v>
      </c>
      <c r="H32" s="23"/>
      <c r="I32" s="23"/>
      <c r="J32" s="23"/>
      <c r="K32" s="377"/>
    </row>
    <row r="33" spans="1:11" s="10" customFormat="1" ht="20.25" customHeight="1" x14ac:dyDescent="0.15">
      <c r="A33" s="7"/>
      <c r="C33" s="376"/>
      <c r="D33" s="23"/>
      <c r="E33" s="390"/>
      <c r="F33" s="360"/>
      <c r="G33" s="398" t="s">
        <v>25</v>
      </c>
      <c r="H33" s="23"/>
      <c r="I33" s="23"/>
      <c r="J33" s="23"/>
      <c r="K33" s="377"/>
    </row>
    <row r="34" spans="1:11" s="10" customFormat="1" ht="20.25" customHeight="1" x14ac:dyDescent="0.15">
      <c r="A34" s="7"/>
      <c r="C34" s="376"/>
      <c r="D34" s="23"/>
      <c r="E34" s="390"/>
      <c r="F34" s="360"/>
      <c r="G34" s="398" t="s">
        <v>26</v>
      </c>
      <c r="H34" s="23"/>
      <c r="I34" s="23"/>
      <c r="J34" s="23"/>
      <c r="K34" s="377"/>
    </row>
    <row r="35" spans="1:11" s="10" customFormat="1" ht="20.25" customHeight="1" x14ac:dyDescent="0.15">
      <c r="A35" s="7"/>
      <c r="C35" s="376"/>
      <c r="D35" s="23"/>
      <c r="E35" s="390"/>
      <c r="F35" s="360"/>
      <c r="G35" s="400" t="s">
        <v>27</v>
      </c>
      <c r="H35" s="23"/>
      <c r="I35" s="23"/>
      <c r="J35" s="23"/>
      <c r="K35" s="377"/>
    </row>
    <row r="36" spans="1:11" s="10" customFormat="1" ht="20.25" customHeight="1" x14ac:dyDescent="0.15">
      <c r="A36" s="7"/>
      <c r="C36" s="376"/>
      <c r="D36" s="23"/>
      <c r="E36" s="390"/>
      <c r="F36" s="360"/>
      <c r="G36" s="398" t="s">
        <v>28</v>
      </c>
      <c r="H36" s="23"/>
      <c r="I36" s="23"/>
      <c r="J36" s="23"/>
      <c r="K36" s="377"/>
    </row>
    <row r="37" spans="1:11" s="10" customFormat="1" ht="20.25" customHeight="1" x14ac:dyDescent="0.15">
      <c r="A37" s="7"/>
      <c r="C37" s="376"/>
      <c r="D37" s="23"/>
      <c r="E37" s="390"/>
      <c r="F37" s="360"/>
      <c r="G37" s="398" t="s">
        <v>29</v>
      </c>
      <c r="H37" s="23"/>
      <c r="I37" s="23"/>
      <c r="J37" s="23"/>
      <c r="K37" s="377"/>
    </row>
    <row r="38" spans="1:11" s="10" customFormat="1" ht="20.25" customHeight="1" x14ac:dyDescent="0.15">
      <c r="A38" s="7"/>
      <c r="C38" s="378">
        <f>SUM(C31:C37)</f>
        <v>0</v>
      </c>
      <c r="D38" s="28">
        <f>SUM(D31:D37)</f>
        <v>0</v>
      </c>
      <c r="E38" s="391"/>
      <c r="F38" s="361"/>
      <c r="G38" s="397" t="s">
        <v>30</v>
      </c>
      <c r="H38" s="28">
        <f>SUM(H31:H37)</f>
        <v>0</v>
      </c>
      <c r="I38" s="28">
        <f>SUM(I31:I37)</f>
        <v>0</v>
      </c>
      <c r="J38" s="28"/>
      <c r="K38" s="379"/>
    </row>
    <row r="39" spans="1:11" s="10" customFormat="1" ht="10.5" customHeight="1" x14ac:dyDescent="0.15">
      <c r="A39" s="7"/>
      <c r="C39" s="370"/>
      <c r="D39" s="18"/>
      <c r="E39" s="387"/>
      <c r="F39" s="357"/>
      <c r="G39" s="397"/>
      <c r="H39" s="18"/>
      <c r="I39" s="18"/>
      <c r="J39" s="18"/>
      <c r="K39" s="371"/>
    </row>
    <row r="40" spans="1:11" s="10" customFormat="1" ht="20.25" customHeight="1" x14ac:dyDescent="0.15">
      <c r="A40" s="7"/>
      <c r="C40" s="376">
        <f>+'Base de Datos'!D23+'Base de Datos'!D24</f>
        <v>-20681387</v>
      </c>
      <c r="D40" s="23">
        <f>+'Base de Datos'!E23+'Base de Datos'!E24</f>
        <v>-19542171</v>
      </c>
      <c r="E40" s="390"/>
      <c r="F40" s="360"/>
      <c r="G40" s="398" t="s">
        <v>23</v>
      </c>
      <c r="H40" s="23">
        <f>+'Base de Datos'!F23+'Base de Datos'!F24</f>
        <v>-206905090</v>
      </c>
      <c r="I40" s="23">
        <f>+'Base de Datos'!G23+'Base de Datos'!G24</f>
        <v>-204492481</v>
      </c>
      <c r="J40" s="23"/>
      <c r="K40" s="377"/>
    </row>
    <row r="41" spans="1:11" s="10" customFormat="1" ht="20.25" customHeight="1" x14ac:dyDescent="0.15">
      <c r="A41" s="7"/>
      <c r="C41" s="376">
        <f>+SUM('Base de Datos'!D25:D42)</f>
        <v>-3917375</v>
      </c>
      <c r="D41" s="23">
        <f>+SUM('Base de Datos'!E25:E42)</f>
        <v>-2906548</v>
      </c>
      <c r="E41" s="390"/>
      <c r="F41" s="360"/>
      <c r="G41" s="398" t="s">
        <v>31</v>
      </c>
      <c r="H41" s="23">
        <f>+SUM('Base de Datos'!F25:F42)</f>
        <v>-53052589</v>
      </c>
      <c r="I41" s="23">
        <f>+SUM('Base de Datos'!G25:G42)</f>
        <v>-31821205</v>
      </c>
      <c r="J41" s="23"/>
      <c r="K41" s="377"/>
    </row>
    <row r="42" spans="1:11" s="10" customFormat="1" ht="20.25" customHeight="1" x14ac:dyDescent="0.15">
      <c r="A42" s="7"/>
      <c r="C42" s="372"/>
      <c r="D42" s="21"/>
      <c r="E42" s="388"/>
      <c r="F42" s="358"/>
      <c r="G42" s="398" t="s">
        <v>32</v>
      </c>
      <c r="H42" s="21"/>
      <c r="I42" s="21"/>
      <c r="J42" s="21"/>
      <c r="K42" s="373"/>
    </row>
    <row r="43" spans="1:11" s="10" customFormat="1" ht="20.25" customHeight="1" x14ac:dyDescent="0.15">
      <c r="A43" s="7"/>
      <c r="C43" s="372"/>
      <c r="D43" s="21"/>
      <c r="E43" s="388"/>
      <c r="F43" s="358"/>
      <c r="G43" s="398" t="s">
        <v>33</v>
      </c>
      <c r="H43" s="21"/>
      <c r="I43" s="21"/>
      <c r="J43" s="21"/>
      <c r="K43" s="373"/>
    </row>
    <row r="44" spans="1:11" s="10" customFormat="1" ht="20.25" customHeight="1" x14ac:dyDescent="0.15">
      <c r="A44" s="7"/>
      <c r="C44" s="408">
        <f>SUM(C40:C43)</f>
        <v>-24598762</v>
      </c>
      <c r="D44" s="387">
        <f>SUM(D40:D43)</f>
        <v>-22448719</v>
      </c>
      <c r="E44" s="387"/>
      <c r="F44" s="357"/>
      <c r="G44" s="397" t="s">
        <v>34</v>
      </c>
      <c r="H44" s="364">
        <f>SUM(H40:H43)</f>
        <v>-259957679</v>
      </c>
      <c r="I44" s="407">
        <f>SUM(I40:I43)</f>
        <v>-236313686</v>
      </c>
      <c r="J44" s="387"/>
      <c r="K44" s="371"/>
    </row>
    <row r="45" spans="1:11" s="10" customFormat="1" ht="10.5" customHeight="1" x14ac:dyDescent="0.15">
      <c r="A45" s="7"/>
      <c r="C45" s="370"/>
      <c r="D45" s="18"/>
      <c r="E45" s="387"/>
      <c r="F45" s="357"/>
      <c r="G45" s="397"/>
      <c r="H45" s="18"/>
      <c r="I45" s="18"/>
      <c r="J45" s="18"/>
      <c r="K45" s="371"/>
    </row>
    <row r="46" spans="1:11" s="10" customFormat="1" ht="26.25" customHeight="1" x14ac:dyDescent="0.15">
      <c r="A46" s="7"/>
      <c r="C46" s="374">
        <f>+C29+C38+C44</f>
        <v>-24598762</v>
      </c>
      <c r="D46" s="26">
        <f>+D29+D38+D44</f>
        <v>-22448719</v>
      </c>
      <c r="E46" s="389"/>
      <c r="F46" s="359"/>
      <c r="G46" s="399" t="s">
        <v>35</v>
      </c>
      <c r="H46" s="26">
        <f>+H29+H38+H44</f>
        <v>-259957679</v>
      </c>
      <c r="I46" s="26">
        <f>+I29+I38+I44</f>
        <v>-236313686</v>
      </c>
      <c r="J46" s="26"/>
      <c r="K46" s="375"/>
    </row>
    <row r="47" spans="1:11" s="10" customFormat="1" ht="10.5" customHeight="1" x14ac:dyDescent="0.15">
      <c r="A47" s="7"/>
      <c r="C47" s="370"/>
      <c r="D47" s="18"/>
      <c r="E47" s="387"/>
      <c r="F47" s="357"/>
      <c r="G47" s="397"/>
      <c r="H47" s="18"/>
      <c r="I47" s="18"/>
      <c r="J47" s="18"/>
      <c r="K47" s="371"/>
    </row>
    <row r="48" spans="1:11" s="10" customFormat="1" ht="20.25" customHeight="1" x14ac:dyDescent="0.15">
      <c r="A48" s="7"/>
      <c r="C48" s="376">
        <v>0</v>
      </c>
      <c r="D48" s="23">
        <v>0</v>
      </c>
      <c r="E48" s="390"/>
      <c r="F48" s="360"/>
      <c r="G48" s="397" t="s">
        <v>36</v>
      </c>
      <c r="H48" s="23">
        <v>0</v>
      </c>
      <c r="I48" s="23">
        <f>(-138695317-4016559)/9*10</f>
        <v>-158568751.1111111</v>
      </c>
      <c r="J48" s="23"/>
      <c r="K48" s="377"/>
    </row>
    <row r="49" spans="1:11" s="10" customFormat="1" ht="10.5" customHeight="1" x14ac:dyDescent="0.15">
      <c r="A49" s="7"/>
      <c r="C49" s="370"/>
      <c r="D49" s="18"/>
      <c r="E49" s="387"/>
      <c r="F49" s="357"/>
      <c r="G49" s="397"/>
      <c r="H49" s="18"/>
      <c r="I49" s="18"/>
      <c r="J49" s="18"/>
      <c r="K49" s="371"/>
    </row>
    <row r="50" spans="1:11" s="10" customFormat="1" ht="26.25" customHeight="1" x14ac:dyDescent="0.15">
      <c r="A50" s="7"/>
      <c r="C50" s="374">
        <f>+C46-C48</f>
        <v>-24598762</v>
      </c>
      <c r="D50" s="26">
        <f>+D46-D48</f>
        <v>-22448719</v>
      </c>
      <c r="E50" s="389"/>
      <c r="F50" s="359"/>
      <c r="G50" s="399" t="s">
        <v>37</v>
      </c>
      <c r="H50" s="26">
        <f>+H46-H48</f>
        <v>-259957679</v>
      </c>
      <c r="I50" s="26">
        <f>+I46+I48</f>
        <v>-394882437.1111111</v>
      </c>
      <c r="J50" s="26"/>
      <c r="K50" s="375"/>
    </row>
    <row r="51" spans="1:11" s="10" customFormat="1" ht="10.5" customHeight="1" x14ac:dyDescent="0.15">
      <c r="A51" s="7"/>
      <c r="C51" s="370"/>
      <c r="D51" s="18"/>
      <c r="E51" s="387"/>
      <c r="F51" s="357"/>
      <c r="G51" s="397"/>
      <c r="H51" s="18"/>
      <c r="I51" s="18"/>
      <c r="J51" s="18"/>
      <c r="K51" s="371"/>
    </row>
    <row r="52" spans="1:11" s="10" customFormat="1" ht="20.25" customHeight="1" x14ac:dyDescent="0.15">
      <c r="A52" s="7"/>
      <c r="C52" s="372"/>
      <c r="D52" s="21">
        <v>12420452</v>
      </c>
      <c r="E52" s="388"/>
      <c r="F52" s="358"/>
      <c r="G52" s="398" t="s">
        <v>38</v>
      </c>
      <c r="H52" s="21"/>
      <c r="I52" s="21">
        <v>72046306</v>
      </c>
      <c r="J52" s="21"/>
      <c r="K52" s="373"/>
    </row>
    <row r="53" spans="1:11" s="10" customFormat="1" ht="20.25" customHeight="1" x14ac:dyDescent="0.15">
      <c r="A53" s="7"/>
      <c r="C53" s="372"/>
      <c r="D53" s="21">
        <f>-1547393-406377</f>
        <v>-1953770</v>
      </c>
      <c r="E53" s="388"/>
      <c r="F53" s="358"/>
      <c r="G53" s="398" t="s">
        <v>39</v>
      </c>
      <c r="H53" s="21"/>
      <c r="I53" s="21">
        <f>-28839603-3926435</f>
        <v>-32766038</v>
      </c>
      <c r="J53" s="21"/>
      <c r="K53" s="373"/>
    </row>
    <row r="54" spans="1:11" s="10" customFormat="1" ht="20.25" customHeight="1" x14ac:dyDescent="0.15">
      <c r="A54" s="7"/>
      <c r="C54" s="372"/>
      <c r="D54" s="21">
        <v>10184135</v>
      </c>
      <c r="E54" s="388"/>
      <c r="F54" s="358"/>
      <c r="G54" s="398" t="s">
        <v>40</v>
      </c>
      <c r="H54" s="21"/>
      <c r="I54" s="21">
        <f>120043894-7687082</f>
        <v>112356812</v>
      </c>
      <c r="J54" s="21"/>
      <c r="K54" s="373"/>
    </row>
    <row r="55" spans="1:11" s="10" customFormat="1" ht="20.25" customHeight="1" x14ac:dyDescent="0.15">
      <c r="A55" s="7"/>
      <c r="C55" s="372"/>
      <c r="D55" s="21"/>
      <c r="E55" s="388"/>
      <c r="F55" s="358"/>
      <c r="G55" s="398" t="s">
        <v>41</v>
      </c>
      <c r="H55" s="21"/>
      <c r="I55" s="21"/>
      <c r="J55" s="21"/>
      <c r="K55" s="373"/>
    </row>
    <row r="56" spans="1:11" s="10" customFormat="1" ht="20.25" customHeight="1" x14ac:dyDescent="0.15">
      <c r="A56" s="7"/>
      <c r="C56" s="372"/>
      <c r="D56" s="21">
        <v>111982</v>
      </c>
      <c r="E56" s="388"/>
      <c r="F56" s="358"/>
      <c r="G56" s="398" t="s">
        <v>42</v>
      </c>
      <c r="H56" s="21"/>
      <c r="I56" s="21">
        <f>-106576614-2345919+253133+52085868+728288+6679726</f>
        <v>-49175518</v>
      </c>
      <c r="J56" s="21"/>
      <c r="K56" s="373"/>
    </row>
    <row r="57" spans="1:11" s="10" customFormat="1" ht="20.25" customHeight="1" x14ac:dyDescent="0.15">
      <c r="A57" s="7"/>
      <c r="C57" s="372"/>
      <c r="D57" s="21">
        <f>+'Base de Datos'!E43</f>
        <v>9728291</v>
      </c>
      <c r="E57" s="388"/>
      <c r="F57" s="358"/>
      <c r="G57" s="398" t="s">
        <v>43</v>
      </c>
      <c r="H57" s="21"/>
      <c r="I57" s="21">
        <f>+'Base de Datos'!G43</f>
        <v>34562142</v>
      </c>
      <c r="J57" s="21"/>
      <c r="K57" s="373"/>
    </row>
    <row r="58" spans="1:11" s="10" customFormat="1" ht="20.25" customHeight="1" x14ac:dyDescent="0.15">
      <c r="A58" s="7"/>
      <c r="C58" s="370">
        <f>SUM(C52:C57)</f>
        <v>0</v>
      </c>
      <c r="D58" s="18">
        <f>SUM(D52:D57)</f>
        <v>30491090</v>
      </c>
      <c r="E58" s="387"/>
      <c r="F58" s="357"/>
      <c r="G58" s="397" t="s">
        <v>44</v>
      </c>
      <c r="H58" s="18">
        <f>SUM(H52:H57)</f>
        <v>0</v>
      </c>
      <c r="I58" s="18">
        <f>SUM(I52:I57)</f>
        <v>137023704</v>
      </c>
      <c r="J58" s="18"/>
      <c r="K58" s="371"/>
    </row>
    <row r="59" spans="1:11" s="10" customFormat="1" ht="10.5" customHeight="1" x14ac:dyDescent="0.15">
      <c r="A59" s="7"/>
      <c r="C59" s="370"/>
      <c r="D59" s="18"/>
      <c r="E59" s="387"/>
      <c r="F59" s="357"/>
      <c r="G59" s="397"/>
      <c r="H59" s="18"/>
      <c r="I59" s="18"/>
      <c r="J59" s="18"/>
      <c r="K59" s="371"/>
    </row>
    <row r="60" spans="1:11" s="31" customFormat="1" ht="20.25" customHeight="1" x14ac:dyDescent="0.15">
      <c r="A60" s="30"/>
      <c r="C60" s="370">
        <f>+C50+C58</f>
        <v>-24598762</v>
      </c>
      <c r="D60" s="18">
        <f>+D50+D58</f>
        <v>8042371</v>
      </c>
      <c r="E60" s="387"/>
      <c r="F60" s="357"/>
      <c r="G60" s="397" t="s">
        <v>45</v>
      </c>
      <c r="H60" s="18">
        <f>+H50+H58</f>
        <v>-259957679</v>
      </c>
      <c r="I60" s="18">
        <f>+I50+I58</f>
        <v>-257858733.1111111</v>
      </c>
      <c r="J60" s="18"/>
      <c r="K60" s="371"/>
    </row>
    <row r="61" spans="1:11" s="10" customFormat="1" ht="11.25" customHeight="1" x14ac:dyDescent="0.15">
      <c r="A61" s="7"/>
      <c r="C61" s="370"/>
      <c r="D61" s="18"/>
      <c r="E61" s="387"/>
      <c r="F61" s="357"/>
      <c r="G61" s="397"/>
      <c r="H61" s="18"/>
      <c r="I61" s="18"/>
      <c r="J61" s="18"/>
      <c r="K61" s="371"/>
    </row>
    <row r="62" spans="1:11" s="31" customFormat="1" ht="20.25" customHeight="1" x14ac:dyDescent="0.15">
      <c r="A62" s="30"/>
      <c r="C62" s="380">
        <f>IF(C60&gt;0,C60*(1-[1]Supuestos!$P$15),C60)</f>
        <v>-24598762</v>
      </c>
      <c r="D62" s="32">
        <f>IF(D60&gt;0,D60*(1-[1]Supuestos!$P$15),D60)</f>
        <v>6112201.96</v>
      </c>
      <c r="E62" s="392"/>
      <c r="F62" s="362"/>
      <c r="G62" s="397" t="s">
        <v>46</v>
      </c>
      <c r="H62" s="32">
        <f>IF(H60&gt;0,H60*(1-[1]Supuestos!$P$15),H60)</f>
        <v>-259957679</v>
      </c>
      <c r="I62" s="32">
        <f>IF(I60&gt;0,I60*(1-[1]Supuestos!$P$15),I60)</f>
        <v>-257858733.1111111</v>
      </c>
      <c r="J62" s="32"/>
      <c r="K62" s="381"/>
    </row>
    <row r="63" spans="1:11" s="10" customFormat="1" ht="10.5" customHeight="1" thickBot="1" x14ac:dyDescent="0.2">
      <c r="A63" s="7"/>
      <c r="C63" s="382"/>
      <c r="D63" s="34"/>
      <c r="E63" s="393"/>
      <c r="F63" s="363"/>
      <c r="G63" s="401"/>
      <c r="H63" s="35"/>
      <c r="I63" s="34"/>
      <c r="J63" s="34"/>
      <c r="K63" s="383"/>
    </row>
    <row r="64" spans="1:11" ht="15" thickBot="1" x14ac:dyDescent="0.25">
      <c r="A64" s="36"/>
      <c r="B64" s="432" t="s">
        <v>176</v>
      </c>
      <c r="C64" s="432"/>
      <c r="D64" s="432"/>
      <c r="E64" s="432"/>
      <c r="F64" s="432"/>
      <c r="G64" s="432"/>
      <c r="H64" s="432"/>
      <c r="I64" s="432"/>
      <c r="J64" s="432"/>
      <c r="K64" s="366"/>
    </row>
    <row r="65" spans="4:11" ht="12.75" thickTop="1" x14ac:dyDescent="0.15"/>
    <row r="67" spans="4:11" x14ac:dyDescent="0.15">
      <c r="I67" s="248"/>
      <c r="J67" s="248"/>
      <c r="K67" s="248"/>
    </row>
    <row r="70" spans="4:11" x14ac:dyDescent="0.15">
      <c r="D70" s="37">
        <f>-117701-8621+3401+123625</f>
        <v>704</v>
      </c>
    </row>
  </sheetData>
  <mergeCells count="4">
    <mergeCell ref="B9:J9"/>
    <mergeCell ref="B64:J64"/>
    <mergeCell ref="C13:F13"/>
    <mergeCell ref="H13:K13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AS76"/>
  <sheetViews>
    <sheetView showGridLines="0" view="pageBreakPreview" zoomScale="80" zoomScaleNormal="100" zoomScaleSheetLayoutView="80" workbookViewId="0">
      <selection activeCell="C4" sqref="C4"/>
    </sheetView>
  </sheetViews>
  <sheetFormatPr baseColWidth="10" defaultRowHeight="23.25" customHeight="1" x14ac:dyDescent="0.2"/>
  <cols>
    <col min="1" max="1" width="2" style="174" customWidth="1"/>
    <col min="2" max="2" width="1.375" style="174" customWidth="1"/>
    <col min="3" max="3" width="25.375" style="174" customWidth="1"/>
    <col min="4" max="4" width="7.625" style="175" customWidth="1"/>
    <col min="5" max="5" width="8.375" style="175" customWidth="1"/>
    <col min="6" max="6" width="7" style="175" customWidth="1"/>
    <col min="7" max="7" width="8.25" style="175" bestFit="1" customWidth="1"/>
    <col min="8" max="8" width="7.75" style="175" customWidth="1"/>
    <col min="9" max="9" width="7" style="175" customWidth="1"/>
    <col min="10" max="10" width="9.625" style="175" customWidth="1"/>
    <col min="11" max="11" width="8.5" style="175" customWidth="1"/>
    <col min="12" max="12" width="7" style="175" customWidth="1"/>
    <col min="13" max="13" width="7.75" style="175" customWidth="1"/>
    <col min="14" max="14" width="8.625" style="175" bestFit="1" customWidth="1"/>
    <col min="15" max="15" width="7" style="175" customWidth="1"/>
    <col min="16" max="16" width="8.75" style="175" customWidth="1"/>
    <col min="17" max="17" width="7.625" style="175" customWidth="1"/>
    <col min="18" max="18" width="7" style="175" customWidth="1"/>
    <col min="19" max="19" width="10.5" style="175" customWidth="1"/>
    <col min="20" max="20" width="12.375" style="175" customWidth="1"/>
    <col min="21" max="21" width="7" style="175" customWidth="1"/>
    <col min="22" max="22" width="8.875" style="175" customWidth="1"/>
    <col min="23" max="23" width="9" style="175" customWidth="1"/>
    <col min="24" max="24" width="7" style="175" customWidth="1"/>
    <col min="25" max="25" width="8.25" style="176" customWidth="1"/>
    <col min="26" max="26" width="8" style="177" bestFit="1" customWidth="1"/>
    <col min="27" max="27" width="7" style="175" customWidth="1"/>
    <col min="28" max="28" width="10.5" style="178" bestFit="1" customWidth="1"/>
    <col min="29" max="29" width="10.625" style="182" customWidth="1"/>
    <col min="30" max="30" width="7" style="178" customWidth="1"/>
    <col min="31" max="31" width="1.5" style="174" customWidth="1"/>
    <col min="32" max="44" width="14.125" style="174" customWidth="1"/>
    <col min="45" max="16384" width="11" style="174"/>
  </cols>
  <sheetData>
    <row r="2" spans="2:31" ht="23.25" customHeight="1" x14ac:dyDescent="0.2">
      <c r="C2" s="403" t="s">
        <v>315</v>
      </c>
    </row>
    <row r="3" spans="2:31" ht="23.25" customHeight="1" x14ac:dyDescent="0.2">
      <c r="C3" s="402" t="s">
        <v>320</v>
      </c>
    </row>
    <row r="4" spans="2:31" ht="23.25" customHeight="1" x14ac:dyDescent="0.2">
      <c r="C4" s="402" t="s">
        <v>314</v>
      </c>
    </row>
    <row r="5" spans="2:31" s="129" customFormat="1" ht="16.5" customHeight="1" x14ac:dyDescent="0.2"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88"/>
      <c r="AD5" s="179"/>
    </row>
    <row r="6" spans="2:31" ht="23.25" customHeight="1" thickBot="1" x14ac:dyDescent="0.25">
      <c r="N6" s="272">
        <v>-1</v>
      </c>
    </row>
    <row r="7" spans="2:31" s="129" customFormat="1" ht="18" customHeight="1" thickTop="1" x14ac:dyDescent="0.2">
      <c r="B7" s="121"/>
      <c r="C7" s="122"/>
      <c r="D7" s="123"/>
      <c r="E7" s="123"/>
      <c r="F7" s="123"/>
      <c r="G7" s="123"/>
      <c r="H7" s="123"/>
      <c r="I7" s="123"/>
      <c r="J7" s="124"/>
      <c r="K7" s="124"/>
      <c r="L7" s="124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5"/>
      <c r="Z7" s="126"/>
      <c r="AA7" s="123"/>
      <c r="AB7" s="127"/>
      <c r="AC7" s="203"/>
      <c r="AD7" s="127"/>
      <c r="AE7" s="128"/>
    </row>
    <row r="8" spans="2:31" s="132" customFormat="1" ht="23.25" customHeight="1" x14ac:dyDescent="0.15">
      <c r="B8" s="130"/>
      <c r="C8" s="420" t="s">
        <v>47</v>
      </c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131"/>
    </row>
    <row r="9" spans="2:31" s="132" customFormat="1" ht="23.25" customHeight="1" x14ac:dyDescent="0.15">
      <c r="B9" s="130"/>
      <c r="C9" s="186" t="s">
        <v>303</v>
      </c>
      <c r="D9" s="187" t="str">
        <f>+Portada!$H$19</f>
        <v>Octubre de 2016</v>
      </c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119"/>
      <c r="Z9" s="120"/>
      <c r="AA9" s="352"/>
      <c r="AB9" s="352"/>
      <c r="AC9" s="120"/>
      <c r="AD9" s="352"/>
      <c r="AE9" s="131"/>
    </row>
    <row r="10" spans="2:31" s="132" customFormat="1" ht="23.25" customHeight="1" thickBot="1" x14ac:dyDescent="0.2">
      <c r="B10" s="130"/>
      <c r="D10" s="133" t="s">
        <v>0</v>
      </c>
      <c r="E10" s="133"/>
      <c r="F10" s="133"/>
      <c r="G10" s="133" t="s">
        <v>0</v>
      </c>
      <c r="H10" s="133"/>
      <c r="I10" s="133"/>
      <c r="J10" s="115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4"/>
      <c r="Z10" s="135"/>
      <c r="AA10" s="133"/>
      <c r="AB10" s="136"/>
      <c r="AC10" s="181"/>
      <c r="AD10" s="136"/>
      <c r="AE10" s="131"/>
    </row>
    <row r="11" spans="2:31" s="139" customFormat="1" ht="29.25" customHeight="1" x14ac:dyDescent="0.15">
      <c r="B11" s="137"/>
      <c r="C11" s="189" t="s">
        <v>1</v>
      </c>
      <c r="D11" s="421" t="s">
        <v>2</v>
      </c>
      <c r="E11" s="422"/>
      <c r="F11" s="190"/>
      <c r="G11" s="421" t="s">
        <v>3</v>
      </c>
      <c r="H11" s="422"/>
      <c r="I11" s="190"/>
      <c r="J11" s="421" t="s">
        <v>4</v>
      </c>
      <c r="K11" s="422"/>
      <c r="L11" s="190"/>
      <c r="M11" s="421" t="s">
        <v>5</v>
      </c>
      <c r="N11" s="422"/>
      <c r="O11" s="190"/>
      <c r="P11" s="421" t="s">
        <v>6</v>
      </c>
      <c r="Q11" s="422"/>
      <c r="R11" s="190"/>
      <c r="S11" s="421" t="s">
        <v>7</v>
      </c>
      <c r="T11" s="422"/>
      <c r="U11" s="190"/>
      <c r="V11" s="421" t="s">
        <v>8</v>
      </c>
      <c r="W11" s="422"/>
      <c r="X11" s="190"/>
      <c r="Y11" s="421" t="s">
        <v>216</v>
      </c>
      <c r="Z11" s="422"/>
      <c r="AA11" s="190"/>
      <c r="AB11" s="429" t="s">
        <v>9</v>
      </c>
      <c r="AC11" s="430"/>
      <c r="AD11" s="261"/>
      <c r="AE11" s="138"/>
    </row>
    <row r="12" spans="2:31" s="139" customFormat="1" ht="30.75" customHeight="1" x14ac:dyDescent="0.15">
      <c r="B12" s="137"/>
      <c r="C12" s="140"/>
      <c r="D12" s="141" t="s">
        <v>275</v>
      </c>
      <c r="E12" s="142" t="s">
        <v>50</v>
      </c>
      <c r="F12" s="143"/>
      <c r="G12" s="141" t="s">
        <v>275</v>
      </c>
      <c r="H12" s="142" t="s">
        <v>50</v>
      </c>
      <c r="I12" s="143"/>
      <c r="J12" s="141" t="s">
        <v>275</v>
      </c>
      <c r="K12" s="142" t="s">
        <v>50</v>
      </c>
      <c r="L12" s="143"/>
      <c r="M12" s="141" t="s">
        <v>275</v>
      </c>
      <c r="N12" s="142" t="s">
        <v>50</v>
      </c>
      <c r="O12" s="143"/>
      <c r="P12" s="141" t="s">
        <v>275</v>
      </c>
      <c r="Q12" s="142" t="s">
        <v>50</v>
      </c>
      <c r="R12" s="143"/>
      <c r="S12" s="141" t="s">
        <v>275</v>
      </c>
      <c r="T12" s="142" t="s">
        <v>50</v>
      </c>
      <c r="U12" s="143"/>
      <c r="V12" s="141" t="s">
        <v>275</v>
      </c>
      <c r="W12" s="142" t="s">
        <v>50</v>
      </c>
      <c r="X12" s="143"/>
      <c r="Y12" s="141" t="s">
        <v>275</v>
      </c>
      <c r="Z12" s="142" t="s">
        <v>50</v>
      </c>
      <c r="AA12" s="143"/>
      <c r="AB12" s="262" t="s">
        <v>275</v>
      </c>
      <c r="AC12" s="263" t="s">
        <v>50</v>
      </c>
      <c r="AD12" s="264"/>
      <c r="AE12" s="138"/>
    </row>
    <row r="13" spans="2:31" s="132" customFormat="1" ht="18" customHeight="1" x14ac:dyDescent="0.15">
      <c r="B13" s="130"/>
      <c r="C13" s="144"/>
      <c r="D13" s="416" t="s">
        <v>1</v>
      </c>
      <c r="E13" s="417"/>
      <c r="F13" s="351" t="s">
        <v>10</v>
      </c>
      <c r="G13" s="416" t="s">
        <v>1</v>
      </c>
      <c r="H13" s="417"/>
      <c r="I13" s="351" t="s">
        <v>10</v>
      </c>
      <c r="J13" s="416" t="s">
        <v>1</v>
      </c>
      <c r="K13" s="417"/>
      <c r="L13" s="351" t="s">
        <v>10</v>
      </c>
      <c r="M13" s="416" t="s">
        <v>1</v>
      </c>
      <c r="N13" s="417"/>
      <c r="O13" s="351" t="s">
        <v>10</v>
      </c>
      <c r="P13" s="416" t="s">
        <v>1</v>
      </c>
      <c r="Q13" s="417"/>
      <c r="R13" s="351" t="s">
        <v>10</v>
      </c>
      <c r="S13" s="416" t="s">
        <v>1</v>
      </c>
      <c r="T13" s="417"/>
      <c r="U13" s="351" t="s">
        <v>10</v>
      </c>
      <c r="V13" s="416" t="s">
        <v>1</v>
      </c>
      <c r="W13" s="417"/>
      <c r="X13" s="351" t="s">
        <v>10</v>
      </c>
      <c r="Y13" s="416" t="s">
        <v>1</v>
      </c>
      <c r="Z13" s="417"/>
      <c r="AA13" s="351" t="s">
        <v>10</v>
      </c>
      <c r="AB13" s="425" t="s">
        <v>1</v>
      </c>
      <c r="AC13" s="426"/>
      <c r="AD13" s="265" t="s">
        <v>10</v>
      </c>
      <c r="AE13" s="131"/>
    </row>
    <row r="14" spans="2:31" s="132" customFormat="1" ht="18" customHeight="1" x14ac:dyDescent="0.15">
      <c r="B14" s="146"/>
      <c r="C14" s="147" t="s">
        <v>11</v>
      </c>
      <c r="D14" s="148">
        <f>+'10. Remolacha'!F9/1000</f>
        <v>28761.233</v>
      </c>
      <c r="E14" s="149">
        <f>+'10. Remolacha'!G9/1000</f>
        <v>0</v>
      </c>
      <c r="F14" s="150">
        <f>+IFERROR(E14/D14-1,"n.a.")</f>
        <v>-1</v>
      </c>
      <c r="G14" s="148">
        <f>+'13. Maiz de Exportación'!F9/1000</f>
        <v>171275</v>
      </c>
      <c r="H14" s="149">
        <f>+'13. Maiz de Exportación'!G9/1000</f>
        <v>88672.008000000002</v>
      </c>
      <c r="I14" s="150">
        <f>+IFERROR(H14/G14-1,"n.a.")</f>
        <v>-0.48228283170340092</v>
      </c>
      <c r="J14" s="148">
        <f>(+'15. Maiz Local'!F9)/1000</f>
        <v>238700</v>
      </c>
      <c r="K14" s="149">
        <f>(+'15. Maiz Local'!G9)/1000</f>
        <v>261881.52900000001</v>
      </c>
      <c r="L14" s="150">
        <f>+IFERROR(K14/J14-1,"n.a.")</f>
        <v>9.7115747800586627E-2</v>
      </c>
      <c r="M14" s="148">
        <f>(+'16. Soya de Exportación'!F9)/1000</f>
        <v>623872.61100000003</v>
      </c>
      <c r="N14" s="149">
        <f>(+'16. Soya de Exportación'!G9)/1000</f>
        <v>740872.07799999998</v>
      </c>
      <c r="O14" s="150">
        <f>+IFERROR(N14/M14-1,"n.a.")</f>
        <v>0.18753743141963319</v>
      </c>
      <c r="P14" s="148">
        <f>(+'17. Alfalfa'!F9)/1000</f>
        <v>77168</v>
      </c>
      <c r="Q14" s="149">
        <f>(+'17. Alfalfa'!G9)/1000</f>
        <v>48508</v>
      </c>
      <c r="R14" s="150">
        <f>+IFERROR(Q14/P14-1,"n.a.")</f>
        <v>-0.37139747045407423</v>
      </c>
      <c r="S14" s="148">
        <f>(+'18. Canola y Girasol'!F9)/1000</f>
        <v>1169826.2949999999</v>
      </c>
      <c r="T14" s="149">
        <f>(+'18. Canola y Girasol'!G9)/1000</f>
        <v>1254503.683</v>
      </c>
      <c r="U14" s="150">
        <f>+IFERROR(T14/S14-1,"n.a.")</f>
        <v>7.2384582533255637E-2</v>
      </c>
      <c r="V14" s="148">
        <f>(+'20. Campos Propios'!F9)/1000</f>
        <v>424553.46</v>
      </c>
      <c r="W14" s="149">
        <f>(+'20. Campos Propios'!G9)/1000</f>
        <v>420058.00199999998</v>
      </c>
      <c r="X14" s="150">
        <f>+IFERROR(W14/V14-1,"n.a.")</f>
        <v>-1.0588673567752949E-2</v>
      </c>
      <c r="Y14" s="148">
        <f>+'21.Procesos '!F9</f>
        <v>0</v>
      </c>
      <c r="Z14" s="149">
        <f>+'21.Procesos '!G9/1000</f>
        <v>169478.59400000001</v>
      </c>
      <c r="AA14" s="150" t="str">
        <f>+IFERROR(Z14/Y14-1,"n.a.")</f>
        <v>n.a.</v>
      </c>
      <c r="AB14" s="259">
        <f>+V14+S14+P14+M14+J14+G14+D14+Y14</f>
        <v>2734156.5989999999</v>
      </c>
      <c r="AC14" s="260">
        <f>+W14+T14+Q14+N14+K14+H14+E14+Z14</f>
        <v>2983973.8940000003</v>
      </c>
      <c r="AD14" s="266">
        <f>+IFERROR(AC14/AB14-1,"n.a.")</f>
        <v>9.1369051462293571E-2</v>
      </c>
      <c r="AE14" s="131"/>
    </row>
    <row r="15" spans="2:31" s="132" customFormat="1" ht="18" customHeight="1" x14ac:dyDescent="0.15">
      <c r="B15" s="130"/>
      <c r="C15" s="147"/>
      <c r="D15" s="148"/>
      <c r="E15" s="149"/>
      <c r="F15" s="152"/>
      <c r="G15" s="148"/>
      <c r="H15" s="149"/>
      <c r="I15" s="152"/>
      <c r="J15" s="148"/>
      <c r="K15" s="149"/>
      <c r="L15" s="152"/>
      <c r="M15" s="148"/>
      <c r="N15" s="149"/>
      <c r="O15" s="152"/>
      <c r="P15" s="148"/>
      <c r="Q15" s="149"/>
      <c r="R15" s="152"/>
      <c r="S15" s="148"/>
      <c r="T15" s="149"/>
      <c r="U15" s="152"/>
      <c r="V15" s="148"/>
      <c r="W15" s="149"/>
      <c r="X15" s="152"/>
      <c r="Y15" s="148"/>
      <c r="Z15" s="149"/>
      <c r="AA15" s="152"/>
      <c r="AB15" s="259"/>
      <c r="AC15" s="260"/>
      <c r="AD15" s="267"/>
      <c r="AE15" s="131"/>
    </row>
    <row r="16" spans="2:31" s="132" customFormat="1" ht="18" customHeight="1" x14ac:dyDescent="0.15">
      <c r="B16" s="130"/>
      <c r="C16" s="153" t="s">
        <v>12</v>
      </c>
      <c r="D16" s="154"/>
      <c r="E16" s="155"/>
      <c r="F16" s="152" t="str">
        <f t="shared" ref="F16:F25" si="0">+IFERROR(E16/D16-1,"n.a.")</f>
        <v>n.a.</v>
      </c>
      <c r="G16" s="154">
        <f>(+'13. Maiz de Exportación'!F11/1000)*-1</f>
        <v>97336</v>
      </c>
      <c r="H16" s="155">
        <f>(+'13. Maiz de Exportación'!G11/1000)*-1</f>
        <v>107482.405</v>
      </c>
      <c r="I16" s="152">
        <f t="shared" ref="I16:I25" si="1">+IFERROR(H16/G16-1,"n.a.")</f>
        <v>0.10424103106764204</v>
      </c>
      <c r="J16" s="154">
        <f>((+'15. Maiz Local'!F11)/1000)*-1</f>
        <v>97300</v>
      </c>
      <c r="K16" s="208">
        <f>((+'15. Maiz Local'!G11)/1000)*-1</f>
        <v>96984.820999999996</v>
      </c>
      <c r="L16" s="152">
        <f t="shared" ref="L16:L25" si="2">+IFERROR(K16/J16-1,"n.a.")</f>
        <v>-3.2392497430627776E-3</v>
      </c>
      <c r="M16" s="154">
        <f>((+'16. Soya de Exportación'!F11)/1000)*-1</f>
        <v>487782.5</v>
      </c>
      <c r="N16" s="155">
        <f>((+'16. Soya de Exportación'!G11)/1000)*-1</f>
        <v>535730.66599999997</v>
      </c>
      <c r="O16" s="152">
        <f t="shared" ref="O16:O25" si="3">+IFERROR(N16/M16-1,"n.a.")</f>
        <v>9.8298249732206466E-2</v>
      </c>
      <c r="P16" s="154">
        <v>0</v>
      </c>
      <c r="Q16" s="155">
        <v>0</v>
      </c>
      <c r="R16" s="152" t="str">
        <f t="shared" ref="R16:R25" si="4">+IFERROR(Q16/P16-1,"n.a.")</f>
        <v>n.a.</v>
      </c>
      <c r="S16" s="154">
        <f>((+'18. Canola y Girasol'!F11)/1000)*-1</f>
        <v>148575</v>
      </c>
      <c r="T16" s="155">
        <f>((+'18. Canola y Girasol'!G11)/1000)*-1</f>
        <v>167484.68299999999</v>
      </c>
      <c r="U16" s="152">
        <f t="shared" ref="U16:U25" si="5">+IFERROR(T16/S16-1,"n.a.")</f>
        <v>0.12727365303718652</v>
      </c>
      <c r="V16" s="154">
        <f>((+'20. Campos Propios'!F11)/1000)*-1</f>
        <v>0</v>
      </c>
      <c r="W16" s="155">
        <f>((+'20. Campos Propios'!G11)/1000)*-1</f>
        <v>4501.4369999999999</v>
      </c>
      <c r="X16" s="152" t="str">
        <f t="shared" ref="X16:X25" si="6">+IFERROR(W16/V16-1,"n.a.")</f>
        <v>n.a.</v>
      </c>
      <c r="Y16" s="154">
        <v>0</v>
      </c>
      <c r="Z16" s="155">
        <v>0</v>
      </c>
      <c r="AA16" s="152" t="str">
        <f t="shared" ref="AA16:AA25" si="7">+IFERROR(Z16/Y16-1,"n.a.")</f>
        <v>n.a.</v>
      </c>
      <c r="AB16" s="259">
        <f t="shared" ref="AB16:AC25" si="8">+V16+S16+P16+M16+J16+G16+D16+Y16</f>
        <v>830993.5</v>
      </c>
      <c r="AC16" s="260">
        <f t="shared" si="8"/>
        <v>912184.01199999999</v>
      </c>
      <c r="AD16" s="267">
        <f t="shared" ref="AD16:AD25" si="9">+IFERROR(AC16/AB16-1,"n.a.")</f>
        <v>9.7702944728207841E-2</v>
      </c>
      <c r="AE16" s="131"/>
    </row>
    <row r="17" spans="2:45" s="132" customFormat="1" ht="18" customHeight="1" x14ac:dyDescent="0.15">
      <c r="B17" s="130"/>
      <c r="C17" s="153" t="s">
        <v>13</v>
      </c>
      <c r="D17" s="154">
        <f>((+'10. Remolacha'!F12)/1000)*-1</f>
        <v>26146.575000000001</v>
      </c>
      <c r="E17" s="155">
        <v>0</v>
      </c>
      <c r="F17" s="152">
        <f t="shared" si="0"/>
        <v>-1</v>
      </c>
      <c r="G17" s="154">
        <v>0</v>
      </c>
      <c r="H17" s="155">
        <v>0</v>
      </c>
      <c r="I17" s="152" t="str">
        <f t="shared" si="1"/>
        <v>n.a.</v>
      </c>
      <c r="J17" s="154">
        <f>((+'15. Maiz Local'!F12)*-1)/1000</f>
        <v>25168</v>
      </c>
      <c r="K17" s="208">
        <f>((+'15. Maiz Local'!G12)/1000)*-1</f>
        <v>66449.695999999996</v>
      </c>
      <c r="L17" s="152">
        <f t="shared" si="2"/>
        <v>1.6402453909726638</v>
      </c>
      <c r="M17" s="154">
        <v>0</v>
      </c>
      <c r="N17" s="155">
        <v>0</v>
      </c>
      <c r="O17" s="152" t="str">
        <f t="shared" si="3"/>
        <v>n.a.</v>
      </c>
      <c r="P17" s="154">
        <f>((+'17. Alfalfa'!F12)/1000)*-1</f>
        <v>68900</v>
      </c>
      <c r="Q17" s="155">
        <f>((+'17. Alfalfa'!G12)/1000)*-1</f>
        <v>73336.876000000004</v>
      </c>
      <c r="R17" s="152">
        <f t="shared" si="4"/>
        <v>6.4395878084180014E-2</v>
      </c>
      <c r="S17" s="154">
        <f>((+'18. Canola y Girasol'!F12)/1000)*-1</f>
        <v>5010.2</v>
      </c>
      <c r="T17" s="155">
        <f>((+'18. Canola y Girasol'!G12)/1000)*-1</f>
        <v>3781.2359999999999</v>
      </c>
      <c r="U17" s="152">
        <f t="shared" si="5"/>
        <v>-0.24529240349686643</v>
      </c>
      <c r="V17" s="154">
        <v>0</v>
      </c>
      <c r="W17" s="155">
        <v>0</v>
      </c>
      <c r="X17" s="152" t="str">
        <f t="shared" si="6"/>
        <v>n.a.</v>
      </c>
      <c r="Y17" s="154">
        <v>0</v>
      </c>
      <c r="Z17" s="155">
        <v>0</v>
      </c>
      <c r="AA17" s="152" t="str">
        <f t="shared" si="7"/>
        <v>n.a.</v>
      </c>
      <c r="AB17" s="259">
        <f t="shared" si="8"/>
        <v>125224.77499999999</v>
      </c>
      <c r="AC17" s="260">
        <f t="shared" si="8"/>
        <v>143567.80800000002</v>
      </c>
      <c r="AD17" s="267">
        <f t="shared" si="9"/>
        <v>0.14648086211374722</v>
      </c>
      <c r="AE17" s="131"/>
    </row>
    <row r="18" spans="2:45" s="132" customFormat="1" ht="18" customHeight="1" x14ac:dyDescent="0.15">
      <c r="B18" s="130"/>
      <c r="C18" s="153" t="s">
        <v>14</v>
      </c>
      <c r="D18" s="154">
        <v>0</v>
      </c>
      <c r="E18" s="155">
        <v>0</v>
      </c>
      <c r="F18" s="152" t="str">
        <f t="shared" si="0"/>
        <v>n.a.</v>
      </c>
      <c r="G18" s="154">
        <v>0</v>
      </c>
      <c r="H18" s="155">
        <v>0</v>
      </c>
      <c r="I18" s="152" t="str">
        <f t="shared" si="1"/>
        <v>n.a.</v>
      </c>
      <c r="J18" s="154">
        <f>(+'Base de Datos'!F222)*-1</f>
        <v>0</v>
      </c>
      <c r="K18" s="67">
        <f>((+'Base de Datos'!G222)/1000)*-1</f>
        <v>-22222.208999999999</v>
      </c>
      <c r="L18" s="223" t="str">
        <f t="shared" si="2"/>
        <v>n.a.</v>
      </c>
      <c r="M18" s="154">
        <v>0</v>
      </c>
      <c r="N18" s="155">
        <v>0</v>
      </c>
      <c r="O18" s="152" t="str">
        <f t="shared" si="3"/>
        <v>n.a.</v>
      </c>
      <c r="P18" s="154">
        <v>0</v>
      </c>
      <c r="Q18" s="155">
        <f>((+'17. Alfalfa'!G13)/1000)*-1</f>
        <v>-30868.863000000001</v>
      </c>
      <c r="R18" s="152" t="str">
        <f t="shared" si="4"/>
        <v>n.a.</v>
      </c>
      <c r="S18" s="246">
        <f>(+'18. Canola y Girasol'!F13)*-1</f>
        <v>0</v>
      </c>
      <c r="T18" s="155">
        <f>((+'18. Canola y Girasol'!G13)/1000)*-1</f>
        <v>-150099.93700000001</v>
      </c>
      <c r="U18" s="223" t="str">
        <f t="shared" si="5"/>
        <v>n.a.</v>
      </c>
      <c r="V18" s="154">
        <v>0</v>
      </c>
      <c r="W18" s="208">
        <v>0</v>
      </c>
      <c r="X18" s="152" t="str">
        <f t="shared" si="6"/>
        <v>n.a.</v>
      </c>
      <c r="Y18" s="154">
        <v>0</v>
      </c>
      <c r="Z18" s="155">
        <v>0</v>
      </c>
      <c r="AA18" s="152" t="str">
        <f t="shared" si="7"/>
        <v>n.a.</v>
      </c>
      <c r="AB18" s="259">
        <f t="shared" si="8"/>
        <v>0</v>
      </c>
      <c r="AC18" s="260">
        <f t="shared" si="8"/>
        <v>-203191.00900000002</v>
      </c>
      <c r="AD18" s="267" t="str">
        <f t="shared" si="9"/>
        <v>n.a.</v>
      </c>
      <c r="AE18" s="131"/>
    </row>
    <row r="19" spans="2:45" s="132" customFormat="1" ht="18" customHeight="1" x14ac:dyDescent="0.15">
      <c r="B19" s="130"/>
      <c r="C19" s="153" t="s">
        <v>15</v>
      </c>
      <c r="D19" s="154">
        <v>0</v>
      </c>
      <c r="E19" s="155">
        <v>0</v>
      </c>
      <c r="F19" s="152" t="str">
        <f t="shared" si="0"/>
        <v>n.a.</v>
      </c>
      <c r="G19" s="154">
        <f>(+G$69*'12. Planta'!$F14/1000)*-1</f>
        <v>29567.666699999998</v>
      </c>
      <c r="H19" s="155">
        <f>(+H$69*'12. Planta'!$G14/1000)*-1</f>
        <v>31298.530185000003</v>
      </c>
      <c r="I19" s="152">
        <f t="shared" si="1"/>
        <v>5.8539062367068961E-2</v>
      </c>
      <c r="J19" s="154">
        <f>((+J$69*'12. Planta'!$F14)/1000)*-1</f>
        <v>26989.972679999999</v>
      </c>
      <c r="K19" s="208">
        <f>((+K$69*'12. Planta'!$G14)/1000)*-1</f>
        <v>28569.940373999998</v>
      </c>
      <c r="L19" s="152">
        <f t="shared" si="2"/>
        <v>5.8539062367068739E-2</v>
      </c>
      <c r="M19" s="154">
        <f>((+M$69*'12. Planta'!$F14)/1000)*-1</f>
        <v>70810.771020000015</v>
      </c>
      <c r="N19" s="155">
        <f>((+N$69*'12. Planta'!$G14)/1000)*-1</f>
        <v>74955.967160999993</v>
      </c>
      <c r="O19" s="152">
        <f t="shared" si="3"/>
        <v>5.8539062367068295E-2</v>
      </c>
      <c r="P19" s="246">
        <v>0</v>
      </c>
      <c r="Q19" s="155">
        <v>0</v>
      </c>
      <c r="R19" s="152" t="str">
        <f t="shared" si="4"/>
        <v>n.a.</v>
      </c>
      <c r="S19" s="154">
        <f>((+S$69*'12. Planta'!$F14)/1000)*-1</f>
        <v>24260.649600000001</v>
      </c>
      <c r="T19" s="155">
        <f>((+T$69*'12. Planta'!$G14)/1000)*-1</f>
        <v>25680.845280000001</v>
      </c>
      <c r="U19" s="152">
        <f t="shared" si="5"/>
        <v>5.8539062367068739E-2</v>
      </c>
      <c r="V19" s="154">
        <v>0</v>
      </c>
      <c r="W19" s="208">
        <v>0</v>
      </c>
      <c r="X19" s="223" t="str">
        <f t="shared" si="6"/>
        <v>n.a.</v>
      </c>
      <c r="Y19" s="154">
        <v>0</v>
      </c>
      <c r="Z19" s="287">
        <f>(+'21.Procesos '!G14/1000)*-1</f>
        <v>58325.296999999999</v>
      </c>
      <c r="AA19" s="223" t="str">
        <f t="shared" si="7"/>
        <v>n.a.</v>
      </c>
      <c r="AB19" s="259">
        <f t="shared" si="8"/>
        <v>151629.06000000003</v>
      </c>
      <c r="AC19" s="260">
        <f t="shared" si="8"/>
        <v>218830.58</v>
      </c>
      <c r="AD19" s="267">
        <f t="shared" si="9"/>
        <v>0.4431968383896856</v>
      </c>
      <c r="AE19" s="131"/>
      <c r="AF19" s="132">
        <f>+AC19+AC21+AC29+AC38</f>
        <v>709607.79700000002</v>
      </c>
    </row>
    <row r="20" spans="2:45" s="132" customFormat="1" ht="18" customHeight="1" x14ac:dyDescent="0.15">
      <c r="B20" s="130"/>
      <c r="C20" s="153" t="s">
        <v>16</v>
      </c>
      <c r="D20" s="154">
        <v>0</v>
      </c>
      <c r="E20" s="155">
        <v>0</v>
      </c>
      <c r="F20" s="152" t="str">
        <f t="shared" si="0"/>
        <v>n.a.</v>
      </c>
      <c r="G20" s="154">
        <f>(+G$69*'12. Planta'!$F15/1000)*-1</f>
        <v>28773.950205000001</v>
      </c>
      <c r="H20" s="155">
        <f>(+H$69*'12. Planta'!$G15/1000)*-1</f>
        <v>26454.455624999999</v>
      </c>
      <c r="I20" s="152">
        <f t="shared" si="1"/>
        <v>-8.0610919372375522E-2</v>
      </c>
      <c r="J20" s="154">
        <f>((+J$69*'12. Planta'!$F15)/1000)*-1</f>
        <v>26265.451981999999</v>
      </c>
      <c r="K20" s="208">
        <f>((+K$69*'12. Planta'!$G15)/1000)*-1</f>
        <v>24148.169750000001</v>
      </c>
      <c r="L20" s="152">
        <f t="shared" si="2"/>
        <v>-8.06109193723753E-2</v>
      </c>
      <c r="M20" s="154">
        <f>((+M$69*'12. Planta'!$F15)/1000)*-1</f>
        <v>68909.921773000009</v>
      </c>
      <c r="N20" s="155">
        <f>((+N$69*'12. Planta'!$G15)/1000)*-1</f>
        <v>63355.029625000003</v>
      </c>
      <c r="O20" s="152">
        <f t="shared" si="3"/>
        <v>-8.0610919372375522E-2</v>
      </c>
      <c r="P20" s="154">
        <v>0</v>
      </c>
      <c r="Q20" s="155">
        <v>0</v>
      </c>
      <c r="R20" s="152" t="str">
        <f t="shared" si="4"/>
        <v>n.a.</v>
      </c>
      <c r="S20" s="154">
        <f>((+S$69*'12. Planta'!$F15)/1000)*-1</f>
        <v>23609.395039999999</v>
      </c>
      <c r="T20" s="155">
        <f>((+T$69*'12. Planta'!$G15)/1000)*-1</f>
        <v>21706.22</v>
      </c>
      <c r="U20" s="152">
        <f t="shared" si="5"/>
        <v>-8.06109193723753E-2</v>
      </c>
      <c r="V20" s="154">
        <v>0</v>
      </c>
      <c r="W20" s="208">
        <v>0</v>
      </c>
      <c r="X20" s="152" t="str">
        <f t="shared" si="6"/>
        <v>n.a.</v>
      </c>
      <c r="Y20" s="154">
        <v>0</v>
      </c>
      <c r="Z20" s="288">
        <f>(+'21.Procesos '!G15/1000)*-1</f>
        <v>68074.933000000005</v>
      </c>
      <c r="AA20" s="152" t="str">
        <f t="shared" si="7"/>
        <v>n.a.</v>
      </c>
      <c r="AB20" s="259">
        <f t="shared" si="8"/>
        <v>147558.71900000001</v>
      </c>
      <c r="AC20" s="260">
        <f t="shared" si="8"/>
        <v>203738.80800000002</v>
      </c>
      <c r="AD20" s="267">
        <f t="shared" si="9"/>
        <v>0.38073039248870133</v>
      </c>
      <c r="AE20" s="131"/>
      <c r="AF20" s="132">
        <f>+AC19-Z19</f>
        <v>160505.283</v>
      </c>
    </row>
    <row r="21" spans="2:45" s="132" customFormat="1" ht="18" customHeight="1" x14ac:dyDescent="0.15">
      <c r="B21" s="130"/>
      <c r="C21" s="153" t="s">
        <v>17</v>
      </c>
      <c r="D21" s="154">
        <v>0</v>
      </c>
      <c r="E21" s="155">
        <v>0</v>
      </c>
      <c r="F21" s="152" t="str">
        <f t="shared" si="0"/>
        <v>n.a.</v>
      </c>
      <c r="G21" s="154">
        <f>(+'13. Maiz de Exportación'!F16/1000)*-1</f>
        <v>13471.942999999999</v>
      </c>
      <c r="H21" s="155">
        <f>(+'13. Maiz de Exportación'!G16/1000)*-1</f>
        <v>15226.328</v>
      </c>
      <c r="I21" s="152">
        <f t="shared" si="1"/>
        <v>0.13022509076827293</v>
      </c>
      <c r="J21" s="154">
        <f>((+'15. Maiz Local'!F16)/1000)*-1</f>
        <v>12247.22</v>
      </c>
      <c r="K21" s="155">
        <f>((+'15. Maiz Local'!G16)/1000)*-1</f>
        <v>16193.263999999999</v>
      </c>
      <c r="L21" s="152">
        <f t="shared" si="2"/>
        <v>0.32219916029923534</v>
      </c>
      <c r="M21" s="154">
        <f>((+'16. Soya de Exportación'!F16)/1000)*-1</f>
        <v>32210.197</v>
      </c>
      <c r="N21" s="155">
        <f>((+'16. Soya de Exportación'!G16)/1000)*-1</f>
        <v>45112.082000000002</v>
      </c>
      <c r="O21" s="152">
        <f t="shared" si="3"/>
        <v>0.40055281251462072</v>
      </c>
      <c r="P21" s="154">
        <v>0</v>
      </c>
      <c r="Q21" s="155">
        <v>0</v>
      </c>
      <c r="R21" s="152" t="str">
        <f t="shared" si="4"/>
        <v>n.a.</v>
      </c>
      <c r="S21" s="154">
        <f>((+'18. Canola y Girasol'!F16)/1000)*-1</f>
        <v>11022.502</v>
      </c>
      <c r="T21" s="155">
        <f>((+'18. Canola y Girasol'!G16)/1000)*-1</f>
        <v>9602.2649999999994</v>
      </c>
      <c r="U21" s="152">
        <f t="shared" si="5"/>
        <v>-0.12884887659807187</v>
      </c>
      <c r="V21" s="154">
        <f>((+'20. Campos Propios'!F16)/1000)*-1</f>
        <v>54610.364000000001</v>
      </c>
      <c r="W21" s="155">
        <f>((+'20. Campos Propios'!G16)/1000)*-1</f>
        <v>89760.65</v>
      </c>
      <c r="X21" s="152">
        <f t="shared" si="6"/>
        <v>0.64365595512236462</v>
      </c>
      <c r="Y21" s="154">
        <v>0</v>
      </c>
      <c r="Z21" s="155">
        <v>0</v>
      </c>
      <c r="AA21" s="152" t="str">
        <f t="shared" si="7"/>
        <v>n.a.</v>
      </c>
      <c r="AB21" s="259">
        <f t="shared" si="8"/>
        <v>123562.22600000001</v>
      </c>
      <c r="AC21" s="260">
        <f t="shared" si="8"/>
        <v>175894.58900000001</v>
      </c>
      <c r="AD21" s="267">
        <f t="shared" si="9"/>
        <v>0.42353043235074117</v>
      </c>
      <c r="AE21" s="131"/>
    </row>
    <row r="22" spans="2:45" s="132" customFormat="1" ht="18" customHeight="1" x14ac:dyDescent="0.15">
      <c r="B22" s="130"/>
      <c r="C22" s="153" t="s">
        <v>18</v>
      </c>
      <c r="D22" s="156">
        <f>((+'10. Remolacha'!F28)/1000)*-1</f>
        <v>1078</v>
      </c>
      <c r="E22" s="157">
        <f>(+'10. Remolacha'!G28/1000)*-1</f>
        <v>715.85299999999995</v>
      </c>
      <c r="F22" s="152">
        <f t="shared" si="0"/>
        <v>-0.33594341372912806</v>
      </c>
      <c r="G22" s="156">
        <f>(+'13. Maiz de Exportación'!F17/1000)*-1</f>
        <v>18313.396000000001</v>
      </c>
      <c r="H22" s="157">
        <f>(+'13. Maiz de Exportación'!G17/1000)*-1</f>
        <v>18916.050999999999</v>
      </c>
      <c r="I22" s="152">
        <f t="shared" si="1"/>
        <v>3.290787792717409E-2</v>
      </c>
      <c r="J22" s="156">
        <f>((+'15. Maiz Local'!F17)/1000)*-1</f>
        <v>87860.270999999993</v>
      </c>
      <c r="K22" s="157">
        <f>((+'15. Maiz Local'!G17)/1000)*-1</f>
        <v>88900.752999999997</v>
      </c>
      <c r="L22" s="152">
        <f t="shared" si="2"/>
        <v>1.1842462903398188E-2</v>
      </c>
      <c r="M22" s="156">
        <f>((+'16. Soya de Exportación'!F17)/1000)*-1</f>
        <v>136032.58300000001</v>
      </c>
      <c r="N22" s="157">
        <f>((+'16. Soya de Exportación'!G17)/1000)*-1</f>
        <v>147138.565</v>
      </c>
      <c r="O22" s="152">
        <f t="shared" si="3"/>
        <v>8.1642072473180782E-2</v>
      </c>
      <c r="P22" s="156">
        <f>(+'17. Alfalfa'!F31/1000)*-1-P31</f>
        <v>771</v>
      </c>
      <c r="Q22" s="157">
        <f>(+'17. Alfalfa'!G28/1000)*-1</f>
        <v>1263.7760000000001</v>
      </c>
      <c r="R22" s="152">
        <f t="shared" si="4"/>
        <v>0.63913878080415043</v>
      </c>
      <c r="S22" s="156">
        <f>((+'18. Canola y Girasol'!F17)/1000)*-1</f>
        <v>133814.31899999999</v>
      </c>
      <c r="T22" s="157">
        <f>((+'18. Canola y Girasol'!G17)/1000)*-1</f>
        <v>112078.101</v>
      </c>
      <c r="U22" s="152">
        <f t="shared" si="5"/>
        <v>-0.16243566579746971</v>
      </c>
      <c r="V22" s="156">
        <f>((+'20. Campos Propios'!F17)/1000)*-1</f>
        <v>323201.065</v>
      </c>
      <c r="W22" s="157">
        <f>((+'20. Campos Propios'!G17)/1000)*-1</f>
        <v>329883.79100000003</v>
      </c>
      <c r="X22" s="152">
        <f t="shared" si="6"/>
        <v>2.0676683104370319E-2</v>
      </c>
      <c r="Y22" s="154">
        <v>0</v>
      </c>
      <c r="Z22" s="155">
        <v>0</v>
      </c>
      <c r="AA22" s="152" t="str">
        <f t="shared" si="7"/>
        <v>n.a.</v>
      </c>
      <c r="AB22" s="259">
        <f t="shared" si="8"/>
        <v>701070.63399999985</v>
      </c>
      <c r="AC22" s="260">
        <f t="shared" si="8"/>
        <v>698896.89</v>
      </c>
      <c r="AD22" s="267">
        <f t="shared" si="9"/>
        <v>-3.1006062650169586E-3</v>
      </c>
      <c r="AE22" s="131"/>
    </row>
    <row r="23" spans="2:45" s="132" customFormat="1" ht="18" customHeight="1" x14ac:dyDescent="0.15">
      <c r="B23" s="130"/>
      <c r="C23" s="153" t="s">
        <v>19</v>
      </c>
      <c r="D23" s="154">
        <v>0</v>
      </c>
      <c r="E23" s="155">
        <v>0</v>
      </c>
      <c r="F23" s="152" t="str">
        <f t="shared" si="0"/>
        <v>n.a.</v>
      </c>
      <c r="G23" s="154">
        <v>0</v>
      </c>
      <c r="H23" s="155">
        <v>0</v>
      </c>
      <c r="I23" s="152" t="str">
        <f t="shared" si="1"/>
        <v>n.a.</v>
      </c>
      <c r="J23" s="154">
        <v>0</v>
      </c>
      <c r="K23" s="208">
        <f>-'15. Maiz Local'!G18/1000</f>
        <v>3921.1979999999999</v>
      </c>
      <c r="L23" s="152" t="str">
        <f t="shared" si="2"/>
        <v>n.a.</v>
      </c>
      <c r="M23" s="154">
        <v>0</v>
      </c>
      <c r="N23" s="155">
        <v>0</v>
      </c>
      <c r="O23" s="152" t="str">
        <f t="shared" si="3"/>
        <v>n.a.</v>
      </c>
      <c r="P23" s="154">
        <v>0</v>
      </c>
      <c r="Q23" s="208">
        <v>0</v>
      </c>
      <c r="R23" s="152" t="str">
        <f t="shared" si="4"/>
        <v>n.a.</v>
      </c>
      <c r="S23" s="154">
        <f>-'18. Canola y Girasol'!F18</f>
        <v>0</v>
      </c>
      <c r="T23" s="208">
        <f>-'18. Canola y Girasol'!G18/1000</f>
        <v>448</v>
      </c>
      <c r="U23" s="152" t="str">
        <f t="shared" si="5"/>
        <v>n.a.</v>
      </c>
      <c r="V23" s="154">
        <v>0</v>
      </c>
      <c r="W23" s="155">
        <v>0</v>
      </c>
      <c r="X23" s="152" t="str">
        <f t="shared" si="6"/>
        <v>n.a.</v>
      </c>
      <c r="Y23" s="154">
        <v>0</v>
      </c>
      <c r="Z23" s="155">
        <v>0</v>
      </c>
      <c r="AA23" s="152" t="str">
        <f t="shared" si="7"/>
        <v>n.a.</v>
      </c>
      <c r="AB23" s="259">
        <f t="shared" si="8"/>
        <v>0</v>
      </c>
      <c r="AC23" s="260">
        <f t="shared" si="8"/>
        <v>4369.1980000000003</v>
      </c>
      <c r="AD23" s="267" t="str">
        <f t="shared" si="9"/>
        <v>n.a.</v>
      </c>
      <c r="AE23" s="131"/>
    </row>
    <row r="24" spans="2:45" s="132" customFormat="1" ht="18" customHeight="1" x14ac:dyDescent="0.15">
      <c r="B24" s="130"/>
      <c r="C24" s="153" t="s">
        <v>20</v>
      </c>
      <c r="D24" s="154"/>
      <c r="E24" s="155"/>
      <c r="F24" s="152" t="str">
        <f t="shared" si="0"/>
        <v>n.a.</v>
      </c>
      <c r="G24" s="154"/>
      <c r="H24" s="155"/>
      <c r="I24" s="152" t="str">
        <f t="shared" si="1"/>
        <v>n.a.</v>
      </c>
      <c r="J24" s="245">
        <f>((+'15. Maiz Local'!F19)/1000)*-1</f>
        <v>38592</v>
      </c>
      <c r="K24" s="155">
        <f>((+'15. Maiz Local'!G19)/1000)*-1</f>
        <v>30243.71</v>
      </c>
      <c r="L24" s="152">
        <f t="shared" si="2"/>
        <v>-0.21632177653399676</v>
      </c>
      <c r="M24" s="154"/>
      <c r="N24" s="155"/>
      <c r="O24" s="152" t="str">
        <f t="shared" si="3"/>
        <v>n.a.</v>
      </c>
      <c r="P24" s="154"/>
      <c r="Q24" s="155"/>
      <c r="R24" s="152" t="str">
        <f t="shared" si="4"/>
        <v>n.a.</v>
      </c>
      <c r="S24" s="154">
        <f>((+'18. Canola y Girasol'!$F$19)/1000)*-1</f>
        <v>148488</v>
      </c>
      <c r="T24" s="155">
        <f>((+'18. Canola y Girasol'!$G$19)/1000)*-1</f>
        <v>323262.73200000002</v>
      </c>
      <c r="U24" s="152">
        <f t="shared" si="5"/>
        <v>1.1770293357038955</v>
      </c>
      <c r="V24" s="154"/>
      <c r="W24" s="155"/>
      <c r="X24" s="152" t="str">
        <f t="shared" si="6"/>
        <v>n.a.</v>
      </c>
      <c r="Y24" s="154"/>
      <c r="Z24" s="155"/>
      <c r="AA24" s="152" t="str">
        <f t="shared" si="7"/>
        <v>n.a.</v>
      </c>
      <c r="AB24" s="259">
        <f t="shared" si="8"/>
        <v>187080</v>
      </c>
      <c r="AC24" s="260">
        <f t="shared" si="8"/>
        <v>353506.44200000004</v>
      </c>
      <c r="AD24" s="267">
        <f t="shared" si="9"/>
        <v>0.88960039555270498</v>
      </c>
      <c r="AE24" s="131"/>
      <c r="AS24" s="158"/>
    </row>
    <row r="25" spans="2:45" s="132" customFormat="1" ht="18" customHeight="1" x14ac:dyDescent="0.15">
      <c r="B25" s="130"/>
      <c r="C25" s="147" t="s">
        <v>21</v>
      </c>
      <c r="D25" s="148">
        <f>SUM(D16:D24)</f>
        <v>27224.575000000001</v>
      </c>
      <c r="E25" s="149">
        <f>SUM(E16:E24)</f>
        <v>715.85299999999995</v>
      </c>
      <c r="F25" s="150">
        <f t="shared" si="0"/>
        <v>-0.97370563176835634</v>
      </c>
      <c r="G25" s="148">
        <f>SUM(G16:G24)</f>
        <v>187462.95590500001</v>
      </c>
      <c r="H25" s="149">
        <f>SUM(H16:H24)</f>
        <v>199377.76981000003</v>
      </c>
      <c r="I25" s="150">
        <f t="shared" si="1"/>
        <v>6.3558231264837506E-2</v>
      </c>
      <c r="J25" s="148">
        <f>SUM(J16:J24)</f>
        <v>314422.91566200001</v>
      </c>
      <c r="K25" s="149">
        <f>SUM(K16:K24)</f>
        <v>333189.34312399995</v>
      </c>
      <c r="L25" s="150">
        <f t="shared" si="2"/>
        <v>5.9685304496614799E-2</v>
      </c>
      <c r="M25" s="148">
        <f>SUM(M16:M24)</f>
        <v>795745.97279300005</v>
      </c>
      <c r="N25" s="149">
        <f>SUM(N16:N24)</f>
        <v>866292.30978600006</v>
      </c>
      <c r="O25" s="150">
        <f t="shared" si="3"/>
        <v>8.8654343729052565E-2</v>
      </c>
      <c r="P25" s="148">
        <f>SUM(P16:P24)</f>
        <v>69671</v>
      </c>
      <c r="Q25" s="149">
        <f>SUM(Q16:Q24)</f>
        <v>43731.789000000004</v>
      </c>
      <c r="R25" s="150">
        <f t="shared" si="4"/>
        <v>-0.37231001420964238</v>
      </c>
      <c r="S25" s="148">
        <f>SUM(S16:S24)</f>
        <v>494780.06564000004</v>
      </c>
      <c r="T25" s="226">
        <f>SUM(T16:T24)</f>
        <v>513944.14528</v>
      </c>
      <c r="U25" s="150">
        <f t="shared" si="5"/>
        <v>3.8732521721971835E-2</v>
      </c>
      <c r="V25" s="148">
        <f>SUM(V16:V24)</f>
        <v>377811.429</v>
      </c>
      <c r="W25" s="149">
        <f>SUM(W16:W24)</f>
        <v>424145.87800000003</v>
      </c>
      <c r="X25" s="150">
        <f t="shared" si="6"/>
        <v>0.12263908776565891</v>
      </c>
      <c r="Y25" s="148">
        <f>SUM(Y16:Y24)</f>
        <v>0</v>
      </c>
      <c r="Z25" s="149">
        <f>SUM(Z16:Z24)</f>
        <v>126400.23000000001</v>
      </c>
      <c r="AA25" s="150" t="str">
        <f t="shared" si="7"/>
        <v>n.a.</v>
      </c>
      <c r="AB25" s="259">
        <f t="shared" si="8"/>
        <v>2267118.9140000003</v>
      </c>
      <c r="AC25" s="260">
        <f t="shared" si="8"/>
        <v>2507797.318</v>
      </c>
      <c r="AD25" s="267">
        <f t="shared" si="9"/>
        <v>0.10616046759336406</v>
      </c>
      <c r="AE25" s="131"/>
    </row>
    <row r="26" spans="2:45" s="132" customFormat="1" ht="18" customHeight="1" x14ac:dyDescent="0.15">
      <c r="B26" s="130"/>
      <c r="C26" s="147"/>
      <c r="D26" s="148"/>
      <c r="E26" s="149"/>
      <c r="F26" s="152"/>
      <c r="G26" s="148"/>
      <c r="H26" s="149"/>
      <c r="I26" s="152"/>
      <c r="J26" s="148"/>
      <c r="K26" s="149"/>
      <c r="L26" s="152"/>
      <c r="M26" s="148"/>
      <c r="N26" s="149"/>
      <c r="O26" s="152"/>
      <c r="P26" s="148"/>
      <c r="Q26" s="149"/>
      <c r="R26" s="152"/>
      <c r="S26" s="148"/>
      <c r="T26" s="149"/>
      <c r="U26" s="152"/>
      <c r="V26" s="148"/>
      <c r="W26" s="149"/>
      <c r="X26" s="152"/>
      <c r="Y26" s="148"/>
      <c r="Z26" s="149"/>
      <c r="AA26" s="152"/>
      <c r="AB26" s="259"/>
      <c r="AC26" s="260"/>
      <c r="AD26" s="267"/>
      <c r="AE26" s="131"/>
    </row>
    <row r="27" spans="2:45" s="132" customFormat="1" ht="18" customHeight="1" x14ac:dyDescent="0.15">
      <c r="B27" s="130"/>
      <c r="C27" s="159" t="s">
        <v>22</v>
      </c>
      <c r="D27" s="249">
        <f>+D14-D25</f>
        <v>1536.6579999999994</v>
      </c>
      <c r="E27" s="253">
        <f>+E14-E25</f>
        <v>-715.85299999999995</v>
      </c>
      <c r="F27" s="250">
        <f>+IFERROR(E27/D27-1,"n.a.")</f>
        <v>-1.4658505666192478</v>
      </c>
      <c r="G27" s="160">
        <f>+G14-G25</f>
        <v>-16187.95590500001</v>
      </c>
      <c r="H27" s="255">
        <f>+H14-H25</f>
        <v>-110705.76181000003</v>
      </c>
      <c r="I27" s="250">
        <f>+IFERROR(H27/G27-1,"n.a.")</f>
        <v>5.8387733732216365</v>
      </c>
      <c r="J27" s="249">
        <f>+J14-J25</f>
        <v>-75722.915662000014</v>
      </c>
      <c r="K27" s="253">
        <f>+K14-K25</f>
        <v>-71307.814123999939</v>
      </c>
      <c r="L27" s="250">
        <f>+IFERROR(K27/J27-1,"n.a.")</f>
        <v>-5.8306016077187328E-2</v>
      </c>
      <c r="M27" s="160">
        <f>+M14-M25</f>
        <v>-171873.36179300002</v>
      </c>
      <c r="N27" s="255">
        <f>+N14-N25</f>
        <v>-125420.23178600008</v>
      </c>
      <c r="O27" s="250">
        <f>+IFERROR(N27/M27-1,"n.a.")</f>
        <v>-0.27027533250293279</v>
      </c>
      <c r="P27" s="249">
        <f>+P14-P25</f>
        <v>7497</v>
      </c>
      <c r="Q27" s="253">
        <f>+Q14-Q25</f>
        <v>4776.2109999999957</v>
      </c>
      <c r="R27" s="250">
        <f>+IFERROR(Q27/P27-1,"n.a.")</f>
        <v>-0.36291703348005921</v>
      </c>
      <c r="S27" s="249">
        <f>+S14-S25</f>
        <v>675046.22935999988</v>
      </c>
      <c r="T27" s="253">
        <f>+T14-T25</f>
        <v>740559.53771999991</v>
      </c>
      <c r="U27" s="250">
        <f>+IFERROR(T27/S27-1,"n.a.")</f>
        <v>9.7050106363992361E-2</v>
      </c>
      <c r="V27" s="160">
        <f>+V14-V25</f>
        <v>46742.031000000017</v>
      </c>
      <c r="W27" s="161">
        <f>+W14-W25</f>
        <v>-4087.8760000000475</v>
      </c>
      <c r="X27" s="162">
        <f>+IFERROR(W27/V27-1,"n.a.")</f>
        <v>-1.0874561056193739</v>
      </c>
      <c r="Y27" s="249">
        <f>+Y14-Y25</f>
        <v>0</v>
      </c>
      <c r="Z27" s="161">
        <f>+Z14-Z25</f>
        <v>43078.364000000001</v>
      </c>
      <c r="AA27" s="250" t="str">
        <f>+IFERROR(Z27/Y27-1,"n.a.")</f>
        <v>n.a.</v>
      </c>
      <c r="AB27" s="257">
        <f>+AB14-AB25</f>
        <v>467037.68499999959</v>
      </c>
      <c r="AC27" s="258">
        <f>+AC14-AC25</f>
        <v>476176.57600000035</v>
      </c>
      <c r="AD27" s="268">
        <f>+IFERROR(AC27/AB27-1,"n.a.")</f>
        <v>1.9567780702751669E-2</v>
      </c>
      <c r="AE27" s="131"/>
    </row>
    <row r="28" spans="2:45" s="132" customFormat="1" ht="18" customHeight="1" x14ac:dyDescent="0.15">
      <c r="B28" s="130"/>
      <c r="C28" s="147"/>
      <c r="D28" s="148"/>
      <c r="E28" s="149"/>
      <c r="F28" s="152"/>
      <c r="G28" s="148"/>
      <c r="H28" s="149"/>
      <c r="I28" s="148"/>
      <c r="J28" s="148"/>
      <c r="K28" s="149"/>
      <c r="L28" s="152"/>
      <c r="M28" s="148"/>
      <c r="N28" s="149"/>
      <c r="O28" s="152"/>
      <c r="P28" s="148"/>
      <c r="Q28" s="149"/>
      <c r="R28" s="152"/>
      <c r="S28" s="148"/>
      <c r="T28" s="149"/>
      <c r="U28" s="152"/>
      <c r="V28" s="148"/>
      <c r="W28" s="149"/>
      <c r="X28" s="152"/>
      <c r="Y28" s="148"/>
      <c r="Z28" s="149"/>
      <c r="AA28" s="152"/>
      <c r="AB28" s="259"/>
      <c r="AC28" s="260"/>
      <c r="AD28" s="267"/>
      <c r="AE28" s="131"/>
    </row>
    <row r="29" spans="2:45" s="132" customFormat="1" ht="18" customHeight="1" x14ac:dyDescent="0.15">
      <c r="B29" s="130"/>
      <c r="C29" s="153" t="s">
        <v>23</v>
      </c>
      <c r="D29" s="156"/>
      <c r="E29" s="157"/>
      <c r="F29" s="152" t="str">
        <f t="shared" ref="F29:F60" si="10">+IFERROR(E29/D29-1,"n.a.")</f>
        <v>n.a.</v>
      </c>
      <c r="G29" s="156">
        <v>0</v>
      </c>
      <c r="H29" s="157">
        <v>0</v>
      </c>
      <c r="I29" s="152" t="str">
        <f t="shared" ref="I29:I60" si="11">+IFERROR(H29/G29-1,"n.a.")</f>
        <v>n.a.</v>
      </c>
      <c r="J29" s="156">
        <f>((+J$68*'11. Ventas Mer. Local'!$F$24)/1000)*-1</f>
        <v>44626.824000000001</v>
      </c>
      <c r="K29" s="157">
        <f>((+K68*'11. Ventas Mer. Local'!$G$24)/1000)*-1</f>
        <v>66234.088199999998</v>
      </c>
      <c r="L29" s="152">
        <f t="shared" ref="L29:L60" si="12">+IFERROR(K29/J29-1,"n.a.")</f>
        <v>0.4841766064284565</v>
      </c>
      <c r="M29" s="156">
        <v>0</v>
      </c>
      <c r="N29" s="157">
        <v>0</v>
      </c>
      <c r="O29" s="152" t="str">
        <f t="shared" ref="O29:O60" si="13">+IFERROR(N29/M29-1,"n.a.")</f>
        <v>n.a.</v>
      </c>
      <c r="P29" s="156">
        <f>((+P$68*'11. Ventas Mer. Local'!$F$24)/1000)*-1</f>
        <v>5950.2431999999999</v>
      </c>
      <c r="Q29" s="157">
        <f>((+Q68*'11. Ventas Mer. Local'!$G$24)/1000)*-1</f>
        <v>8831.2117600000001</v>
      </c>
      <c r="R29" s="152">
        <f t="shared" ref="R29:R60" si="14">+IFERROR(Q29/P29-1,"n.a.")</f>
        <v>0.48417660642845672</v>
      </c>
      <c r="S29" s="156">
        <f>((+S$68*'11. Ventas Mer. Local'!$F$24)/1000)*-1</f>
        <v>23800.9728</v>
      </c>
      <c r="T29" s="157">
        <f>((+T68*'11. Ventas Mer. Local'!$G$24)/1000)*-1</f>
        <v>35324.847040000001</v>
      </c>
      <c r="U29" s="152">
        <f t="shared" ref="U29:U60" si="15">+IFERROR(T29/S29-1,"n.a.")</f>
        <v>0.48417660642845672</v>
      </c>
      <c r="V29" s="156"/>
      <c r="W29" s="157"/>
      <c r="X29" s="152" t="str">
        <f t="shared" ref="X29:X60" si="16">+IFERROR(W29/V29-1,"n.a.")</f>
        <v>n.a.</v>
      </c>
      <c r="Y29" s="156"/>
      <c r="Z29" s="157"/>
      <c r="AA29" s="152" t="str">
        <f t="shared" ref="AA29:AA60" si="17">+IFERROR(Z29/Y29-1,"n.a.")</f>
        <v>n.a.</v>
      </c>
      <c r="AB29" s="259">
        <f t="shared" ref="AB29:AC35" si="18">+V29+S29+P29+M29+J29+G29+D29+Y29</f>
        <v>74378.040000000008</v>
      </c>
      <c r="AC29" s="260">
        <f t="shared" si="18"/>
        <v>110390.147</v>
      </c>
      <c r="AD29" s="267">
        <f t="shared" ref="AD29:AD60" si="19">+IFERROR(AC29/AB29-1,"n.a.")</f>
        <v>0.48417660642845628</v>
      </c>
      <c r="AE29" s="131"/>
    </row>
    <row r="30" spans="2:45" s="132" customFormat="1" ht="18" customHeight="1" x14ac:dyDescent="0.15">
      <c r="B30" s="130"/>
      <c r="C30" s="153" t="s">
        <v>24</v>
      </c>
      <c r="D30" s="156"/>
      <c r="E30" s="157"/>
      <c r="F30" s="152" t="str">
        <f t="shared" si="10"/>
        <v>n.a.</v>
      </c>
      <c r="G30" s="156">
        <v>0</v>
      </c>
      <c r="H30" s="157">
        <v>0</v>
      </c>
      <c r="I30" s="152" t="str">
        <f t="shared" si="11"/>
        <v>n.a.</v>
      </c>
      <c r="J30" s="156">
        <f>((+J$68*'11. Ventas Mer. Local'!$F$25)/1000)*-1</f>
        <v>4900.2</v>
      </c>
      <c r="K30" s="157">
        <f>((+K$68*'11. Ventas Mer. Local'!$G$25)/1000)*-1</f>
        <v>4393.4633999999996</v>
      </c>
      <c r="L30" s="152">
        <f t="shared" si="12"/>
        <v>-0.10341141177911106</v>
      </c>
      <c r="M30" s="156">
        <v>0</v>
      </c>
      <c r="N30" s="157">
        <v>0</v>
      </c>
      <c r="O30" s="152" t="str">
        <f t="shared" si="13"/>
        <v>n.a.</v>
      </c>
      <c r="P30" s="156">
        <f>((+P$68*'11. Ventas Mer. Local'!$F$25)/1000)*-1</f>
        <v>653.36</v>
      </c>
      <c r="Q30" s="157">
        <f>((+Q$68*'11. Ventas Mer. Local'!$G$25)/1000)*-1</f>
        <v>585.79512</v>
      </c>
      <c r="R30" s="152">
        <f t="shared" si="14"/>
        <v>-0.10341141177911106</v>
      </c>
      <c r="S30" s="156">
        <f>((+S$68*'11. Ventas Mer. Local'!$F$25)/1000)*-1</f>
        <v>2613.44</v>
      </c>
      <c r="T30" s="157">
        <f>((+T$68*'11. Ventas Mer. Local'!$G$25)/1000)*-1</f>
        <v>2343.18048</v>
      </c>
      <c r="U30" s="152">
        <f t="shared" si="15"/>
        <v>-0.10341141177911106</v>
      </c>
      <c r="V30" s="156"/>
      <c r="W30" s="157"/>
      <c r="X30" s="152" t="str">
        <f t="shared" si="16"/>
        <v>n.a.</v>
      </c>
      <c r="Y30" s="156"/>
      <c r="Z30" s="157"/>
      <c r="AA30" s="152" t="str">
        <f t="shared" si="17"/>
        <v>n.a.</v>
      </c>
      <c r="AB30" s="259">
        <f t="shared" si="18"/>
        <v>8167</v>
      </c>
      <c r="AC30" s="260">
        <f t="shared" si="18"/>
        <v>7322.4389999999994</v>
      </c>
      <c r="AD30" s="267">
        <f t="shared" si="19"/>
        <v>-0.10341141177911117</v>
      </c>
      <c r="AE30" s="131"/>
    </row>
    <row r="31" spans="2:45" s="132" customFormat="1" ht="18" customHeight="1" x14ac:dyDescent="0.15">
      <c r="B31" s="130"/>
      <c r="C31" s="153" t="s">
        <v>25</v>
      </c>
      <c r="D31" s="225">
        <f>-'10. Remolacha'!F26/1000</f>
        <v>200</v>
      </c>
      <c r="E31" s="157">
        <f>-'10. Remolacha'!G26/1000</f>
        <v>133.61500000000001</v>
      </c>
      <c r="F31" s="152">
        <f t="shared" si="10"/>
        <v>-0.33192499999999991</v>
      </c>
      <c r="G31" s="156">
        <f>(+'13. Maiz de Exportación'!F26/1000)*-1</f>
        <v>1400</v>
      </c>
      <c r="H31" s="157">
        <f>(+'13. Maiz de Exportación'!G26/1000)*-1</f>
        <v>2439.1010000000001</v>
      </c>
      <c r="I31" s="152">
        <f t="shared" si="11"/>
        <v>0.74221500000000007</v>
      </c>
      <c r="J31" s="156">
        <f>((+'15. Maiz Local'!F26)/1000)*-1</f>
        <v>6900</v>
      </c>
      <c r="K31" s="157">
        <f>((+'15. Maiz Local'!G26)/1000)*-1</f>
        <v>3367.4650000000001</v>
      </c>
      <c r="L31" s="152">
        <f t="shared" si="12"/>
        <v>-0.51196159420289855</v>
      </c>
      <c r="M31" s="156">
        <f>((+'16. Soya de Exportación'!F26)/1000)*-1</f>
        <v>10727.272999999999</v>
      </c>
      <c r="N31" s="157">
        <f>((+'16. Soya de Exportación'!G26)/1000)*-1</f>
        <v>12728.859</v>
      </c>
      <c r="O31" s="152">
        <f t="shared" si="13"/>
        <v>0.18658852067995291</v>
      </c>
      <c r="P31" s="224">
        <f>(+'17. Alfalfa'!F26/1000)*-1</f>
        <v>650</v>
      </c>
      <c r="Q31" s="225">
        <f>(+'17. Alfalfa'!G26/1000)*-1</f>
        <v>337.286</v>
      </c>
      <c r="R31" s="223">
        <f t="shared" si="14"/>
        <v>-0.48109846153846159</v>
      </c>
      <c r="S31" s="156">
        <f>((+'18. Canola y Girasol'!F26)/1000)*-1</f>
        <v>6250</v>
      </c>
      <c r="T31" s="157">
        <f>((+'18. Canola y Girasol'!G26)/1000)*-1</f>
        <v>4613.991</v>
      </c>
      <c r="U31" s="152">
        <f t="shared" si="15"/>
        <v>-0.26176144000000001</v>
      </c>
      <c r="V31" s="156"/>
      <c r="W31" s="157"/>
      <c r="X31" s="152" t="str">
        <f t="shared" si="16"/>
        <v>n.a.</v>
      </c>
      <c r="Y31" s="156"/>
      <c r="Z31" s="157"/>
      <c r="AA31" s="152" t="str">
        <f t="shared" si="17"/>
        <v>n.a.</v>
      </c>
      <c r="AB31" s="259">
        <f>+V31+S31+P31+M31+J31+G31+D31+Y31</f>
        <v>26127.273000000001</v>
      </c>
      <c r="AC31" s="259">
        <f>+W31+T31+Q31+N31+K31+H31+E31+Z31</f>
        <v>23620.316999999999</v>
      </c>
      <c r="AD31" s="267">
        <f t="shared" si="19"/>
        <v>-9.5951690021381153E-2</v>
      </c>
      <c r="AE31" s="131"/>
      <c r="AG31" s="132">
        <f>+AC30+AC33+14</f>
        <v>25919.409</v>
      </c>
    </row>
    <row r="32" spans="2:45" s="132" customFormat="1" ht="18" customHeight="1" x14ac:dyDescent="0.15">
      <c r="B32" s="130"/>
      <c r="C32" s="153" t="s">
        <v>26</v>
      </c>
      <c r="D32" s="156"/>
      <c r="E32" s="157"/>
      <c r="F32" s="152" t="str">
        <f t="shared" si="10"/>
        <v>n.a.</v>
      </c>
      <c r="G32" s="156">
        <v>0</v>
      </c>
      <c r="H32" s="157">
        <v>0</v>
      </c>
      <c r="I32" s="152" t="str">
        <f t="shared" si="11"/>
        <v>n.a.</v>
      </c>
      <c r="J32" s="156">
        <f>((+'15. Maiz Local'!F27)/1000)*-1</f>
        <v>0</v>
      </c>
      <c r="K32" s="157">
        <f>((+'15. Maiz Local'!G27)/1000)*-1</f>
        <v>0</v>
      </c>
      <c r="L32" s="152" t="str">
        <f t="shared" si="12"/>
        <v>n.a.</v>
      </c>
      <c r="M32" s="156">
        <v>0</v>
      </c>
      <c r="N32" s="157">
        <v>0</v>
      </c>
      <c r="O32" s="152" t="str">
        <f t="shared" si="13"/>
        <v>n.a.</v>
      </c>
      <c r="P32" s="156">
        <v>0</v>
      </c>
      <c r="Q32" s="157">
        <v>0</v>
      </c>
      <c r="R32" s="152" t="str">
        <f t="shared" si="14"/>
        <v>n.a.</v>
      </c>
      <c r="S32" s="156">
        <v>0</v>
      </c>
      <c r="T32" s="157">
        <v>0</v>
      </c>
      <c r="U32" s="152" t="str">
        <f t="shared" si="15"/>
        <v>n.a.</v>
      </c>
      <c r="V32" s="156"/>
      <c r="W32" s="157"/>
      <c r="X32" s="152" t="str">
        <f t="shared" si="16"/>
        <v>n.a.</v>
      </c>
      <c r="Y32" s="156"/>
      <c r="Z32" s="157"/>
      <c r="AA32" s="152" t="str">
        <f t="shared" si="17"/>
        <v>n.a.</v>
      </c>
      <c r="AB32" s="259">
        <f t="shared" si="18"/>
        <v>0</v>
      </c>
      <c r="AC32" s="260">
        <f t="shared" si="18"/>
        <v>0</v>
      </c>
      <c r="AD32" s="267" t="str">
        <f t="shared" si="19"/>
        <v>n.a.</v>
      </c>
      <c r="AE32" s="131"/>
    </row>
    <row r="33" spans="2:32" s="132" customFormat="1" ht="18" customHeight="1" x14ac:dyDescent="0.15">
      <c r="B33" s="130"/>
      <c r="C33" s="163" t="s">
        <v>27</v>
      </c>
      <c r="D33" s="156">
        <v>0</v>
      </c>
      <c r="E33" s="157">
        <v>0</v>
      </c>
      <c r="F33" s="152" t="str">
        <f t="shared" si="10"/>
        <v>n.a.</v>
      </c>
      <c r="G33" s="156">
        <v>0</v>
      </c>
      <c r="H33" s="157">
        <v>0</v>
      </c>
      <c r="I33" s="152" t="str">
        <f t="shared" si="11"/>
        <v>n.a.</v>
      </c>
      <c r="J33" s="156">
        <f>((+J$68*'11. Ventas Mer. Local'!$F$28)/1000)*-1</f>
        <v>19050.84</v>
      </c>
      <c r="K33" s="157">
        <f>((+K$68*'11. Ventas Mer. Local'!$G$28)/1000)*-1</f>
        <v>11149.781999999999</v>
      </c>
      <c r="L33" s="152">
        <f t="shared" si="12"/>
        <v>-0.41473541324162089</v>
      </c>
      <c r="M33" s="156">
        <v>0</v>
      </c>
      <c r="N33" s="157">
        <v>0</v>
      </c>
      <c r="O33" s="152" t="str">
        <f t="shared" si="13"/>
        <v>n.a.</v>
      </c>
      <c r="P33" s="156">
        <f>((+P$68*'11. Ventas Mer. Local'!$F$28)/1000)*-1</f>
        <v>2540.1120000000001</v>
      </c>
      <c r="Q33" s="157">
        <f>((+Q$68*'11. Ventas Mer. Local'!$G$28)/1000)*-1</f>
        <v>1486.6376</v>
      </c>
      <c r="R33" s="152">
        <f t="shared" si="14"/>
        <v>-0.41473541324162089</v>
      </c>
      <c r="S33" s="156">
        <f>((+S$68*'11. Ventas Mer. Local'!$F$28)/1000)*-1</f>
        <v>10160.448</v>
      </c>
      <c r="T33" s="157">
        <f>((+T$68*'11. Ventas Mer. Local'!$G$28)/1000)*-1</f>
        <v>5946.5504000000001</v>
      </c>
      <c r="U33" s="152">
        <f t="shared" si="15"/>
        <v>-0.41473541324162089</v>
      </c>
      <c r="V33" s="156"/>
      <c r="W33" s="157"/>
      <c r="X33" s="152" t="str">
        <f t="shared" si="16"/>
        <v>n.a.</v>
      </c>
      <c r="Y33" s="156"/>
      <c r="Z33" s="157"/>
      <c r="AA33" s="152" t="str">
        <f t="shared" si="17"/>
        <v>n.a.</v>
      </c>
      <c r="AB33" s="259">
        <f t="shared" si="18"/>
        <v>31751.4</v>
      </c>
      <c r="AC33" s="260">
        <f t="shared" si="18"/>
        <v>18582.97</v>
      </c>
      <c r="AD33" s="267">
        <f t="shared" si="19"/>
        <v>-0.41473541324162089</v>
      </c>
      <c r="AE33" s="131"/>
    </row>
    <row r="34" spans="2:32" s="132" customFormat="1" ht="18" customHeight="1" x14ac:dyDescent="0.15">
      <c r="B34" s="130"/>
      <c r="C34" s="153" t="s">
        <v>28</v>
      </c>
      <c r="D34" s="156"/>
      <c r="E34" s="157"/>
      <c r="F34" s="152" t="str">
        <f t="shared" si="10"/>
        <v>n.a.</v>
      </c>
      <c r="G34" s="156">
        <v>0</v>
      </c>
      <c r="H34" s="157">
        <v>0</v>
      </c>
      <c r="I34" s="152" t="str">
        <f t="shared" si="11"/>
        <v>n.a.</v>
      </c>
      <c r="J34" s="156">
        <f>((+'15. Maiz Local'!F29)/1000)*-1</f>
        <v>11451.8</v>
      </c>
      <c r="K34" s="157">
        <f>((+'15. Maiz Local'!G29)/1000)*-1</f>
        <v>13425.062</v>
      </c>
      <c r="L34" s="152">
        <f t="shared" si="12"/>
        <v>0.17231020450933476</v>
      </c>
      <c r="M34" s="156">
        <v>0</v>
      </c>
      <c r="N34" s="157">
        <v>0</v>
      </c>
      <c r="O34" s="152" t="str">
        <f t="shared" si="13"/>
        <v>n.a.</v>
      </c>
      <c r="P34" s="156">
        <v>0</v>
      </c>
      <c r="Q34" s="157">
        <f>(+'17. Alfalfa'!G29)/1000*-1</f>
        <v>46.615000000000002</v>
      </c>
      <c r="R34" s="152" t="str">
        <f t="shared" si="14"/>
        <v>n.a.</v>
      </c>
      <c r="S34" s="156">
        <f>((+'18. Canola y Girasol'!F29)/1000)*-1</f>
        <v>7201.6450000000004</v>
      </c>
      <c r="T34" s="157">
        <f>((+'18. Canola y Girasol'!G29)/1000)*-1</f>
        <v>9801.5669999999991</v>
      </c>
      <c r="U34" s="152">
        <f t="shared" si="15"/>
        <v>0.36101779523983746</v>
      </c>
      <c r="V34" s="156"/>
      <c r="W34" s="157"/>
      <c r="X34" s="152" t="str">
        <f t="shared" si="16"/>
        <v>n.a.</v>
      </c>
      <c r="Y34" s="156"/>
      <c r="Z34" s="157"/>
      <c r="AA34" s="152" t="str">
        <f t="shared" si="17"/>
        <v>n.a.</v>
      </c>
      <c r="AB34" s="259">
        <f t="shared" si="18"/>
        <v>18653.445</v>
      </c>
      <c r="AC34" s="260">
        <f t="shared" si="18"/>
        <v>23273.243999999999</v>
      </c>
      <c r="AD34" s="267">
        <f t="shared" si="19"/>
        <v>0.24766465390173242</v>
      </c>
      <c r="AE34" s="131"/>
    </row>
    <row r="35" spans="2:32" s="132" customFormat="1" ht="18" customHeight="1" x14ac:dyDescent="0.15">
      <c r="B35" s="130"/>
      <c r="C35" s="153" t="s">
        <v>29</v>
      </c>
      <c r="D35" s="156"/>
      <c r="E35" s="157"/>
      <c r="F35" s="152" t="str">
        <f t="shared" si="10"/>
        <v>n.a.</v>
      </c>
      <c r="G35" s="156"/>
      <c r="H35" s="157"/>
      <c r="I35" s="152" t="str">
        <f t="shared" si="11"/>
        <v>n.a.</v>
      </c>
      <c r="J35" s="156"/>
      <c r="K35" s="157"/>
      <c r="L35" s="152" t="str">
        <f t="shared" si="12"/>
        <v>n.a.</v>
      </c>
      <c r="M35" s="156"/>
      <c r="N35" s="157"/>
      <c r="O35" s="152" t="str">
        <f t="shared" si="13"/>
        <v>n.a.</v>
      </c>
      <c r="P35" s="156">
        <v>0</v>
      </c>
      <c r="Q35" s="157">
        <v>0</v>
      </c>
      <c r="R35" s="152" t="str">
        <f t="shared" si="14"/>
        <v>n.a.</v>
      </c>
      <c r="S35" s="156">
        <v>0</v>
      </c>
      <c r="T35" s="157">
        <v>0</v>
      </c>
      <c r="U35" s="152" t="str">
        <f t="shared" si="15"/>
        <v>n.a.</v>
      </c>
      <c r="V35" s="156"/>
      <c r="W35" s="157"/>
      <c r="X35" s="152" t="str">
        <f t="shared" si="16"/>
        <v>n.a.</v>
      </c>
      <c r="Y35" s="156"/>
      <c r="Z35" s="157"/>
      <c r="AA35" s="152" t="str">
        <f t="shared" si="17"/>
        <v>n.a.</v>
      </c>
      <c r="AB35" s="259">
        <f t="shared" si="18"/>
        <v>0</v>
      </c>
      <c r="AC35" s="260">
        <f t="shared" si="18"/>
        <v>0</v>
      </c>
      <c r="AD35" s="267" t="str">
        <f t="shared" si="19"/>
        <v>n.a.</v>
      </c>
      <c r="AE35" s="131"/>
    </row>
    <row r="36" spans="2:32" s="132" customFormat="1" ht="18" customHeight="1" x14ac:dyDescent="0.15">
      <c r="B36" s="130"/>
      <c r="C36" s="147" t="s">
        <v>30</v>
      </c>
      <c r="D36" s="151">
        <f>SUM(D29:D35)</f>
        <v>200</v>
      </c>
      <c r="E36" s="164">
        <f>SUM(E29:E35)</f>
        <v>133.61500000000001</v>
      </c>
      <c r="F36" s="152">
        <f t="shared" si="10"/>
        <v>-0.33192499999999991</v>
      </c>
      <c r="G36" s="151">
        <f>SUM(G29:G35)</f>
        <v>1400</v>
      </c>
      <c r="H36" s="164">
        <f>SUM(H29:H35)</f>
        <v>2439.1010000000001</v>
      </c>
      <c r="I36" s="152">
        <f t="shared" si="11"/>
        <v>0.74221500000000007</v>
      </c>
      <c r="J36" s="151">
        <f>SUM(J29:J35)</f>
        <v>86929.664000000004</v>
      </c>
      <c r="K36" s="164">
        <f>SUM(K29:K35)</f>
        <v>98569.860599999985</v>
      </c>
      <c r="L36" s="152">
        <f t="shared" si="12"/>
        <v>0.13390361890734992</v>
      </c>
      <c r="M36" s="151">
        <f>SUM(M29:M35)</f>
        <v>10727.272999999999</v>
      </c>
      <c r="N36" s="164">
        <f>SUM(N29:N35)</f>
        <v>12728.859</v>
      </c>
      <c r="O36" s="152">
        <f t="shared" si="13"/>
        <v>0.18658852067995291</v>
      </c>
      <c r="P36" s="151">
        <f>SUM(P29:P35)</f>
        <v>9793.7151999999987</v>
      </c>
      <c r="Q36" s="164">
        <f>SUM(Q29:Q35)</f>
        <v>11287.545480000001</v>
      </c>
      <c r="R36" s="152">
        <f t="shared" si="14"/>
        <v>0.15252947931342775</v>
      </c>
      <c r="S36" s="151">
        <f>SUM(S29:S35)</f>
        <v>50026.505799999999</v>
      </c>
      <c r="T36" s="164">
        <f>SUM(T29:T35)</f>
        <v>58030.135920000001</v>
      </c>
      <c r="U36" s="152">
        <f t="shared" si="15"/>
        <v>0.15998779031255062</v>
      </c>
      <c r="V36" s="151">
        <f>SUM(V29:V35)</f>
        <v>0</v>
      </c>
      <c r="W36" s="164">
        <f>SUM(W29:W35)</f>
        <v>0</v>
      </c>
      <c r="X36" s="152" t="str">
        <f t="shared" si="16"/>
        <v>n.a.</v>
      </c>
      <c r="Y36" s="151">
        <f>SUM(Y29:Y35)</f>
        <v>0</v>
      </c>
      <c r="Z36" s="164">
        <f>SUM(Z29:Z35)</f>
        <v>0</v>
      </c>
      <c r="AA36" s="152" t="str">
        <f t="shared" si="17"/>
        <v>n.a.</v>
      </c>
      <c r="AB36" s="259">
        <f>SUM(AB29:AB35)</f>
        <v>159077.15800000002</v>
      </c>
      <c r="AC36" s="259">
        <f>SUM(AC29:AC35)</f>
        <v>183189.117</v>
      </c>
      <c r="AD36" s="266">
        <f t="shared" si="19"/>
        <v>0.15157398650534093</v>
      </c>
      <c r="AE36" s="131"/>
    </row>
    <row r="37" spans="2:32" s="132" customFormat="1" ht="18" customHeight="1" x14ac:dyDescent="0.15">
      <c r="B37" s="130"/>
      <c r="C37" s="147"/>
      <c r="D37" s="148"/>
      <c r="E37" s="149"/>
      <c r="F37" s="152"/>
      <c r="G37" s="148"/>
      <c r="H37" s="149"/>
      <c r="I37" s="152"/>
      <c r="J37" s="148"/>
      <c r="K37" s="149"/>
      <c r="L37" s="152"/>
      <c r="M37" s="148"/>
      <c r="N37" s="149"/>
      <c r="O37" s="152"/>
      <c r="P37" s="148"/>
      <c r="Q37" s="149"/>
      <c r="R37" s="152"/>
      <c r="S37" s="148"/>
      <c r="T37" s="149"/>
      <c r="U37" s="152"/>
      <c r="V37" s="148"/>
      <c r="W37" s="149"/>
      <c r="X37" s="152"/>
      <c r="Y37" s="148"/>
      <c r="Z37" s="149"/>
      <c r="AA37" s="152"/>
      <c r="AB37" s="259"/>
      <c r="AC37" s="260"/>
      <c r="AD37" s="267"/>
      <c r="AE37" s="131"/>
    </row>
    <row r="38" spans="2:32" s="132" customFormat="1" ht="18" customHeight="1" x14ac:dyDescent="0.15">
      <c r="B38" s="130"/>
      <c r="C38" s="153" t="s">
        <v>23</v>
      </c>
      <c r="D38" s="154">
        <f>(+D$67*'1. Administracion (Informe 2)'!$H40/1000)*-1</f>
        <v>2069.0509000000002</v>
      </c>
      <c r="E38" s="155">
        <f>(+E$67*'1. Administracion (Informe 2)'!$I40/1000)*-1</f>
        <v>2044.92481</v>
      </c>
      <c r="F38" s="152">
        <f t="shared" si="10"/>
        <v>-1.1660462292155449E-2</v>
      </c>
      <c r="G38" s="154">
        <f>(+G$67*'1. Administracion (Informe 2)'!$H40/1000)*-1</f>
        <v>10138.349410000001</v>
      </c>
      <c r="H38" s="155">
        <f>(+H$67*'1. Administracion (Informe 2)'!$I40/1000)*-1</f>
        <v>10020.131569000001</v>
      </c>
      <c r="I38" s="152">
        <f t="shared" si="11"/>
        <v>-1.1660462292155227E-2</v>
      </c>
      <c r="J38" s="154">
        <f>((+J$67*'1. Administracion (Informe 2)'!$H40)/1000)*-1</f>
        <v>28345.997330000002</v>
      </c>
      <c r="K38" s="155">
        <f>((+K$67*'1. Administracion (Informe 2)'!$I40)/1000)*-1</f>
        <v>28015.469897000003</v>
      </c>
      <c r="L38" s="152">
        <f t="shared" si="12"/>
        <v>-1.1660462292155227E-2</v>
      </c>
      <c r="M38" s="154">
        <f>((+M$67*'1. Administracion (Informe 2)'!$H40)/1000)*-1</f>
        <v>55036.753940000002</v>
      </c>
      <c r="N38" s="155">
        <f>((+N$67*'1. Administracion (Informe 2)'!$I40)/1000)*-1</f>
        <v>54394.999946000004</v>
      </c>
      <c r="O38" s="152">
        <f t="shared" si="13"/>
        <v>-1.1660462292155338E-2</v>
      </c>
      <c r="P38" s="154">
        <f>((+P$67*'1. Administracion (Informe 2)'!$H40)/1000)*-1</f>
        <v>4551.9119799999999</v>
      </c>
      <c r="Q38" s="155">
        <f>((+Q$67*'1. Administracion (Informe 2)'!$I40)/1000)*-1</f>
        <v>4498.8345819999995</v>
      </c>
      <c r="R38" s="152">
        <f t="shared" si="14"/>
        <v>-1.1660462292155338E-2</v>
      </c>
      <c r="S38" s="154">
        <f>((+S$67*'1. Administracion (Informe 2)'!$H40)/1000)*-1</f>
        <v>81520.605460000006</v>
      </c>
      <c r="T38" s="155">
        <f>((+T$67*'1. Administracion (Informe 2)'!$I40)/1000)*-1</f>
        <v>80570.037513999996</v>
      </c>
      <c r="U38" s="152">
        <f t="shared" si="15"/>
        <v>-1.1660462292155449E-2</v>
      </c>
      <c r="V38" s="154">
        <f>((+V$67*'1. Administracion (Informe 2)'!$H40)/1000)*-1</f>
        <v>25242.420979999999</v>
      </c>
      <c r="W38" s="155">
        <f>((+W$67*'1. Administracion (Informe 2)'!$I40)/1000)*-1</f>
        <v>24948.082682</v>
      </c>
      <c r="X38" s="152">
        <f t="shared" si="16"/>
        <v>-1.1660462292155227E-2</v>
      </c>
      <c r="Y38" s="154"/>
      <c r="Z38" s="155"/>
      <c r="AA38" s="152" t="str">
        <f t="shared" si="17"/>
        <v>n.a.</v>
      </c>
      <c r="AB38" s="259">
        <f t="shared" ref="AB38:AC41" si="20">+V38+S38+P38+M38+J38+G38+D38+Y38</f>
        <v>206905.09000000003</v>
      </c>
      <c r="AC38" s="260">
        <f t="shared" si="20"/>
        <v>204492.481</v>
      </c>
      <c r="AD38" s="267">
        <f t="shared" si="19"/>
        <v>-1.1660462292155449E-2</v>
      </c>
      <c r="AE38" s="131"/>
    </row>
    <row r="39" spans="2:32" s="132" customFormat="1" ht="18" customHeight="1" x14ac:dyDescent="0.15">
      <c r="B39" s="130"/>
      <c r="C39" s="153" t="s">
        <v>31</v>
      </c>
      <c r="D39" s="154">
        <f>(+D$67*'1. Administracion (Informe 2)'!$H41/1000)*-1</f>
        <v>530.52589</v>
      </c>
      <c r="E39" s="155">
        <f>(+E$67*'1. Administracion (Informe 2)'!$I41/1000)*-1</f>
        <v>318.21204999999998</v>
      </c>
      <c r="F39" s="152">
        <f t="shared" si="10"/>
        <v>-0.40019505928353472</v>
      </c>
      <c r="G39" s="154">
        <f>(+G$67*'1. Administracion (Informe 2)'!$H41/1000)*-1</f>
        <v>2599.576861</v>
      </c>
      <c r="H39" s="155">
        <f>(+H$67*'1. Administracion (Informe 2)'!$I41/1000)*-1</f>
        <v>1559.2390450000003</v>
      </c>
      <c r="I39" s="152">
        <f t="shared" si="11"/>
        <v>-0.4001950592835346</v>
      </c>
      <c r="J39" s="154">
        <f>((+J$67*'1. Administracion (Informe 2)'!$H41)/1000)*-1</f>
        <v>7268.2046930000006</v>
      </c>
      <c r="K39" s="155">
        <f>((+K$67*'1. Administracion (Informe 2)'!$I41)/1000)*-1</f>
        <v>4359.5050849999998</v>
      </c>
      <c r="L39" s="152">
        <f t="shared" si="12"/>
        <v>-0.40019505928353472</v>
      </c>
      <c r="M39" s="154">
        <f>((+M$67*'1. Administracion (Informe 2)'!$H41)/1000)*-1</f>
        <v>14111.988674</v>
      </c>
      <c r="N39" s="155">
        <f>((+N$67*'1. Administracion (Informe 2)'!$I41)/1000)*-1</f>
        <v>8464.4405300000017</v>
      </c>
      <c r="O39" s="152">
        <f t="shared" si="13"/>
        <v>-0.4001950592835346</v>
      </c>
      <c r="P39" s="154">
        <f>((+P$67*'1. Administracion (Informe 2)'!$H41)/1000)*-1</f>
        <v>1167.1569579999998</v>
      </c>
      <c r="Q39" s="155">
        <f>((+Q$67*'1. Administracion (Informe 2)'!$I41)/1000)*-1</f>
        <v>700.06650999999999</v>
      </c>
      <c r="R39" s="152">
        <f t="shared" si="14"/>
        <v>-0.4001950592835346</v>
      </c>
      <c r="S39" s="154">
        <f>((+S$67*'1. Administracion (Informe 2)'!$H41)/1000)*-1</f>
        <v>20902.720065999998</v>
      </c>
      <c r="T39" s="155">
        <f>((+T$67*'1. Administracion (Informe 2)'!$I41)/1000)*-1</f>
        <v>12537.554770000001</v>
      </c>
      <c r="U39" s="152">
        <f t="shared" si="15"/>
        <v>-0.4001950592835346</v>
      </c>
      <c r="V39" s="154">
        <f>((+V$67*'1. Administracion (Informe 2)'!$H41)/1000)*-1</f>
        <v>6472.4158580000003</v>
      </c>
      <c r="W39" s="155">
        <f>((+W$67*'1. Administracion (Informe 2)'!$I41)/1000)*-1</f>
        <v>3882.1870099999996</v>
      </c>
      <c r="X39" s="152">
        <f t="shared" si="16"/>
        <v>-0.40019505928353472</v>
      </c>
      <c r="Y39" s="154"/>
      <c r="Z39" s="155"/>
      <c r="AA39" s="152" t="str">
        <f t="shared" si="17"/>
        <v>n.a.</v>
      </c>
      <c r="AB39" s="259">
        <f t="shared" si="20"/>
        <v>53052.589</v>
      </c>
      <c r="AC39" s="260">
        <f t="shared" si="20"/>
        <v>31821.204999999998</v>
      </c>
      <c r="AD39" s="267">
        <f t="shared" si="19"/>
        <v>-0.40019505928353472</v>
      </c>
      <c r="AE39" s="131"/>
    </row>
    <row r="40" spans="2:32" s="132" customFormat="1" ht="18" customHeight="1" x14ac:dyDescent="0.15">
      <c r="B40" s="130"/>
      <c r="C40" s="153" t="s">
        <v>32</v>
      </c>
      <c r="D40" s="154">
        <v>0</v>
      </c>
      <c r="E40" s="155">
        <v>0</v>
      </c>
      <c r="F40" s="152" t="str">
        <f t="shared" si="10"/>
        <v>n.a.</v>
      </c>
      <c r="G40" s="154">
        <v>0</v>
      </c>
      <c r="H40" s="155">
        <v>0</v>
      </c>
      <c r="I40" s="152" t="str">
        <f t="shared" si="11"/>
        <v>n.a.</v>
      </c>
      <c r="J40" s="154">
        <v>0</v>
      </c>
      <c r="K40" s="155">
        <v>0</v>
      </c>
      <c r="L40" s="152" t="str">
        <f t="shared" si="12"/>
        <v>n.a.</v>
      </c>
      <c r="M40" s="154">
        <v>0</v>
      </c>
      <c r="N40" s="155">
        <v>0</v>
      </c>
      <c r="O40" s="152" t="str">
        <f t="shared" si="13"/>
        <v>n.a.</v>
      </c>
      <c r="P40" s="154">
        <v>0</v>
      </c>
      <c r="Q40" s="155">
        <v>0</v>
      </c>
      <c r="R40" s="152" t="str">
        <f t="shared" si="14"/>
        <v>n.a.</v>
      </c>
      <c r="S40" s="154">
        <v>0</v>
      </c>
      <c r="T40" s="155">
        <v>0</v>
      </c>
      <c r="U40" s="152" t="str">
        <f t="shared" si="15"/>
        <v>n.a.</v>
      </c>
      <c r="V40" s="154">
        <v>0</v>
      </c>
      <c r="W40" s="155">
        <v>0</v>
      </c>
      <c r="X40" s="152" t="str">
        <f t="shared" si="16"/>
        <v>n.a.</v>
      </c>
      <c r="Y40" s="154"/>
      <c r="Z40" s="155"/>
      <c r="AA40" s="152" t="str">
        <f t="shared" si="17"/>
        <v>n.a.</v>
      </c>
      <c r="AB40" s="259">
        <f t="shared" si="20"/>
        <v>0</v>
      </c>
      <c r="AC40" s="260">
        <f t="shared" si="20"/>
        <v>0</v>
      </c>
      <c r="AD40" s="267" t="str">
        <f t="shared" si="19"/>
        <v>n.a.</v>
      </c>
      <c r="AE40" s="131"/>
    </row>
    <row r="41" spans="2:32" s="132" customFormat="1" ht="18" customHeight="1" x14ac:dyDescent="0.15">
      <c r="B41" s="130"/>
      <c r="C41" s="153" t="s">
        <v>33</v>
      </c>
      <c r="D41" s="154"/>
      <c r="E41" s="155"/>
      <c r="F41" s="152" t="str">
        <f t="shared" si="10"/>
        <v>n.a.</v>
      </c>
      <c r="G41" s="154"/>
      <c r="H41" s="155"/>
      <c r="I41" s="152" t="str">
        <f t="shared" si="11"/>
        <v>n.a.</v>
      </c>
      <c r="J41" s="154">
        <v>0</v>
      </c>
      <c r="K41" s="155">
        <v>0</v>
      </c>
      <c r="L41" s="152" t="str">
        <f t="shared" si="12"/>
        <v>n.a.</v>
      </c>
      <c r="M41" s="154"/>
      <c r="N41" s="155"/>
      <c r="O41" s="152" t="str">
        <f t="shared" si="13"/>
        <v>n.a.</v>
      </c>
      <c r="P41" s="154"/>
      <c r="Q41" s="155"/>
      <c r="R41" s="152" t="str">
        <f t="shared" si="14"/>
        <v>n.a.</v>
      </c>
      <c r="S41" s="154"/>
      <c r="T41" s="155"/>
      <c r="U41" s="152" t="str">
        <f t="shared" si="15"/>
        <v>n.a.</v>
      </c>
      <c r="V41" s="154"/>
      <c r="W41" s="155"/>
      <c r="X41" s="152" t="str">
        <f t="shared" si="16"/>
        <v>n.a.</v>
      </c>
      <c r="Y41" s="154"/>
      <c r="Z41" s="155"/>
      <c r="AA41" s="152" t="str">
        <f t="shared" si="17"/>
        <v>n.a.</v>
      </c>
      <c r="AB41" s="259">
        <f t="shared" si="20"/>
        <v>0</v>
      </c>
      <c r="AC41" s="260">
        <f t="shared" si="20"/>
        <v>0</v>
      </c>
      <c r="AD41" s="267" t="str">
        <f t="shared" si="19"/>
        <v>n.a.</v>
      </c>
      <c r="AE41" s="131"/>
      <c r="AF41" s="132">
        <f>+AC42+AC36</f>
        <v>419502.80299999996</v>
      </c>
    </row>
    <row r="42" spans="2:32" s="132" customFormat="1" ht="18" customHeight="1" x14ac:dyDescent="0.15">
      <c r="B42" s="130"/>
      <c r="C42" s="147" t="s">
        <v>34</v>
      </c>
      <c r="D42" s="148">
        <f>SUM(D38:D41)</f>
        <v>2599.5767900000001</v>
      </c>
      <c r="E42" s="149">
        <f>SUM(E38:E41)</f>
        <v>2363.1368600000001</v>
      </c>
      <c r="F42" s="150">
        <f t="shared" si="10"/>
        <v>-9.095323935401034E-2</v>
      </c>
      <c r="G42" s="148">
        <f>SUM(G38:G41)</f>
        <v>12737.926271</v>
      </c>
      <c r="H42" s="149">
        <f>SUM(H38:H41)</f>
        <v>11579.370614000001</v>
      </c>
      <c r="I42" s="150">
        <f t="shared" si="11"/>
        <v>-9.095323935401034E-2</v>
      </c>
      <c r="J42" s="148">
        <f>SUM(J38:J41)</f>
        <v>35614.202023000005</v>
      </c>
      <c r="K42" s="149">
        <f>SUM(K38:K41)</f>
        <v>32374.974982000003</v>
      </c>
      <c r="L42" s="150">
        <f t="shared" si="12"/>
        <v>-9.0953239354010451E-2</v>
      </c>
      <c r="M42" s="148">
        <f>SUM(M38:M41)</f>
        <v>69148.742614000003</v>
      </c>
      <c r="N42" s="149">
        <f>SUM(N38:N41)</f>
        <v>62859.440476000003</v>
      </c>
      <c r="O42" s="150">
        <f t="shared" si="13"/>
        <v>-9.095323935401034E-2</v>
      </c>
      <c r="P42" s="148">
        <f>SUM(P38:P41)</f>
        <v>5719.0689379999994</v>
      </c>
      <c r="Q42" s="149">
        <f>SUM(Q38:Q41)</f>
        <v>5198.9010919999992</v>
      </c>
      <c r="R42" s="150">
        <f t="shared" si="14"/>
        <v>-9.0953239354010451E-2</v>
      </c>
      <c r="S42" s="148">
        <f>SUM(S38:S41)</f>
        <v>102423.325526</v>
      </c>
      <c r="T42" s="149">
        <f>SUM(T38:T41)</f>
        <v>93107.592283999998</v>
      </c>
      <c r="U42" s="150">
        <f t="shared" si="15"/>
        <v>-9.0953239354010451E-2</v>
      </c>
      <c r="V42" s="148">
        <f>SUM(V38:V41)</f>
        <v>31714.836837999999</v>
      </c>
      <c r="W42" s="149">
        <f>SUM(W38:W41)</f>
        <v>28830.269692000002</v>
      </c>
      <c r="X42" s="150">
        <f t="shared" si="16"/>
        <v>-9.095323935401034E-2</v>
      </c>
      <c r="Y42" s="148">
        <f>SUM(Y38:Y41)</f>
        <v>0</v>
      </c>
      <c r="Z42" s="149">
        <f>SUM(Z38:Z41)</f>
        <v>0</v>
      </c>
      <c r="AA42" s="150" t="str">
        <f t="shared" si="17"/>
        <v>n.a.</v>
      </c>
      <c r="AB42" s="259">
        <f>SUM(AB38:AB41)</f>
        <v>259957.67900000003</v>
      </c>
      <c r="AC42" s="259">
        <f>SUM(AC38:AC41)</f>
        <v>236313.68599999999</v>
      </c>
      <c r="AD42" s="266">
        <f t="shared" si="19"/>
        <v>-9.0953239354010562E-2</v>
      </c>
      <c r="AE42" s="131"/>
    </row>
    <row r="43" spans="2:32" s="132" customFormat="1" ht="18" customHeight="1" x14ac:dyDescent="0.15">
      <c r="B43" s="130"/>
      <c r="C43" s="147"/>
      <c r="D43" s="148"/>
      <c r="E43" s="149"/>
      <c r="F43" s="152"/>
      <c r="G43" s="148"/>
      <c r="H43" s="149"/>
      <c r="I43" s="152"/>
      <c r="J43" s="148"/>
      <c r="K43" s="149"/>
      <c r="L43" s="152"/>
      <c r="M43" s="148"/>
      <c r="N43" s="149"/>
      <c r="O43" s="152"/>
      <c r="P43" s="148"/>
      <c r="Q43" s="149"/>
      <c r="R43" s="152"/>
      <c r="S43" s="148"/>
      <c r="T43" s="149"/>
      <c r="U43" s="152"/>
      <c r="V43" s="148"/>
      <c r="W43" s="149"/>
      <c r="X43" s="152"/>
      <c r="Y43" s="148"/>
      <c r="Z43" s="149"/>
      <c r="AA43" s="152"/>
      <c r="AB43" s="259"/>
      <c r="AC43" s="260"/>
      <c r="AD43" s="267"/>
      <c r="AE43" s="131"/>
    </row>
    <row r="44" spans="2:32" s="132" customFormat="1" ht="18" customHeight="1" x14ac:dyDescent="0.15">
      <c r="B44" s="130"/>
      <c r="C44" s="159" t="s">
        <v>35</v>
      </c>
      <c r="D44" s="160">
        <f>+D27-D36-D42</f>
        <v>-1262.9187900000006</v>
      </c>
      <c r="E44" s="255">
        <f>+E27-E36-E42</f>
        <v>-3212.6048599999999</v>
      </c>
      <c r="F44" s="250">
        <f t="shared" si="10"/>
        <v>1.5437936987223053</v>
      </c>
      <c r="G44" s="249">
        <f>+G27-G36-G42</f>
        <v>-30325.88217600001</v>
      </c>
      <c r="H44" s="253">
        <f>+H27-H36-H42</f>
        <v>-124724.23342400002</v>
      </c>
      <c r="I44" s="250">
        <f t="shared" si="11"/>
        <v>3.1127981933105024</v>
      </c>
      <c r="J44" s="249">
        <f>+J27-J36-J42</f>
        <v>-198266.78168499999</v>
      </c>
      <c r="K44" s="253">
        <f>+K27-K36-K42</f>
        <v>-202252.64970599994</v>
      </c>
      <c r="L44" s="250">
        <f t="shared" si="12"/>
        <v>2.0103559391671411E-2</v>
      </c>
      <c r="M44" s="249">
        <f>+M27-M36-M42</f>
        <v>-251749.37740699999</v>
      </c>
      <c r="N44" s="253">
        <f>+N27-N36-N42</f>
        <v>-201008.53126200009</v>
      </c>
      <c r="O44" s="250">
        <f t="shared" si="13"/>
        <v>-0.2015530154140871</v>
      </c>
      <c r="P44" s="249">
        <f>+P27-P36-P42</f>
        <v>-8015.7841379999982</v>
      </c>
      <c r="Q44" s="253">
        <f>+Q27-Q36-Q42</f>
        <v>-11710.235572000005</v>
      </c>
      <c r="R44" s="250">
        <f t="shared" si="14"/>
        <v>0.46089707137769831</v>
      </c>
      <c r="S44" s="249">
        <f>+S27-S36-S42</f>
        <v>522596.39803399984</v>
      </c>
      <c r="T44" s="253">
        <f>+T27-T36-T42</f>
        <v>589421.80951599986</v>
      </c>
      <c r="U44" s="250">
        <f t="shared" si="15"/>
        <v>0.12787193278292053</v>
      </c>
      <c r="V44" s="249">
        <f>+V27-V36-V42</f>
        <v>15027.194162000018</v>
      </c>
      <c r="W44" s="253">
        <f>+W27-W36-W42</f>
        <v>-32918.145692000049</v>
      </c>
      <c r="X44" s="250">
        <f t="shared" si="16"/>
        <v>-3.1905716620899018</v>
      </c>
      <c r="Y44" s="249">
        <f>+Y27-Y36-Y42</f>
        <v>0</v>
      </c>
      <c r="Z44" s="253">
        <f>+Z27-Z36-Z42</f>
        <v>43078.364000000001</v>
      </c>
      <c r="AA44" s="250" t="str">
        <f t="shared" si="17"/>
        <v>n.a.</v>
      </c>
      <c r="AB44" s="257">
        <f>+AB27-AB36-AB42</f>
        <v>48002.847999999503</v>
      </c>
      <c r="AC44" s="258">
        <f>+AC27-AC36-AC42</f>
        <v>56673.773000000394</v>
      </c>
      <c r="AD44" s="268">
        <f t="shared" si="19"/>
        <v>0.18063355324252806</v>
      </c>
      <c r="AE44" s="131"/>
      <c r="AF44" s="132">
        <f>575640+256111</f>
        <v>831751</v>
      </c>
    </row>
    <row r="45" spans="2:32" s="132" customFormat="1" ht="18" customHeight="1" x14ac:dyDescent="0.15">
      <c r="B45" s="130"/>
      <c r="C45" s="147"/>
      <c r="D45" s="148"/>
      <c r="E45" s="149"/>
      <c r="F45" s="152"/>
      <c r="G45" s="148"/>
      <c r="H45" s="149"/>
      <c r="I45" s="152"/>
      <c r="J45" s="148"/>
      <c r="K45" s="149"/>
      <c r="L45" s="152"/>
      <c r="M45" s="148"/>
      <c r="N45" s="149"/>
      <c r="O45" s="152"/>
      <c r="P45" s="148"/>
      <c r="Q45" s="149"/>
      <c r="R45" s="152"/>
      <c r="S45" s="148"/>
      <c r="T45" s="149"/>
      <c r="U45" s="152"/>
      <c r="V45" s="148"/>
      <c r="W45" s="149"/>
      <c r="X45" s="152"/>
      <c r="Y45" s="148"/>
      <c r="Z45" s="149"/>
      <c r="AA45" s="152"/>
      <c r="AB45" s="259"/>
      <c r="AC45" s="260"/>
      <c r="AD45" s="267"/>
      <c r="AE45" s="131"/>
      <c r="AF45" s="132">
        <f>+AF44-AC44</f>
        <v>775077.22699999961</v>
      </c>
    </row>
    <row r="46" spans="2:32" s="132" customFormat="1" ht="18" customHeight="1" x14ac:dyDescent="0.2">
      <c r="B46" s="130"/>
      <c r="C46" s="147" t="s">
        <v>36</v>
      </c>
      <c r="D46" s="156">
        <f>+'10. Remolacha'!F97</f>
        <v>0</v>
      </c>
      <c r="E46" s="252">
        <f>+'10. Remolacha'!G97</f>
        <v>0</v>
      </c>
      <c r="F46" s="152" t="str">
        <f t="shared" si="10"/>
        <v>n.a.</v>
      </c>
      <c r="G46" s="156">
        <f>+'1. Administracion (Informe 2)'!$H$48*G71</f>
        <v>0</v>
      </c>
      <c r="H46" s="256">
        <f>((+'1. Administracion (Informe 2)'!$I$48*H71)/1000)*-1</f>
        <v>110998.12577777776</v>
      </c>
      <c r="I46" s="152" t="str">
        <f t="shared" si="11"/>
        <v>n.a.</v>
      </c>
      <c r="J46" s="156">
        <f>+'1. Administracion (Informe 2)'!$H$48*J71</f>
        <v>0</v>
      </c>
      <c r="K46" s="252">
        <f>((+'1. Administracion (Informe 2)'!$I$48*K71)/1000)*-1</f>
        <v>7928.4375555555562</v>
      </c>
      <c r="L46" s="152" t="str">
        <f t="shared" si="12"/>
        <v>n.a.</v>
      </c>
      <c r="M46" s="156">
        <f>+'1. Administracion (Informe 2)'!$H$48*M71</f>
        <v>0</v>
      </c>
      <c r="N46" s="157">
        <f>((+'1. Administracion (Informe 2)'!$I$48*N71)/1000)*-1</f>
        <v>20613.937644444442</v>
      </c>
      <c r="O46" s="152" t="str">
        <f t="shared" si="13"/>
        <v>n.a.</v>
      </c>
      <c r="P46" s="156">
        <f>+'1. Administracion (Informe 2)'!$H$48*P71</f>
        <v>0</v>
      </c>
      <c r="Q46" s="254">
        <f>+'1. Administracion (Informe 2)'!$I$48*Q71</f>
        <v>0</v>
      </c>
      <c r="R46" s="223" t="str">
        <f t="shared" si="14"/>
        <v>n.a.</v>
      </c>
      <c r="S46" s="156">
        <f>+'1. Administracion (Informe 2)'!$H$48*S71</f>
        <v>0</v>
      </c>
      <c r="T46" s="254">
        <f>((+'1. Administracion (Informe 2)'!$I$48*T71)/1000)*-1</f>
        <v>17442.562622222224</v>
      </c>
      <c r="U46" s="223" t="str">
        <f t="shared" si="15"/>
        <v>n.a.</v>
      </c>
      <c r="V46" s="156">
        <f>+'1. Administracion (Informe 2)'!$H$48*V71</f>
        <v>0</v>
      </c>
      <c r="W46" s="254">
        <f>((+'1. Administracion (Informe 2)'!$I$48*W71)/1000)*-1</f>
        <v>1585.6875111111112</v>
      </c>
      <c r="X46" s="223" t="str">
        <f t="shared" si="16"/>
        <v>n.a.</v>
      </c>
      <c r="Y46" s="156">
        <f>+'1. Administracion (Informe 2)'!$H$48*Y71</f>
        <v>0</v>
      </c>
      <c r="Z46" s="252">
        <f>+'1. Administracion (Informe 2)'!$I$48*Z71</f>
        <v>0</v>
      </c>
      <c r="AA46" s="152" t="str">
        <f t="shared" si="17"/>
        <v>n.a.</v>
      </c>
      <c r="AB46" s="259">
        <f>+V46+S46+P46+M46+J46+G46+D46+Y46</f>
        <v>0</v>
      </c>
      <c r="AC46" s="260">
        <f>+W46+T46+Q46+N46+K46+H46+E46+Z46</f>
        <v>158568.75111111108</v>
      </c>
      <c r="AD46" s="267" t="str">
        <f t="shared" si="19"/>
        <v>n.a.</v>
      </c>
      <c r="AE46" s="131"/>
    </row>
    <row r="47" spans="2:32" s="132" customFormat="1" ht="18" customHeight="1" x14ac:dyDescent="0.15">
      <c r="B47" s="130"/>
      <c r="C47" s="147"/>
      <c r="D47" s="148"/>
      <c r="E47" s="226"/>
      <c r="F47" s="152"/>
      <c r="G47" s="148"/>
      <c r="H47" s="149"/>
      <c r="I47" s="152"/>
      <c r="J47" s="148"/>
      <c r="K47" s="226"/>
      <c r="L47" s="152"/>
      <c r="M47" s="148"/>
      <c r="N47" s="149"/>
      <c r="O47" s="152"/>
      <c r="P47" s="148"/>
      <c r="Q47" s="226"/>
      <c r="R47" s="152"/>
      <c r="S47" s="148"/>
      <c r="T47" s="226"/>
      <c r="U47" s="152"/>
      <c r="V47" s="148"/>
      <c r="W47" s="226"/>
      <c r="X47" s="152"/>
      <c r="Y47" s="148"/>
      <c r="Z47" s="149"/>
      <c r="AA47" s="152"/>
      <c r="AB47" s="259"/>
      <c r="AC47" s="260"/>
      <c r="AD47" s="267"/>
      <c r="AE47" s="131"/>
    </row>
    <row r="48" spans="2:32" s="132" customFormat="1" ht="18" customHeight="1" x14ac:dyDescent="0.15">
      <c r="B48" s="130"/>
      <c r="C48" s="159" t="s">
        <v>37</v>
      </c>
      <c r="D48" s="249">
        <f>+D44-D46</f>
        <v>-1262.9187900000006</v>
      </c>
      <c r="E48" s="253">
        <f>+E44-E46</f>
        <v>-3212.6048599999999</v>
      </c>
      <c r="F48" s="250">
        <f t="shared" si="10"/>
        <v>1.5437936987223053</v>
      </c>
      <c r="G48" s="160">
        <f>+G44-G46</f>
        <v>-30325.88217600001</v>
      </c>
      <c r="H48" s="255">
        <f>+H44-H46</f>
        <v>-235722.35920177778</v>
      </c>
      <c r="I48" s="250">
        <f t="shared" si="11"/>
        <v>6.7729761605526893</v>
      </c>
      <c r="J48" s="249">
        <f>+J44-J46</f>
        <v>-198266.78168499999</v>
      </c>
      <c r="K48" s="161">
        <f>+K44-K46</f>
        <v>-210181.08726155548</v>
      </c>
      <c r="L48" s="250">
        <f t="shared" si="12"/>
        <v>6.0092293198588109E-2</v>
      </c>
      <c r="M48" s="249">
        <f>+M44-M46</f>
        <v>-251749.37740699999</v>
      </c>
      <c r="N48" s="253">
        <f>+N44-N46</f>
        <v>-221622.46890644453</v>
      </c>
      <c r="O48" s="250">
        <f t="shared" si="13"/>
        <v>-0.11967024034323503</v>
      </c>
      <c r="P48" s="249">
        <f>+P44-P46</f>
        <v>-8015.7841379999982</v>
      </c>
      <c r="Q48" s="161">
        <f>+Q44-Q46</f>
        <v>-11710.235572000005</v>
      </c>
      <c r="R48" s="250">
        <f t="shared" si="14"/>
        <v>0.46089707137769831</v>
      </c>
      <c r="S48" s="249">
        <f>+S44-S46</f>
        <v>522596.39803399984</v>
      </c>
      <c r="T48" s="161">
        <f>+T44-T46</f>
        <v>571979.24689377763</v>
      </c>
      <c r="U48" s="250">
        <f t="shared" si="15"/>
        <v>9.4495195614733296E-2</v>
      </c>
      <c r="V48" s="249">
        <f>+V44-V46</f>
        <v>15027.194162000018</v>
      </c>
      <c r="W48" s="253">
        <f>+W44-W46</f>
        <v>-34503.833203111164</v>
      </c>
      <c r="X48" s="250">
        <f t="shared" si="16"/>
        <v>-3.2960928587961318</v>
      </c>
      <c r="Y48" s="249">
        <f>+Y44-Y46</f>
        <v>0</v>
      </c>
      <c r="Z48" s="161">
        <f>+Z44-Z46</f>
        <v>43078.364000000001</v>
      </c>
      <c r="AA48" s="250" t="str">
        <f t="shared" si="17"/>
        <v>n.a.</v>
      </c>
      <c r="AB48" s="257">
        <f>+AB44-AB46</f>
        <v>48002.847999999503</v>
      </c>
      <c r="AC48" s="258">
        <f>+AC44-AC46</f>
        <v>-101894.97811111069</v>
      </c>
      <c r="AD48" s="268">
        <f t="shared" si="19"/>
        <v>-3.1226860979396833</v>
      </c>
      <c r="AE48" s="131"/>
    </row>
    <row r="49" spans="2:32" s="132" customFormat="1" ht="18" customHeight="1" x14ac:dyDescent="0.15">
      <c r="B49" s="130"/>
      <c r="C49" s="147"/>
      <c r="D49" s="148"/>
      <c r="E49" s="226"/>
      <c r="F49" s="152"/>
      <c r="G49" s="148"/>
      <c r="H49" s="149"/>
      <c r="I49" s="152"/>
      <c r="J49" s="148"/>
      <c r="K49" s="149"/>
      <c r="L49" s="152"/>
      <c r="M49" s="148"/>
      <c r="N49" s="149"/>
      <c r="O49" s="152"/>
      <c r="P49" s="148"/>
      <c r="Q49" s="226"/>
      <c r="R49" s="152"/>
      <c r="S49" s="148"/>
      <c r="T49" s="226"/>
      <c r="U49" s="152"/>
      <c r="V49" s="148"/>
      <c r="W49" s="226"/>
      <c r="X49" s="152"/>
      <c r="Y49" s="148"/>
      <c r="Z49" s="149"/>
      <c r="AA49" s="152"/>
      <c r="AB49" s="259"/>
      <c r="AC49" s="260"/>
      <c r="AD49" s="267"/>
      <c r="AE49" s="131"/>
    </row>
    <row r="50" spans="2:32" s="132" customFormat="1" ht="18" customHeight="1" x14ac:dyDescent="0.15">
      <c r="B50" s="130"/>
      <c r="C50" s="153" t="s">
        <v>38</v>
      </c>
      <c r="D50" s="154">
        <f>+D$67*'1. Administracion (Informe 2)'!$H52/1000</f>
        <v>0</v>
      </c>
      <c r="E50" s="155">
        <f>+E$67*'1. Administracion (Informe 2)'!$I52/1000</f>
        <v>720.46306000000004</v>
      </c>
      <c r="F50" s="152" t="str">
        <f t="shared" si="10"/>
        <v>n.a.</v>
      </c>
      <c r="G50" s="154">
        <f>+G$67*'1. Administracion (Informe 2)'!$H52/1000</f>
        <v>0</v>
      </c>
      <c r="H50" s="155">
        <f>+H$67*'1. Administracion (Informe 2)'!$I52/1000</f>
        <v>3530.268994</v>
      </c>
      <c r="I50" s="152" t="str">
        <f t="shared" si="11"/>
        <v>n.a.</v>
      </c>
      <c r="J50" s="154">
        <f>+J$67*'1. Administracion (Informe 2)'!$H52/1000</f>
        <v>0</v>
      </c>
      <c r="K50" s="155">
        <f>+K$67*'1. Administracion (Informe 2)'!$I52/1000</f>
        <v>9870.343922</v>
      </c>
      <c r="L50" s="152" t="str">
        <f t="shared" si="12"/>
        <v>n.a.</v>
      </c>
      <c r="M50" s="154">
        <f>+M$67*'1. Administracion (Informe 2)'!$H52/1000</f>
        <v>0</v>
      </c>
      <c r="N50" s="155">
        <f>+N$67*'1. Administracion (Informe 2)'!$I52/1000</f>
        <v>19164.317396000002</v>
      </c>
      <c r="O50" s="152" t="str">
        <f t="shared" si="13"/>
        <v>n.a.</v>
      </c>
      <c r="P50" s="154">
        <f>+P$67*'1. Administracion (Informe 2)'!$H52/1000</f>
        <v>0</v>
      </c>
      <c r="Q50" s="155">
        <f>+Q$67*'1. Administracion (Informe 2)'!$I52/1000</f>
        <v>1585.0187319999998</v>
      </c>
      <c r="R50" s="152" t="str">
        <f t="shared" si="14"/>
        <v>n.a.</v>
      </c>
      <c r="S50" s="154">
        <f>+S$67*'1. Administracion (Informe 2)'!$H52/1000</f>
        <v>0</v>
      </c>
      <c r="T50" s="155">
        <f>+T$67*'1. Administracion (Informe 2)'!$I52/1000</f>
        <v>28386.244564000004</v>
      </c>
      <c r="U50" s="152" t="str">
        <f t="shared" si="15"/>
        <v>n.a.</v>
      </c>
      <c r="V50" s="154">
        <f>+V$67*'1. Administracion (Informe 2)'!$H52/1000</f>
        <v>0</v>
      </c>
      <c r="W50" s="155">
        <f>+W$67*'1. Administracion (Informe 2)'!$I52/1000</f>
        <v>8789.6493320000009</v>
      </c>
      <c r="X50" s="152" t="str">
        <f t="shared" si="16"/>
        <v>n.a.</v>
      </c>
      <c r="Y50" s="154">
        <f>+Y$67*'1. Administracion (Informe 2)'!$H52/1000</f>
        <v>0</v>
      </c>
      <c r="Z50" s="155">
        <f>+Z$67*'1. Administracion (Informe 2)'!$I52/1000</f>
        <v>0</v>
      </c>
      <c r="AA50" s="152" t="str">
        <f t="shared" si="17"/>
        <v>n.a.</v>
      </c>
      <c r="AB50" s="259">
        <f t="shared" ref="AB50:AC56" si="21">+V50+S50+P50+M50+J50+G50+D50+Y50</f>
        <v>0</v>
      </c>
      <c r="AC50" s="260">
        <f t="shared" si="21"/>
        <v>72046.305999999997</v>
      </c>
      <c r="AD50" s="267" t="str">
        <f t="shared" si="19"/>
        <v>n.a.</v>
      </c>
      <c r="AE50" s="131"/>
    </row>
    <row r="51" spans="2:32" s="132" customFormat="1" ht="18" customHeight="1" x14ac:dyDescent="0.15">
      <c r="B51" s="130"/>
      <c r="C51" s="153" t="s">
        <v>39</v>
      </c>
      <c r="D51" s="154">
        <f>+D$67*'1. Administracion (Informe 2)'!$H53/1000</f>
        <v>0</v>
      </c>
      <c r="E51" s="155">
        <f>+E$67*'1. Administracion (Informe 2)'!$I53/1000</f>
        <v>-327.66038000000003</v>
      </c>
      <c r="F51" s="152" t="str">
        <f t="shared" si="10"/>
        <v>n.a.</v>
      </c>
      <c r="G51" s="154">
        <f>+G$67*'1. Administracion (Informe 2)'!$H53/1000</f>
        <v>0</v>
      </c>
      <c r="H51" s="155">
        <f>+H$67*'1. Administracion (Informe 2)'!$I53/1000</f>
        <v>-1605.535862</v>
      </c>
      <c r="I51" s="152" t="str">
        <f t="shared" si="11"/>
        <v>n.a.</v>
      </c>
      <c r="J51" s="154">
        <f>+J$67*'1. Administracion (Informe 2)'!$H53/1000</f>
        <v>0</v>
      </c>
      <c r="K51" s="155">
        <f>+K$67*'1. Administracion (Informe 2)'!$I53/1000</f>
        <v>-4488.9472059999998</v>
      </c>
      <c r="L51" s="152" t="str">
        <f t="shared" si="12"/>
        <v>n.a.</v>
      </c>
      <c r="M51" s="154">
        <f>+M$67*'1. Administracion (Informe 2)'!$H53/1000</f>
        <v>0</v>
      </c>
      <c r="N51" s="155">
        <f>+N$67*'1. Administracion (Informe 2)'!$I53/1000</f>
        <v>-8715.7661080000016</v>
      </c>
      <c r="O51" s="152" t="str">
        <f t="shared" si="13"/>
        <v>n.a.</v>
      </c>
      <c r="P51" s="154">
        <f>+P$67*'1. Administracion (Informe 2)'!$H53/1000</f>
        <v>0</v>
      </c>
      <c r="Q51" s="155">
        <f>+Q$67*'1. Administracion (Informe 2)'!$I53/1000</f>
        <v>-720.85283600000002</v>
      </c>
      <c r="R51" s="152" t="str">
        <f t="shared" si="14"/>
        <v>n.a.</v>
      </c>
      <c r="S51" s="154">
        <f>+S$67*'1. Administracion (Informe 2)'!$H53/1000</f>
        <v>0</v>
      </c>
      <c r="T51" s="155">
        <f>+T$67*'1. Administracion (Informe 2)'!$I53/1000</f>
        <v>-12909.818972000001</v>
      </c>
      <c r="U51" s="152" t="str">
        <f t="shared" si="15"/>
        <v>n.a.</v>
      </c>
      <c r="V51" s="154">
        <f>+V$67*'1. Administracion (Informe 2)'!$H53/1000</f>
        <v>0</v>
      </c>
      <c r="W51" s="155">
        <f>+W$67*'1. Administracion (Informe 2)'!$I53/1000</f>
        <v>-3997.4566359999999</v>
      </c>
      <c r="X51" s="152" t="str">
        <f t="shared" si="16"/>
        <v>n.a.</v>
      </c>
      <c r="Y51" s="154">
        <f>+Y$67*'1. Administracion (Informe 2)'!$H53/1000</f>
        <v>0</v>
      </c>
      <c r="Z51" s="155">
        <f>+Z$67*'1. Administracion (Informe 2)'!$I53/1000</f>
        <v>0</v>
      </c>
      <c r="AA51" s="152" t="str">
        <f t="shared" si="17"/>
        <v>n.a.</v>
      </c>
      <c r="AB51" s="259">
        <f t="shared" si="21"/>
        <v>0</v>
      </c>
      <c r="AC51" s="260">
        <f t="shared" si="21"/>
        <v>-32766.038000000008</v>
      </c>
      <c r="AD51" s="267" t="str">
        <f t="shared" si="19"/>
        <v>n.a.</v>
      </c>
      <c r="AE51" s="131"/>
    </row>
    <row r="52" spans="2:32" s="132" customFormat="1" ht="18" customHeight="1" x14ac:dyDescent="0.15">
      <c r="B52" s="130"/>
      <c r="C52" s="153" t="s">
        <v>40</v>
      </c>
      <c r="D52" s="154">
        <f>+D$67*'1. Administracion (Informe 2)'!$H54/1000</f>
        <v>0</v>
      </c>
      <c r="E52" s="155">
        <f>+E$67*'1. Administracion (Informe 2)'!$I54/1000</f>
        <v>1123.5681200000001</v>
      </c>
      <c r="F52" s="152" t="str">
        <f t="shared" si="10"/>
        <v>n.a.</v>
      </c>
      <c r="G52" s="154">
        <f>+G$67*'1. Administracion (Informe 2)'!$H54/1000</f>
        <v>0</v>
      </c>
      <c r="H52" s="155">
        <f>+H$67*'1. Administracion (Informe 2)'!$I54/1000</f>
        <v>5505.4837880000005</v>
      </c>
      <c r="I52" s="152" t="str">
        <f t="shared" si="11"/>
        <v>n.a.</v>
      </c>
      <c r="J52" s="154">
        <f>+J$67*'1. Administracion (Informe 2)'!$H54/1000</f>
        <v>0</v>
      </c>
      <c r="K52" s="155">
        <f>+K$67*'1. Administracion (Informe 2)'!$I54/1000</f>
        <v>15392.883244000001</v>
      </c>
      <c r="L52" s="152" t="str">
        <f t="shared" si="12"/>
        <v>n.a.</v>
      </c>
      <c r="M52" s="154">
        <f>+M$67*'1. Administracion (Informe 2)'!$H54/1000</f>
        <v>0</v>
      </c>
      <c r="N52" s="155">
        <f>+N$67*'1. Administracion (Informe 2)'!$I54/1000</f>
        <v>29886.911992000001</v>
      </c>
      <c r="O52" s="152" t="str">
        <f t="shared" si="13"/>
        <v>n.a.</v>
      </c>
      <c r="P52" s="154">
        <f>+P$67*'1. Administracion (Informe 2)'!$H54/1000</f>
        <v>0</v>
      </c>
      <c r="Q52" s="155">
        <f>+Q$67*'1. Administracion (Informe 2)'!$I54/1000</f>
        <v>2471.8498640000003</v>
      </c>
      <c r="R52" s="152" t="str">
        <f t="shared" si="14"/>
        <v>n.a.</v>
      </c>
      <c r="S52" s="154">
        <f>+S$67*'1. Administracion (Informe 2)'!$H54/1000</f>
        <v>0</v>
      </c>
      <c r="T52" s="155">
        <f>+T$67*'1. Administracion (Informe 2)'!$I54/1000</f>
        <v>44268.583928</v>
      </c>
      <c r="U52" s="152" t="str">
        <f t="shared" si="15"/>
        <v>n.a.</v>
      </c>
      <c r="V52" s="154">
        <f>+V$67*'1. Administracion (Informe 2)'!$H54/1000</f>
        <v>0</v>
      </c>
      <c r="W52" s="155">
        <f>+W$67*'1. Administracion (Informe 2)'!$I54/1000</f>
        <v>13707.531063999999</v>
      </c>
      <c r="X52" s="152" t="str">
        <f t="shared" si="16"/>
        <v>n.a.</v>
      </c>
      <c r="Y52" s="154">
        <f>+Y$67*'1. Administracion (Informe 2)'!$H54/1000</f>
        <v>0</v>
      </c>
      <c r="Z52" s="155">
        <f>+Z$67*'1. Administracion (Informe 2)'!$I54/1000</f>
        <v>0</v>
      </c>
      <c r="AA52" s="152" t="str">
        <f t="shared" si="17"/>
        <v>n.a.</v>
      </c>
      <c r="AB52" s="259">
        <f t="shared" si="21"/>
        <v>0</v>
      </c>
      <c r="AC52" s="260">
        <f t="shared" si="21"/>
        <v>112356.81200000001</v>
      </c>
      <c r="AD52" s="267" t="str">
        <f t="shared" si="19"/>
        <v>n.a.</v>
      </c>
      <c r="AE52" s="131"/>
      <c r="AF52" s="132">
        <f>100000000/240*12</f>
        <v>5000000</v>
      </c>
    </row>
    <row r="53" spans="2:32" s="132" customFormat="1" ht="18" customHeight="1" x14ac:dyDescent="0.15">
      <c r="B53" s="130"/>
      <c r="C53" s="153" t="s">
        <v>41</v>
      </c>
      <c r="D53" s="154">
        <f>+D$67*'1. Administracion (Informe 2)'!$H55/1000</f>
        <v>0</v>
      </c>
      <c r="E53" s="155">
        <f>+E$67*'1. Administracion (Informe 2)'!$I55/1000</f>
        <v>0</v>
      </c>
      <c r="F53" s="152" t="str">
        <f t="shared" si="10"/>
        <v>n.a.</v>
      </c>
      <c r="G53" s="154">
        <f>+G$67*'1. Administracion (Informe 2)'!$H55/1000</f>
        <v>0</v>
      </c>
      <c r="H53" s="155">
        <f>+H$67*'1. Administracion (Informe 2)'!$I55/1000</f>
        <v>0</v>
      </c>
      <c r="I53" s="152" t="str">
        <f t="shared" si="11"/>
        <v>n.a.</v>
      </c>
      <c r="J53" s="154">
        <f>+J$67*'1. Administracion (Informe 2)'!$H55/1000</f>
        <v>0</v>
      </c>
      <c r="K53" s="155">
        <f>+K$67*'1. Administracion (Informe 2)'!$I55/1000</f>
        <v>0</v>
      </c>
      <c r="L53" s="152" t="str">
        <f t="shared" si="12"/>
        <v>n.a.</v>
      </c>
      <c r="M53" s="154">
        <f>+M$67*'1. Administracion (Informe 2)'!$H55/1000</f>
        <v>0</v>
      </c>
      <c r="N53" s="155">
        <f>+N$67*'1. Administracion (Informe 2)'!$I55/1000</f>
        <v>0</v>
      </c>
      <c r="O53" s="152" t="str">
        <f t="shared" si="13"/>
        <v>n.a.</v>
      </c>
      <c r="P53" s="154">
        <f>+P$67*'1. Administracion (Informe 2)'!$H55/1000</f>
        <v>0</v>
      </c>
      <c r="Q53" s="155">
        <f>+Q$67*'1. Administracion (Informe 2)'!$I55/1000</f>
        <v>0</v>
      </c>
      <c r="R53" s="152" t="str">
        <f t="shared" si="14"/>
        <v>n.a.</v>
      </c>
      <c r="S53" s="154">
        <f>+S$67*'1. Administracion (Informe 2)'!$H55/1000</f>
        <v>0</v>
      </c>
      <c r="T53" s="155">
        <f>+T$67*'1. Administracion (Informe 2)'!$I55/1000</f>
        <v>0</v>
      </c>
      <c r="U53" s="152" t="str">
        <f t="shared" si="15"/>
        <v>n.a.</v>
      </c>
      <c r="V53" s="154">
        <f>+V$67*'1. Administracion (Informe 2)'!$H55/1000</f>
        <v>0</v>
      </c>
      <c r="W53" s="155">
        <f>+W$67*'1. Administracion (Informe 2)'!$I55/1000</f>
        <v>0</v>
      </c>
      <c r="X53" s="152" t="str">
        <f t="shared" si="16"/>
        <v>n.a.</v>
      </c>
      <c r="Y53" s="154">
        <f>+Y$67*'1. Administracion (Informe 2)'!$H55/1000</f>
        <v>0</v>
      </c>
      <c r="Z53" s="155">
        <f>+Z$67*'1. Administracion (Informe 2)'!$I55/1000</f>
        <v>0</v>
      </c>
      <c r="AA53" s="152" t="str">
        <f t="shared" si="17"/>
        <v>n.a.</v>
      </c>
      <c r="AB53" s="259">
        <f t="shared" si="21"/>
        <v>0</v>
      </c>
      <c r="AC53" s="260">
        <f t="shared" si="21"/>
        <v>0</v>
      </c>
      <c r="AD53" s="267" t="str">
        <f t="shared" si="19"/>
        <v>n.a.</v>
      </c>
      <c r="AE53" s="131"/>
    </row>
    <row r="54" spans="2:32" s="132" customFormat="1" ht="18" customHeight="1" x14ac:dyDescent="0.15">
      <c r="B54" s="130"/>
      <c r="C54" s="153" t="s">
        <v>42</v>
      </c>
      <c r="D54" s="154">
        <f>+D$67*'1. Administracion (Informe 2)'!$H56/1000</f>
        <v>0</v>
      </c>
      <c r="E54" s="155">
        <f>+E$67*'1. Administracion (Informe 2)'!$I56/1000</f>
        <v>-491.75518</v>
      </c>
      <c r="F54" s="152" t="str">
        <f t="shared" si="10"/>
        <v>n.a.</v>
      </c>
      <c r="G54" s="154">
        <f>+G$67*'1. Administracion (Informe 2)'!$H56/1000</f>
        <v>0</v>
      </c>
      <c r="H54" s="155">
        <f>+H$67*'1. Administracion (Informe 2)'!$I56/1000</f>
        <v>-2409.6003820000001</v>
      </c>
      <c r="I54" s="152" t="str">
        <f t="shared" si="11"/>
        <v>n.a.</v>
      </c>
      <c r="J54" s="154">
        <f>+J$67*'1. Administracion (Informe 2)'!$H56/1000</f>
        <v>0</v>
      </c>
      <c r="K54" s="155">
        <f>+K$67*'1. Administracion (Informe 2)'!$I56/1000</f>
        <v>-6737.0459660000006</v>
      </c>
      <c r="L54" s="152" t="str">
        <f t="shared" si="12"/>
        <v>n.a.</v>
      </c>
      <c r="M54" s="154">
        <f>+M$67*'1. Administracion (Informe 2)'!$H56/1000</f>
        <v>0</v>
      </c>
      <c r="N54" s="155">
        <f>+N$67*'1. Administracion (Informe 2)'!$I56/1000</f>
        <v>-13080.687788000001</v>
      </c>
      <c r="O54" s="152" t="str">
        <f t="shared" si="13"/>
        <v>n.a.</v>
      </c>
      <c r="P54" s="154">
        <f>+P$67*'1. Administracion (Informe 2)'!$H56/1000</f>
        <v>0</v>
      </c>
      <c r="Q54" s="155">
        <f>+Q$67*'1. Administracion (Informe 2)'!$I56/1000</f>
        <v>-1081.861396</v>
      </c>
      <c r="R54" s="152" t="str">
        <f t="shared" si="14"/>
        <v>n.a.</v>
      </c>
      <c r="S54" s="154">
        <f>+S$67*'1. Administracion (Informe 2)'!$H56/1000</f>
        <v>0</v>
      </c>
      <c r="T54" s="155">
        <f>+T$67*'1. Administracion (Informe 2)'!$I56/1000</f>
        <v>-19375.154092000001</v>
      </c>
      <c r="U54" s="152" t="str">
        <f t="shared" si="15"/>
        <v>n.a.</v>
      </c>
      <c r="V54" s="154">
        <f>+V$67*'1. Administracion (Informe 2)'!$H56/1000</f>
        <v>0</v>
      </c>
      <c r="W54" s="155">
        <f>+W$67*'1. Administracion (Informe 2)'!$I56/1000</f>
        <v>-5999.4131959999995</v>
      </c>
      <c r="X54" s="152" t="str">
        <f t="shared" si="16"/>
        <v>n.a.</v>
      </c>
      <c r="Y54" s="154">
        <f>+Y$67*'1. Administracion (Informe 2)'!$H56/1000</f>
        <v>0</v>
      </c>
      <c r="Z54" s="155">
        <f>+Z$67*'1. Administracion (Informe 2)'!$I56/1000</f>
        <v>0</v>
      </c>
      <c r="AA54" s="152" t="str">
        <f t="shared" si="17"/>
        <v>n.a.</v>
      </c>
      <c r="AB54" s="259">
        <f t="shared" si="21"/>
        <v>0</v>
      </c>
      <c r="AC54" s="260">
        <f t="shared" si="21"/>
        <v>-49175.517999999996</v>
      </c>
      <c r="AD54" s="267" t="str">
        <f t="shared" si="19"/>
        <v>n.a.</v>
      </c>
      <c r="AE54" s="131"/>
    </row>
    <row r="55" spans="2:32" s="132" customFormat="1" ht="18" customHeight="1" x14ac:dyDescent="0.15">
      <c r="B55" s="130"/>
      <c r="C55" s="153" t="s">
        <v>43</v>
      </c>
      <c r="D55" s="154">
        <f>+D$67*'1. Administracion (Informe 2)'!$H57/1000</f>
        <v>0</v>
      </c>
      <c r="E55" s="155">
        <f>+E$67*'1. Administracion (Informe 2)'!$I57/1000+'10. Remolacha'!G50/1000</f>
        <v>-2138.2145799999998</v>
      </c>
      <c r="F55" s="152" t="str">
        <f t="shared" si="10"/>
        <v>n.a.</v>
      </c>
      <c r="G55" s="154">
        <f>+G$67*'1. Administracion (Informe 2)'!$H57/1000</f>
        <v>0</v>
      </c>
      <c r="H55" s="155">
        <f>+H$67*'1. Administracion (Informe 2)'!$I57/1000+'13. Maiz de Exportación'!G50/1000</f>
        <v>6590.3939580000006</v>
      </c>
      <c r="I55" s="152" t="str">
        <f t="shared" si="11"/>
        <v>n.a.</v>
      </c>
      <c r="J55" s="154">
        <f>+J$67*'1. Administracion (Informe 2)'!$H57/1000</f>
        <v>0</v>
      </c>
      <c r="K55" s="155">
        <f>+K$67*'1. Administracion (Informe 2)'!$I57/1000+'15. Maiz Local'!G50/1000</f>
        <v>4735.0134539999999</v>
      </c>
      <c r="L55" s="152" t="str">
        <f t="shared" si="12"/>
        <v>n.a.</v>
      </c>
      <c r="M55" s="154">
        <f>+M$67*'1. Administracion (Informe 2)'!$H57/1000</f>
        <v>0</v>
      </c>
      <c r="N55" s="155">
        <f>+N$67*'1. Administracion (Informe 2)'!$I57/1000+'16. Soya de Exportación'!G50/1000</f>
        <v>37255.701772</v>
      </c>
      <c r="O55" s="152" t="str">
        <f t="shared" si="13"/>
        <v>n.a.</v>
      </c>
      <c r="P55" s="154">
        <f>+P$67*'1. Administracion (Informe 2)'!$H57/1000</f>
        <v>0</v>
      </c>
      <c r="Q55" s="155">
        <f>+Q$67*'1. Administracion (Informe 2)'!$I57/1000+'17. Alfalfa'!G50/1000</f>
        <v>-981.49487600000009</v>
      </c>
      <c r="R55" s="152" t="str">
        <f t="shared" si="14"/>
        <v>n.a.</v>
      </c>
      <c r="S55" s="154">
        <f>+S$67*'1. Administracion (Informe 2)'!$H57/1000</f>
        <v>0</v>
      </c>
      <c r="T55" s="155">
        <f>+T$67*'1. Administracion (Informe 2)'!$I57/1000+'18. Canola y Girasol'!G50/1000</f>
        <v>15633.095948000002</v>
      </c>
      <c r="U55" s="152" t="str">
        <f t="shared" si="15"/>
        <v>n.a.</v>
      </c>
      <c r="V55" s="154">
        <f>+V$67*'1. Administracion (Informe 2)'!$H57/1000</f>
        <v>0</v>
      </c>
      <c r="W55" s="155">
        <f>+W$67*'1. Administracion (Informe 2)'!$I57/1000</f>
        <v>4216.5813239999998</v>
      </c>
      <c r="X55" s="152" t="str">
        <f t="shared" si="16"/>
        <v>n.a.</v>
      </c>
      <c r="Y55" s="154">
        <f>+Y$67*'1. Administracion (Informe 2)'!$H57/1000</f>
        <v>0</v>
      </c>
      <c r="Z55" s="155">
        <f>+Z$67*'1. Administracion (Informe 2)'!$I57/1000</f>
        <v>0</v>
      </c>
      <c r="AA55" s="152" t="str">
        <f t="shared" si="17"/>
        <v>n.a.</v>
      </c>
      <c r="AB55" s="259">
        <f t="shared" si="21"/>
        <v>0</v>
      </c>
      <c r="AC55" s="260">
        <f t="shared" si="21"/>
        <v>65311.077000000005</v>
      </c>
      <c r="AD55" s="267" t="str">
        <f t="shared" si="19"/>
        <v>n.a.</v>
      </c>
      <c r="AE55" s="131"/>
    </row>
    <row r="56" spans="2:32" s="132" customFormat="1" ht="18" customHeight="1" x14ac:dyDescent="0.15">
      <c r="B56" s="130"/>
      <c r="C56" s="147" t="s">
        <v>44</v>
      </c>
      <c r="D56" s="148">
        <f>SUM(D50:D55)</f>
        <v>0</v>
      </c>
      <c r="E56" s="149">
        <f>SUM(E50:E55)</f>
        <v>-1113.5989599999998</v>
      </c>
      <c r="F56" s="150" t="str">
        <f t="shared" si="10"/>
        <v>n.a.</v>
      </c>
      <c r="G56" s="148">
        <f>SUM(G50:G55)</f>
        <v>0</v>
      </c>
      <c r="H56" s="149">
        <f>SUM(H50:H55)</f>
        <v>11611.010496000001</v>
      </c>
      <c r="I56" s="150" t="str">
        <f t="shared" si="11"/>
        <v>n.a.</v>
      </c>
      <c r="J56" s="148">
        <f>SUM(J50:J55)</f>
        <v>0</v>
      </c>
      <c r="K56" s="149">
        <f>SUM(K50:K55)</f>
        <v>18772.247447999998</v>
      </c>
      <c r="L56" s="150" t="str">
        <f t="shared" si="12"/>
        <v>n.a.</v>
      </c>
      <c r="M56" s="148">
        <f>SUM(M50:M55)</f>
        <v>0</v>
      </c>
      <c r="N56" s="149">
        <f>SUM(N50:N55)</f>
        <v>64510.477264000001</v>
      </c>
      <c r="O56" s="150" t="str">
        <f t="shared" si="13"/>
        <v>n.a.</v>
      </c>
      <c r="P56" s="148">
        <f>SUM(P50:P55)</f>
        <v>0</v>
      </c>
      <c r="Q56" s="149">
        <f>SUM(Q50:Q55)</f>
        <v>1272.6594879999998</v>
      </c>
      <c r="R56" s="150" t="str">
        <f t="shared" si="14"/>
        <v>n.a.</v>
      </c>
      <c r="S56" s="148">
        <f>SUM(S50:S55)</f>
        <v>0</v>
      </c>
      <c r="T56" s="149">
        <f>SUM(T50:T55)</f>
        <v>56002.951376000012</v>
      </c>
      <c r="U56" s="150" t="str">
        <f t="shared" si="15"/>
        <v>n.a.</v>
      </c>
      <c r="V56" s="148">
        <f>SUM(V50:V55)</f>
        <v>0</v>
      </c>
      <c r="W56" s="149">
        <f>SUM(W50:W55)</f>
        <v>16716.891888000002</v>
      </c>
      <c r="X56" s="150" t="str">
        <f t="shared" si="16"/>
        <v>n.a.</v>
      </c>
      <c r="Y56" s="148">
        <f>SUM(Y50:Y55)</f>
        <v>0</v>
      </c>
      <c r="Z56" s="149">
        <f>SUM(Z50:Z55)</f>
        <v>0</v>
      </c>
      <c r="AA56" s="150" t="str">
        <f t="shared" si="17"/>
        <v>n.a.</v>
      </c>
      <c r="AB56" s="259">
        <f t="shared" si="21"/>
        <v>0</v>
      </c>
      <c r="AC56" s="260">
        <f t="shared" si="21"/>
        <v>167772.63900000002</v>
      </c>
      <c r="AD56" s="266" t="str">
        <f t="shared" si="19"/>
        <v>n.a.</v>
      </c>
      <c r="AE56" s="131"/>
    </row>
    <row r="57" spans="2:32" s="132" customFormat="1" ht="18" customHeight="1" x14ac:dyDescent="0.15">
      <c r="B57" s="130"/>
      <c r="C57" s="147"/>
      <c r="D57" s="148"/>
      <c r="E57" s="149"/>
      <c r="F57" s="152"/>
      <c r="G57" s="148"/>
      <c r="H57" s="149"/>
      <c r="I57" s="152"/>
      <c r="J57" s="148"/>
      <c r="K57" s="149"/>
      <c r="L57" s="152"/>
      <c r="M57" s="148"/>
      <c r="N57" s="149"/>
      <c r="O57" s="152"/>
      <c r="P57" s="148"/>
      <c r="Q57" s="149"/>
      <c r="R57" s="152"/>
      <c r="S57" s="148"/>
      <c r="T57" s="149"/>
      <c r="U57" s="152"/>
      <c r="V57" s="148"/>
      <c r="W57" s="149"/>
      <c r="X57" s="152"/>
      <c r="Y57" s="148"/>
      <c r="Z57" s="149"/>
      <c r="AA57" s="152"/>
      <c r="AB57" s="259"/>
      <c r="AC57" s="260"/>
      <c r="AD57" s="267"/>
      <c r="AE57" s="131"/>
    </row>
    <row r="58" spans="2:32" s="167" customFormat="1" ht="18" customHeight="1" x14ac:dyDescent="0.15">
      <c r="B58" s="165"/>
      <c r="C58" s="147" t="s">
        <v>45</v>
      </c>
      <c r="D58" s="148">
        <f>+D48+D56</f>
        <v>-1262.9187900000006</v>
      </c>
      <c r="E58" s="149">
        <f>+E48+E56</f>
        <v>-4326.2038199999997</v>
      </c>
      <c r="F58" s="150">
        <f t="shared" si="10"/>
        <v>2.4255597859938387</v>
      </c>
      <c r="G58" s="148">
        <f>+G48+G56</f>
        <v>-30325.88217600001</v>
      </c>
      <c r="H58" s="149">
        <f>+H48+H56</f>
        <v>-224111.34870577778</v>
      </c>
      <c r="I58" s="150">
        <f t="shared" si="11"/>
        <v>6.3901015444536728</v>
      </c>
      <c r="J58" s="148">
        <f>+J48+J56</f>
        <v>-198266.78168499999</v>
      </c>
      <c r="K58" s="149">
        <f>+K48+K56</f>
        <v>-191408.83981355547</v>
      </c>
      <c r="L58" s="150">
        <f t="shared" si="12"/>
        <v>-3.4589464826943139E-2</v>
      </c>
      <c r="M58" s="148">
        <f>+M48+M56</f>
        <v>-251749.37740699999</v>
      </c>
      <c r="N58" s="149">
        <f>+N48+N56</f>
        <v>-157111.99164244451</v>
      </c>
      <c r="O58" s="150">
        <f t="shared" si="13"/>
        <v>-0.37591904591508263</v>
      </c>
      <c r="P58" s="148">
        <f>+P48+P56</f>
        <v>-8015.7841379999982</v>
      </c>
      <c r="Q58" s="149">
        <f>+Q48+Q56</f>
        <v>-10437.576084000006</v>
      </c>
      <c r="R58" s="150">
        <f t="shared" si="14"/>
        <v>0.3021278897118933</v>
      </c>
      <c r="S58" s="148">
        <f>+S48+S56</f>
        <v>522596.39803399984</v>
      </c>
      <c r="T58" s="149">
        <f>+T48+T56</f>
        <v>627982.1982697777</v>
      </c>
      <c r="U58" s="150">
        <f t="shared" si="15"/>
        <v>0.20165810677654439</v>
      </c>
      <c r="V58" s="148">
        <f>+V48+V56</f>
        <v>15027.194162000018</v>
      </c>
      <c r="W58" s="149">
        <f>+W48+W56</f>
        <v>-17786.941315111162</v>
      </c>
      <c r="X58" s="150">
        <f t="shared" si="16"/>
        <v>-2.1836501959953276</v>
      </c>
      <c r="Y58" s="148">
        <f>+Y48+Y56</f>
        <v>0</v>
      </c>
      <c r="Z58" s="149">
        <f>+Z48+Z56</f>
        <v>43078.364000000001</v>
      </c>
      <c r="AA58" s="150" t="str">
        <f t="shared" si="17"/>
        <v>n.a.</v>
      </c>
      <c r="AB58" s="259">
        <f>+V58+S58+P58+M58+J58+G58+D58+Y58</f>
        <v>48002.847999999816</v>
      </c>
      <c r="AC58" s="260">
        <f>+W58+T58+Q58+N58+K58+H58+E58+Z58</f>
        <v>65877.660888888757</v>
      </c>
      <c r="AD58" s="266">
        <f t="shared" si="19"/>
        <v>0.37236984124127415</v>
      </c>
      <c r="AE58" s="166"/>
      <c r="AF58" s="132"/>
    </row>
    <row r="59" spans="2:32" s="132" customFormat="1" ht="18" customHeight="1" x14ac:dyDescent="0.15">
      <c r="B59" s="130"/>
      <c r="C59" s="147"/>
      <c r="D59" s="148"/>
      <c r="E59" s="149"/>
      <c r="F59" s="152"/>
      <c r="G59" s="148"/>
      <c r="H59" s="149"/>
      <c r="I59" s="152"/>
      <c r="J59" s="148"/>
      <c r="K59" s="149"/>
      <c r="L59" s="152"/>
      <c r="M59" s="148"/>
      <c r="N59" s="149"/>
      <c r="O59" s="152"/>
      <c r="P59" s="148"/>
      <c r="Q59" s="149"/>
      <c r="R59" s="152"/>
      <c r="S59" s="148"/>
      <c r="T59" s="149"/>
      <c r="U59" s="152"/>
      <c r="V59" s="148"/>
      <c r="W59" s="149"/>
      <c r="X59" s="152"/>
      <c r="Y59" s="148"/>
      <c r="Z59" s="149"/>
      <c r="AA59" s="152"/>
      <c r="AB59" s="259"/>
      <c r="AC59" s="260"/>
      <c r="AD59" s="267"/>
      <c r="AE59" s="131"/>
    </row>
    <row r="60" spans="2:32" s="167" customFormat="1" ht="18" customHeight="1" x14ac:dyDescent="0.15">
      <c r="B60" s="165"/>
      <c r="C60" s="147" t="s">
        <v>46</v>
      </c>
      <c r="D60" s="148">
        <f>-(D58*0.24)+D58</f>
        <v>-959.8182804000005</v>
      </c>
      <c r="E60" s="149">
        <f>-(E58*0.24)+E58</f>
        <v>-3287.9149031999996</v>
      </c>
      <c r="F60" s="150">
        <f t="shared" si="10"/>
        <v>2.4255597859938383</v>
      </c>
      <c r="G60" s="148">
        <f>-(G58*0.24)+G58</f>
        <v>-23047.670453760009</v>
      </c>
      <c r="H60" s="149">
        <f>-(H58*0.24)+H58</f>
        <v>-170324.6250163911</v>
      </c>
      <c r="I60" s="150">
        <f t="shared" si="11"/>
        <v>6.390101544453672</v>
      </c>
      <c r="J60" s="148">
        <f>-(J58*0.24)+J58</f>
        <v>-150682.75408059999</v>
      </c>
      <c r="K60" s="149">
        <f>-(K58*0.24)+K58</f>
        <v>-145470.71825830216</v>
      </c>
      <c r="L60" s="150">
        <f t="shared" si="12"/>
        <v>-3.4589464826943028E-2</v>
      </c>
      <c r="M60" s="148">
        <f>-(M58*0.24)+M58</f>
        <v>-191329.52682932001</v>
      </c>
      <c r="N60" s="149">
        <f>-(N58*0.24)+N58</f>
        <v>-119405.11364825783</v>
      </c>
      <c r="O60" s="150">
        <f t="shared" si="13"/>
        <v>-0.37591904591508263</v>
      </c>
      <c r="P60" s="148">
        <f>-(P58*0.24)+P58</f>
        <v>-6091.9959448799982</v>
      </c>
      <c r="Q60" s="149">
        <f>-(Q58*0.24)+Q58</f>
        <v>-7932.5578238400049</v>
      </c>
      <c r="R60" s="150">
        <f t="shared" si="14"/>
        <v>0.30212788971189353</v>
      </c>
      <c r="S60" s="148">
        <f>-(S58*0.24)+S58</f>
        <v>397173.26250583987</v>
      </c>
      <c r="T60" s="149">
        <f>-(T58*0.24)+T58</f>
        <v>477266.47068503103</v>
      </c>
      <c r="U60" s="150">
        <f t="shared" si="15"/>
        <v>0.20165810677654439</v>
      </c>
      <c r="V60" s="148">
        <f>-(V58*0.24)+V58</f>
        <v>11420.667563120014</v>
      </c>
      <c r="W60" s="149">
        <f>-(W58*0.24)+W58</f>
        <v>-13518.075399484484</v>
      </c>
      <c r="X60" s="150">
        <f t="shared" si="16"/>
        <v>-2.1836501959953276</v>
      </c>
      <c r="Y60" s="148">
        <f>IF(Y58&gt;0,Y58*(1-[1]Supuestos!$P$15),Y58)</f>
        <v>0</v>
      </c>
      <c r="Z60" s="149">
        <f>-(Z58*0.24)+Z58</f>
        <v>32739.556640000003</v>
      </c>
      <c r="AA60" s="150" t="str">
        <f t="shared" si="17"/>
        <v>n.a.</v>
      </c>
      <c r="AB60" s="259">
        <f>+V60+S60+P60+M60+J60+G60+D60+Y60</f>
        <v>36482.164479999876</v>
      </c>
      <c r="AC60" s="260">
        <f>+W60+T60+Q60+N60+K60+H60+E60+Z60</f>
        <v>50067.02227555542</v>
      </c>
      <c r="AD60" s="266">
        <f t="shared" si="19"/>
        <v>0.37236984124127259</v>
      </c>
      <c r="AE60" s="166"/>
    </row>
    <row r="61" spans="2:32" s="132" customFormat="1" ht="18" customHeight="1" thickBot="1" x14ac:dyDescent="0.2">
      <c r="B61" s="130"/>
      <c r="C61" s="168"/>
      <c r="D61" s="169"/>
      <c r="E61" s="170"/>
      <c r="F61" s="171"/>
      <c r="G61" s="169"/>
      <c r="H61" s="170"/>
      <c r="I61" s="171"/>
      <c r="J61" s="169"/>
      <c r="K61" s="170"/>
      <c r="L61" s="171"/>
      <c r="M61" s="169"/>
      <c r="N61" s="170"/>
      <c r="O61" s="171"/>
      <c r="P61" s="169"/>
      <c r="Q61" s="170"/>
      <c r="R61" s="171"/>
      <c r="S61" s="169"/>
      <c r="T61" s="170"/>
      <c r="U61" s="171"/>
      <c r="V61" s="169"/>
      <c r="W61" s="170"/>
      <c r="X61" s="171"/>
      <c r="Y61" s="169"/>
      <c r="Z61" s="170"/>
      <c r="AA61" s="171"/>
      <c r="AB61" s="269"/>
      <c r="AC61" s="270"/>
      <c r="AD61" s="271"/>
      <c r="AE61" s="131"/>
    </row>
    <row r="62" spans="2:32" s="129" customFormat="1" ht="16.5" customHeight="1" thickBot="1" x14ac:dyDescent="0.25">
      <c r="B62" s="172"/>
      <c r="C62" s="427" t="s">
        <v>176</v>
      </c>
      <c r="D62" s="428"/>
      <c r="E62" s="428"/>
      <c r="F62" s="427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  <c r="V62" s="427"/>
      <c r="W62" s="427"/>
      <c r="X62" s="427"/>
      <c r="Y62" s="427"/>
      <c r="Z62" s="427"/>
      <c r="AA62" s="427"/>
      <c r="AB62" s="427"/>
      <c r="AC62" s="427"/>
      <c r="AD62" s="427"/>
      <c r="AE62" s="173"/>
    </row>
    <row r="63" spans="2:32" s="129" customFormat="1" ht="16.5" customHeight="1" thickTop="1" x14ac:dyDescent="0.2"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88"/>
      <c r="AD63" s="179"/>
    </row>
    <row r="64" spans="2:32" s="129" customFormat="1" ht="16.5" customHeight="1" x14ac:dyDescent="0.2"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88"/>
      <c r="AD64" s="179"/>
    </row>
    <row r="65" spans="3:30" s="167" customFormat="1" ht="23.25" customHeight="1" x14ac:dyDescent="0.15">
      <c r="C65" s="167" t="s">
        <v>270</v>
      </c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80"/>
      <c r="Z65" s="181"/>
      <c r="AA65" s="136"/>
      <c r="AB65" s="136"/>
      <c r="AC65" s="181"/>
      <c r="AD65" s="136"/>
    </row>
    <row r="67" spans="3:30" s="132" customFormat="1" ht="23.25" customHeight="1" x14ac:dyDescent="0.15">
      <c r="C67" s="132" t="s">
        <v>62</v>
      </c>
      <c r="D67" s="183">
        <v>0.01</v>
      </c>
      <c r="E67" s="184">
        <v>0.01</v>
      </c>
      <c r="F67" s="133"/>
      <c r="G67" s="183">
        <v>4.9000000000000002E-2</v>
      </c>
      <c r="H67" s="184">
        <f>+G67</f>
        <v>4.9000000000000002E-2</v>
      </c>
      <c r="I67" s="133"/>
      <c r="J67" s="183">
        <v>0.13700000000000001</v>
      </c>
      <c r="K67" s="184">
        <f>+J67</f>
        <v>0.13700000000000001</v>
      </c>
      <c r="L67" s="133"/>
      <c r="M67" s="183">
        <v>0.26600000000000001</v>
      </c>
      <c r="N67" s="184">
        <f>+M67</f>
        <v>0.26600000000000001</v>
      </c>
      <c r="O67" s="133"/>
      <c r="P67" s="183">
        <v>2.1999999999999999E-2</v>
      </c>
      <c r="Q67" s="184">
        <f>+P67</f>
        <v>2.1999999999999999E-2</v>
      </c>
      <c r="R67" s="133"/>
      <c r="S67" s="183">
        <v>0.39400000000000002</v>
      </c>
      <c r="T67" s="184">
        <f>+S67</f>
        <v>0.39400000000000002</v>
      </c>
      <c r="U67" s="133"/>
      <c r="V67" s="183">
        <v>0.122</v>
      </c>
      <c r="W67" s="184">
        <f>+V67</f>
        <v>0.122</v>
      </c>
      <c r="X67" s="133"/>
      <c r="Y67" s="185">
        <v>0</v>
      </c>
      <c r="Z67" s="135">
        <f>+Y67</f>
        <v>0</v>
      </c>
      <c r="AA67" s="133"/>
      <c r="AB67" s="136"/>
      <c r="AC67" s="181"/>
      <c r="AD67" s="136"/>
    </row>
    <row r="68" spans="3:30" s="132" customFormat="1" ht="23.25" customHeight="1" x14ac:dyDescent="0.15">
      <c r="C68" s="132" t="s">
        <v>271</v>
      </c>
      <c r="D68" s="183">
        <v>0</v>
      </c>
      <c r="E68" s="184">
        <f>+D68</f>
        <v>0</v>
      </c>
      <c r="F68" s="133"/>
      <c r="G68" s="183">
        <v>0</v>
      </c>
      <c r="H68" s="184">
        <f>+G68</f>
        <v>0</v>
      </c>
      <c r="I68" s="133"/>
      <c r="J68" s="183">
        <v>0.6</v>
      </c>
      <c r="K68" s="184">
        <f>+J68</f>
        <v>0.6</v>
      </c>
      <c r="L68" s="133"/>
      <c r="M68" s="183">
        <v>0</v>
      </c>
      <c r="N68" s="184">
        <f>+M68</f>
        <v>0</v>
      </c>
      <c r="O68" s="133"/>
      <c r="P68" s="183">
        <v>0.08</v>
      </c>
      <c r="Q68" s="184">
        <f>+P68</f>
        <v>0.08</v>
      </c>
      <c r="R68" s="133"/>
      <c r="S68" s="183">
        <v>0.32</v>
      </c>
      <c r="T68" s="184">
        <f>+S68</f>
        <v>0.32</v>
      </c>
      <c r="U68" s="133"/>
      <c r="V68" s="183">
        <v>0</v>
      </c>
      <c r="W68" s="184">
        <f>+V68</f>
        <v>0</v>
      </c>
      <c r="X68" s="133"/>
      <c r="Y68" s="185">
        <v>0</v>
      </c>
      <c r="Z68" s="135">
        <f>+Y68</f>
        <v>0</v>
      </c>
      <c r="AA68" s="133"/>
      <c r="AB68" s="136"/>
      <c r="AC68" s="181"/>
      <c r="AD68" s="136"/>
    </row>
    <row r="69" spans="3:30" s="132" customFormat="1" ht="23.25" customHeight="1" x14ac:dyDescent="0.15">
      <c r="C69" s="132" t="s">
        <v>272</v>
      </c>
      <c r="D69" s="183">
        <v>0</v>
      </c>
      <c r="E69" s="184">
        <f>+D69</f>
        <v>0</v>
      </c>
      <c r="F69" s="133"/>
      <c r="G69" s="183">
        <v>0.19500000000000001</v>
      </c>
      <c r="H69" s="184">
        <f>+G69</f>
        <v>0.19500000000000001</v>
      </c>
      <c r="I69" s="133"/>
      <c r="J69" s="183">
        <v>0.17799999999999999</v>
      </c>
      <c r="K69" s="184">
        <f>+J69</f>
        <v>0.17799999999999999</v>
      </c>
      <c r="L69" s="133"/>
      <c r="M69" s="183">
        <v>0.46700000000000003</v>
      </c>
      <c r="N69" s="184">
        <f>+M69</f>
        <v>0.46700000000000003</v>
      </c>
      <c r="O69" s="133"/>
      <c r="P69" s="183">
        <v>0</v>
      </c>
      <c r="Q69" s="184">
        <f>+P69</f>
        <v>0</v>
      </c>
      <c r="R69" s="133"/>
      <c r="S69" s="183">
        <v>0.16</v>
      </c>
      <c r="T69" s="184">
        <f>+S69</f>
        <v>0.16</v>
      </c>
      <c r="U69" s="133"/>
      <c r="V69" s="183">
        <v>0</v>
      </c>
      <c r="W69" s="184">
        <f>+V69</f>
        <v>0</v>
      </c>
      <c r="X69" s="133"/>
      <c r="Y69" s="185">
        <v>0</v>
      </c>
      <c r="Z69" s="135">
        <f>+Y69</f>
        <v>0</v>
      </c>
      <c r="AA69" s="133"/>
      <c r="AB69" s="136"/>
      <c r="AC69" s="181"/>
      <c r="AD69" s="136"/>
    </row>
    <row r="70" spans="3:30" s="132" customFormat="1" ht="23.25" customHeight="1" x14ac:dyDescent="0.15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4"/>
      <c r="Z70" s="135"/>
      <c r="AA70" s="133"/>
      <c r="AB70" s="136"/>
      <c r="AC70" s="181"/>
      <c r="AD70" s="136"/>
    </row>
    <row r="71" spans="3:30" s="132" customFormat="1" ht="23.25" customHeight="1" x14ac:dyDescent="0.15">
      <c r="C71" s="132" t="s">
        <v>300</v>
      </c>
      <c r="D71" s="183">
        <v>0</v>
      </c>
      <c r="E71" s="184">
        <f>+D71</f>
        <v>0</v>
      </c>
      <c r="F71" s="133"/>
      <c r="G71" s="183">
        <v>0.7</v>
      </c>
      <c r="H71" s="184">
        <f>+G71</f>
        <v>0.7</v>
      </c>
      <c r="I71" s="133"/>
      <c r="J71" s="183">
        <v>0.05</v>
      </c>
      <c r="K71" s="184">
        <f>+J71</f>
        <v>0.05</v>
      </c>
      <c r="L71" s="133"/>
      <c r="M71" s="183">
        <v>0.13</v>
      </c>
      <c r="N71" s="184">
        <f>+M71</f>
        <v>0.13</v>
      </c>
      <c r="O71" s="133"/>
      <c r="P71" s="183">
        <v>0</v>
      </c>
      <c r="Q71" s="184">
        <f>+P71</f>
        <v>0</v>
      </c>
      <c r="R71" s="133"/>
      <c r="S71" s="183">
        <v>0.11</v>
      </c>
      <c r="T71" s="184">
        <f>+S71</f>
        <v>0.11</v>
      </c>
      <c r="U71" s="133"/>
      <c r="V71" s="183">
        <v>0.01</v>
      </c>
      <c r="W71" s="184">
        <f>+V71</f>
        <v>0.01</v>
      </c>
      <c r="X71" s="133"/>
      <c r="Y71" s="185">
        <v>0</v>
      </c>
      <c r="Z71" s="135">
        <f>+Y71</f>
        <v>0</v>
      </c>
      <c r="AA71" s="133"/>
      <c r="AB71" s="136"/>
      <c r="AC71" s="181"/>
      <c r="AD71" s="136"/>
    </row>
    <row r="72" spans="3:30" s="132" customFormat="1" ht="23.25" customHeight="1" x14ac:dyDescent="0.15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4"/>
      <c r="Z72" s="135"/>
      <c r="AA72" s="133"/>
      <c r="AB72" s="136"/>
      <c r="AC72" s="181"/>
      <c r="AD72" s="136"/>
    </row>
    <row r="73" spans="3:30" s="132" customFormat="1" ht="23.25" customHeight="1" x14ac:dyDescent="0.15">
      <c r="D73" s="183"/>
      <c r="E73" s="184"/>
      <c r="F73" s="133"/>
      <c r="G73" s="183"/>
      <c r="H73" s="184"/>
      <c r="I73" s="133">
        <f>+G69+J69+M69+P69+S69+V69</f>
        <v>1</v>
      </c>
      <c r="J73" s="183"/>
      <c r="K73" s="184"/>
      <c r="L73" s="133"/>
      <c r="M73" s="183"/>
      <c r="N73" s="184"/>
      <c r="O73" s="133"/>
      <c r="P73" s="183"/>
      <c r="Q73" s="184"/>
      <c r="R73" s="133"/>
      <c r="S73" s="183"/>
      <c r="T73" s="184"/>
      <c r="U73" s="133"/>
      <c r="V73" s="183"/>
      <c r="W73" s="184"/>
      <c r="X73" s="133"/>
      <c r="Y73" s="185"/>
      <c r="Z73" s="135"/>
      <c r="AA73" s="133"/>
      <c r="AB73" s="136"/>
      <c r="AC73" s="181"/>
      <c r="AD73" s="136"/>
    </row>
    <row r="74" spans="3:30" s="132" customFormat="1" ht="23.25" customHeight="1" x14ac:dyDescent="0.15"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4"/>
      <c r="Z74" s="135"/>
      <c r="AA74" s="133"/>
      <c r="AB74" s="136"/>
      <c r="AC74" s="181"/>
      <c r="AD74" s="136"/>
    </row>
    <row r="75" spans="3:30" s="132" customFormat="1" ht="23.25" customHeight="1" x14ac:dyDescent="0.15"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4"/>
      <c r="Z75" s="135"/>
      <c r="AA75" s="133"/>
      <c r="AB75" s="136"/>
      <c r="AC75" s="181"/>
      <c r="AD75" s="136"/>
    </row>
    <row r="76" spans="3:30" s="132" customFormat="1" ht="23.25" customHeight="1" x14ac:dyDescent="0.15"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4"/>
      <c r="Z76" s="135"/>
      <c r="AA76" s="133"/>
      <c r="AB76" s="136"/>
      <c r="AC76" s="181"/>
      <c r="AD76" s="136"/>
    </row>
  </sheetData>
  <mergeCells count="20">
    <mergeCell ref="V13:W13"/>
    <mergeCell ref="Y13:Z13"/>
    <mergeCell ref="AB13:AC13"/>
    <mergeCell ref="C62:AD62"/>
    <mergeCell ref="S11:T11"/>
    <mergeCell ref="V11:W11"/>
    <mergeCell ref="Y11:Z11"/>
    <mergeCell ref="AB11:AC11"/>
    <mergeCell ref="D13:E13"/>
    <mergeCell ref="G13:H13"/>
    <mergeCell ref="J13:K13"/>
    <mergeCell ref="M13:N13"/>
    <mergeCell ref="P13:Q13"/>
    <mergeCell ref="S13:T13"/>
    <mergeCell ref="C8:AD8"/>
    <mergeCell ref="D11:E11"/>
    <mergeCell ref="G11:H11"/>
    <mergeCell ref="J11:K11"/>
    <mergeCell ref="M11:N11"/>
    <mergeCell ref="P11:Q11"/>
  </mergeCells>
  <printOptions horizontalCentered="1" verticalCentered="1"/>
  <pageMargins left="3.937007874015748E-2" right="3.937007874015748E-2" top="0.15748031496062992" bottom="0" header="0.11811023622047245" footer="0.11811023622047245"/>
  <pageSetup paperSize="135" scale="54" fitToHeight="2" orientation="landscape" r:id="rId1"/>
  <rowBreaks count="1" manualBreakCount="1">
    <brk id="5" min="1" max="3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1" zoomScale="91" zoomScaleNormal="70" zoomScaleSheetLayoutView="91" workbookViewId="0">
      <selection activeCell="E18" sqref="E18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9.125" style="4" customWidth="1"/>
    <col min="4" max="6" width="16.5" style="37" customWidth="1"/>
    <col min="7" max="7" width="17.875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50"/>
      <c r="D3" s="41" t="s">
        <v>58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50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>
        <f>+'Base de Datos'!D214</f>
        <v>119350000</v>
      </c>
      <c r="E9" s="18">
        <f>+'Base de Datos'!E214</f>
        <v>132119</v>
      </c>
      <c r="F9" s="18">
        <f>+'Base de Datos'!F214</f>
        <v>238700000</v>
      </c>
      <c r="G9" s="18">
        <f>+'Base de Datos'!G214</f>
        <v>261881529</v>
      </c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8"/>
      <c r="G10" s="18"/>
      <c r="H10" s="44"/>
    </row>
    <row r="11" spans="1:8" s="10" customFormat="1" ht="20.25" customHeight="1" x14ac:dyDescent="0.15">
      <c r="A11" s="7"/>
      <c r="B11" s="20" t="s">
        <v>12</v>
      </c>
      <c r="C11" s="8"/>
      <c r="D11" s="21">
        <f>+'Base de Datos'!D219</f>
        <v>0</v>
      </c>
      <c r="E11" s="21">
        <f>+'Base de Datos'!E219</f>
        <v>0</v>
      </c>
      <c r="F11" s="21">
        <f>+'Base de Datos'!F219</f>
        <v>-97300000</v>
      </c>
      <c r="G11" s="21">
        <f>+'Base de Datos'!G219</f>
        <v>-96984821</v>
      </c>
      <c r="H11" s="45"/>
    </row>
    <row r="12" spans="1:8" s="10" customFormat="1" ht="20.25" customHeight="1" x14ac:dyDescent="0.15">
      <c r="A12" s="7"/>
      <c r="B12" s="20" t="s">
        <v>13</v>
      </c>
      <c r="C12" s="8"/>
      <c r="D12" s="21">
        <f>+'Base de Datos'!D220+'Base de Datos'!D221</f>
        <v>0</v>
      </c>
      <c r="E12" s="21">
        <f>+'Base de Datos'!E220+'Base de Datos'!E221</f>
        <v>0</v>
      </c>
      <c r="F12" s="21">
        <f>+'Base de Datos'!F220+'Base de Datos'!F221</f>
        <v>-25168000</v>
      </c>
      <c r="G12" s="21">
        <f>+'Base de Datos'!G220+'Base de Datos'!G221</f>
        <v>-66449696</v>
      </c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>
        <f>+'Base de Datos'!E222</f>
        <v>0</v>
      </c>
      <c r="F13" s="21"/>
      <c r="G13" s="21">
        <f>+'Base de Datos'!G222</f>
        <v>22222209</v>
      </c>
      <c r="H13" s="45"/>
    </row>
    <row r="14" spans="1:8" s="10" customFormat="1" ht="20.25" customHeight="1" x14ac:dyDescent="0.15">
      <c r="A14" s="7"/>
      <c r="B14" s="20" t="s">
        <v>15</v>
      </c>
      <c r="C14" s="8"/>
      <c r="D14" s="21"/>
      <c r="E14" s="21"/>
      <c r="F14" s="21"/>
      <c r="G14" s="21"/>
      <c r="H14" s="45"/>
    </row>
    <row r="15" spans="1:8" s="10" customFormat="1" ht="20.25" customHeight="1" x14ac:dyDescent="0.15">
      <c r="A15" s="7"/>
      <c r="B15" s="20" t="s">
        <v>16</v>
      </c>
      <c r="C15" s="8"/>
      <c r="D15" s="21"/>
      <c r="E15" s="21"/>
      <c r="F15" s="21"/>
      <c r="G15" s="21"/>
      <c r="H15" s="45"/>
    </row>
    <row r="16" spans="1:8" s="10" customFormat="1" ht="20.25" customHeight="1" x14ac:dyDescent="0.15">
      <c r="A16" s="7"/>
      <c r="B16" s="20" t="s">
        <v>17</v>
      </c>
      <c r="C16" s="8"/>
      <c r="D16" s="21">
        <f>+'Base de Datos'!D227+'Base de Datos'!D228</f>
        <v>-1246726</v>
      </c>
      <c r="E16" s="21">
        <f>+'Base de Datos'!E227+'Base de Datos'!E228</f>
        <v>-1799385</v>
      </c>
      <c r="F16" s="21">
        <f>+'Base de Datos'!F227+'Base de Datos'!F228</f>
        <v>-12247220</v>
      </c>
      <c r="G16" s="21">
        <f>+'Base de Datos'!G227+'Base de Datos'!G228</f>
        <v>-16193264</v>
      </c>
      <c r="H16" s="45"/>
    </row>
    <row r="17" spans="1:22" s="10" customFormat="1" ht="20.25" customHeight="1" x14ac:dyDescent="0.15">
      <c r="A17" s="7"/>
      <c r="B17" s="20" t="s">
        <v>18</v>
      </c>
      <c r="C17" s="8"/>
      <c r="D17" s="21">
        <f>+'Base de Datos'!D226-('15. Maiz Local'!D16+'15. Maiz Local'!D29+'15. Maiz Local'!D26)</f>
        <v>-14017374</v>
      </c>
      <c r="E17" s="21">
        <f>+'Base de Datos'!E226-('15. Maiz Local'!E16+'15. Maiz Local'!E29+'15. Maiz Local'!E26-E50)</f>
        <v>12734365</v>
      </c>
      <c r="F17" s="21">
        <f>+'Base de Datos'!F226-('15. Maiz Local'!F16+'15. Maiz Local'!F29+'15. Maiz Local'!F26)</f>
        <v>-87860271</v>
      </c>
      <c r="G17" s="21">
        <f>+'Base de Datos'!G226-('15. Maiz Local'!G16+'15. Maiz Local'!G29+'15. Maiz Local'!G26)-G50</f>
        <v>-88900753</v>
      </c>
      <c r="H17" s="45"/>
    </row>
    <row r="18" spans="1:22" s="10" customFormat="1" ht="20.25" customHeight="1" x14ac:dyDescent="0.15">
      <c r="A18" s="7"/>
      <c r="B18" s="20" t="s">
        <v>19</v>
      </c>
      <c r="C18" s="8"/>
      <c r="D18" s="21"/>
      <c r="E18" s="23">
        <f>+'Base de Datos'!E224</f>
        <v>-3921198</v>
      </c>
      <c r="F18" s="21"/>
      <c r="G18" s="23">
        <f>+'Base de Datos'!G224</f>
        <v>-3921198</v>
      </c>
      <c r="H18" s="45"/>
    </row>
    <row r="19" spans="1:22" s="10" customFormat="1" ht="20.25" customHeight="1" x14ac:dyDescent="0.15">
      <c r="A19" s="7"/>
      <c r="B19" s="20" t="s">
        <v>20</v>
      </c>
      <c r="C19" s="8"/>
      <c r="D19" s="21">
        <f>+'Base de Datos'!D223</f>
        <v>0</v>
      </c>
      <c r="E19" s="21">
        <f>+'Base de Datos'!E223</f>
        <v>0</v>
      </c>
      <c r="F19" s="21">
        <f>+'Base de Datos'!F223</f>
        <v>-38592000</v>
      </c>
      <c r="G19" s="21">
        <f>+'Base de Datos'!G223</f>
        <v>-30243710</v>
      </c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-15264100</v>
      </c>
      <c r="E20" s="18">
        <f>SUM(E11:E19)</f>
        <v>7013782</v>
      </c>
      <c r="F20" s="18">
        <f>SUM(F11:F19)</f>
        <v>-261167491</v>
      </c>
      <c r="G20" s="18">
        <f>SUM(G11:G19)</f>
        <v>-280471233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8"/>
      <c r="G21" s="18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104085900</v>
      </c>
      <c r="E22" s="26">
        <f>+E9+E20</f>
        <v>7145901</v>
      </c>
      <c r="F22" s="26">
        <f>+F9+F20</f>
        <v>-22467491</v>
      </c>
      <c r="G22" s="26">
        <f>+G9+G20</f>
        <v>-18589704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8"/>
      <c r="G23" s="1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>
        <v>0</v>
      </c>
      <c r="E24" s="23">
        <v>0</v>
      </c>
      <c r="F24" s="23">
        <v>0</v>
      </c>
      <c r="G24" s="23">
        <v>0</v>
      </c>
      <c r="H24" s="45"/>
    </row>
    <row r="25" spans="1:22" s="10" customFormat="1" ht="20.25" customHeight="1" x14ac:dyDescent="0.15">
      <c r="A25" s="7"/>
      <c r="B25" s="20" t="s">
        <v>24</v>
      </c>
      <c r="C25" s="8"/>
      <c r="D25" s="23">
        <v>0</v>
      </c>
      <c r="E25" s="23">
        <v>0</v>
      </c>
      <c r="F25" s="23">
        <v>0</v>
      </c>
      <c r="G25" s="23">
        <v>0</v>
      </c>
      <c r="H25" s="45"/>
    </row>
    <row r="26" spans="1:22" s="10" customFormat="1" ht="20.25" customHeight="1" x14ac:dyDescent="0.15">
      <c r="A26" s="7"/>
      <c r="B26" s="20" t="s">
        <v>25</v>
      </c>
      <c r="C26" s="8"/>
      <c r="D26" s="23">
        <f>+'Base de Datos'!D229</f>
        <v>-2300000</v>
      </c>
      <c r="E26" s="23">
        <f>+('Base de Datos'!E229)</f>
        <v>-2369313</v>
      </c>
      <c r="F26" s="23">
        <f>+('Base de Datos'!F229)</f>
        <v>-6900000</v>
      </c>
      <c r="G26" s="23">
        <f>+('Base de Datos'!G229)</f>
        <v>-3367465</v>
      </c>
      <c r="H26" s="45"/>
    </row>
    <row r="27" spans="1:22" s="10" customFormat="1" ht="20.25" customHeight="1" x14ac:dyDescent="0.15">
      <c r="A27" s="7"/>
      <c r="B27" s="20" t="s">
        <v>26</v>
      </c>
      <c r="C27" s="8"/>
      <c r="D27" s="23">
        <v>0</v>
      </c>
      <c r="E27" s="23">
        <f>+'Base de Datos'!E223</f>
        <v>0</v>
      </c>
      <c r="F27" s="23">
        <v>0</v>
      </c>
      <c r="G27" s="23">
        <v>0</v>
      </c>
      <c r="H27" s="45"/>
    </row>
    <row r="28" spans="1:22" s="10" customFormat="1" ht="20.25" customHeight="1" x14ac:dyDescent="0.15">
      <c r="A28" s="7"/>
      <c r="B28" s="27" t="s">
        <v>27</v>
      </c>
      <c r="C28" s="111"/>
      <c r="D28" s="23">
        <v>0</v>
      </c>
      <c r="E28" s="23">
        <v>0</v>
      </c>
      <c r="F28" s="23">
        <v>0</v>
      </c>
      <c r="G28" s="23">
        <v>0</v>
      </c>
      <c r="H28" s="45"/>
    </row>
    <row r="29" spans="1:22" s="10" customFormat="1" ht="20.25" customHeight="1" x14ac:dyDescent="0.15">
      <c r="A29" s="7"/>
      <c r="B29" s="20" t="s">
        <v>28</v>
      </c>
      <c r="C29" s="8"/>
      <c r="D29" s="23">
        <f>+'Base de Datos'!D243</f>
        <v>0</v>
      </c>
      <c r="E29" s="23">
        <f>+'Base de Datos'!E243</f>
        <v>0</v>
      </c>
      <c r="F29" s="23">
        <f>+'Base de Datos'!F243</f>
        <v>-11451800</v>
      </c>
      <c r="G29" s="23">
        <f>+'Base de Datos'!G243</f>
        <v>-13425062</v>
      </c>
      <c r="H29" s="45"/>
    </row>
    <row r="30" spans="1:22" s="10" customFormat="1" ht="20.25" customHeight="1" x14ac:dyDescent="0.15">
      <c r="A30" s="7"/>
      <c r="B30" s="20" t="s">
        <v>29</v>
      </c>
      <c r="C30" s="8"/>
      <c r="D30" s="23">
        <f>+'Base de Datos'!D224</f>
        <v>0</v>
      </c>
      <c r="E30" s="23">
        <v>0</v>
      </c>
      <c r="F30" s="23">
        <f>+'Base de Datos'!F224</f>
        <v>0</v>
      </c>
      <c r="G30" s="23">
        <v>0</v>
      </c>
      <c r="H30" s="45"/>
    </row>
    <row r="31" spans="1:22" s="10" customFormat="1" ht="20.25" customHeight="1" x14ac:dyDescent="0.15">
      <c r="A31" s="7"/>
      <c r="B31" s="17" t="s">
        <v>30</v>
      </c>
      <c r="C31" s="109"/>
      <c r="D31" s="28">
        <f>SUM(D24:D30)</f>
        <v>-2300000</v>
      </c>
      <c r="E31" s="28">
        <f>SUM(E24:E30)</f>
        <v>-2369313</v>
      </c>
      <c r="F31" s="28">
        <f>SUM(F24:F30)</f>
        <v>-18351800</v>
      </c>
      <c r="G31" s="28">
        <f>SUM(G24:G30)</f>
        <v>-16792527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8"/>
      <c r="G32" s="1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1"/>
      <c r="G33" s="21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1"/>
      <c r="G34" s="21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1"/>
      <c r="G35" s="21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1"/>
      <c r="G36" s="21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29">
        <f>SUM(F33:F36)</f>
        <v>0</v>
      </c>
      <c r="G37" s="2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8"/>
      <c r="G38" s="18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+D22+D31+D37</f>
        <v>101785900</v>
      </c>
      <c r="E39" s="26">
        <f>+E22+E31+E37</f>
        <v>4776588</v>
      </c>
      <c r="F39" s="26">
        <f>+F22+F31+F37</f>
        <v>-40819291</v>
      </c>
      <c r="G39" s="26">
        <f>+G22+G31+G37</f>
        <v>-35382231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8"/>
      <c r="G40" s="1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>
        <v>0</v>
      </c>
      <c r="E41" s="23">
        <v>0</v>
      </c>
      <c r="F41" s="23">
        <v>0</v>
      </c>
      <c r="G41" s="23">
        <v>0</v>
      </c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8"/>
      <c r="G42" s="1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+D39-D41</f>
        <v>101785900</v>
      </c>
      <c r="E43" s="26">
        <f>+E39-E41</f>
        <v>4776588</v>
      </c>
      <c r="F43" s="26">
        <f>+F39-F41</f>
        <v>-40819291</v>
      </c>
      <c r="G43" s="26">
        <f>+G39-G41</f>
        <v>-35382231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8"/>
      <c r="G44" s="1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1"/>
      <c r="G45" s="21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1"/>
      <c r="G46" s="21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1"/>
      <c r="G47" s="21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1"/>
      <c r="G48" s="21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1"/>
      <c r="G49" s="21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>
        <f>+'Base de Datos'!E250</f>
        <v>-63677</v>
      </c>
      <c r="F50" s="21"/>
      <c r="G50" s="21">
        <f>+'Base de Datos'!G251</f>
        <v>0</v>
      </c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-63677</v>
      </c>
      <c r="F51" s="18">
        <f>SUM(F45:F50)</f>
        <v>0</v>
      </c>
      <c r="G51" s="18">
        <f>SUM(G45:G50)</f>
        <v>0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8"/>
      <c r="G52" s="18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101785900</v>
      </c>
      <c r="E53" s="18">
        <f>+E43+E51</f>
        <v>4712911</v>
      </c>
      <c r="F53" s="18">
        <f>+F43+F51</f>
        <v>-40819291</v>
      </c>
      <c r="G53" s="18">
        <f>+G43+G51</f>
        <v>-35382231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8"/>
      <c r="G54" s="18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77357284</v>
      </c>
      <c r="E55" s="32">
        <f>IF(E53&gt;0,E53*(1-[1]Supuestos!$P$15),E53)</f>
        <v>3581812.36</v>
      </c>
      <c r="F55" s="32">
        <f>IF(F53&gt;0,F53*(1-[1]Supuestos!$P$15),F53)</f>
        <v>-40819291</v>
      </c>
      <c r="G55" s="32">
        <f>IF(G53&gt;0,G53*(1-[1]Supuestos!$P$15),G53)</f>
        <v>-35382231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D6:E6"/>
    <mergeCell ref="F6:G6"/>
    <mergeCell ref="B57:H57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3" zoomScale="75" zoomScaleNormal="70" zoomScaleSheetLayoutView="75" workbookViewId="0">
      <selection activeCell="E16" sqref="E16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3.625" style="4" customWidth="1"/>
    <col min="4" max="7" width="16.5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50"/>
      <c r="D3" s="41" t="s">
        <v>57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50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>
        <f>+'Base de Datos'!D169</f>
        <v>0</v>
      </c>
      <c r="E9" s="18">
        <f>+'Base de Datos'!E169</f>
        <v>0</v>
      </c>
      <c r="F9" s="18">
        <f>+'Base de Datos'!F169</f>
        <v>171275000</v>
      </c>
      <c r="G9" s="18">
        <f>+'Base de Datos'!G169</f>
        <v>88672008</v>
      </c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9"/>
      <c r="G10" s="28"/>
      <c r="H10" s="44"/>
    </row>
    <row r="11" spans="1:8" s="10" customFormat="1" ht="20.25" customHeight="1" x14ac:dyDescent="0.15">
      <c r="A11" s="7"/>
      <c r="B11" s="20" t="s">
        <v>12</v>
      </c>
      <c r="C11" s="8"/>
      <c r="D11" s="21">
        <f>+'Base de Datos'!D174</f>
        <v>-1371399</v>
      </c>
      <c r="E11" s="21">
        <f>+'Base de Datos'!E174</f>
        <v>0</v>
      </c>
      <c r="F11" s="21">
        <f>+'Base de Datos'!F174</f>
        <v>-97336000</v>
      </c>
      <c r="G11" s="21">
        <f>+'Base de Datos'!G174</f>
        <v>-107482405</v>
      </c>
      <c r="H11" s="45"/>
    </row>
    <row r="12" spans="1:8" s="10" customFormat="1" ht="20.25" customHeight="1" x14ac:dyDescent="0.15">
      <c r="A12" s="7"/>
      <c r="B12" s="20" t="s">
        <v>13</v>
      </c>
      <c r="C12" s="8"/>
      <c r="D12" s="21"/>
      <c r="E12" s="21"/>
      <c r="F12" s="22"/>
      <c r="G12" s="23"/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/>
      <c r="F13" s="22"/>
      <c r="G13" s="23"/>
      <c r="H13" s="45"/>
    </row>
    <row r="14" spans="1:8" s="10" customFormat="1" ht="20.25" customHeight="1" x14ac:dyDescent="0.15">
      <c r="A14" s="7"/>
      <c r="B14" s="20" t="s">
        <v>15</v>
      </c>
      <c r="C14" s="8"/>
      <c r="D14" s="21"/>
      <c r="E14" s="21"/>
      <c r="F14" s="22"/>
      <c r="G14" s="23"/>
      <c r="H14" s="45"/>
    </row>
    <row r="15" spans="1:8" s="10" customFormat="1" ht="20.25" customHeight="1" x14ac:dyDescent="0.15">
      <c r="A15" s="7"/>
      <c r="B15" s="20" t="s">
        <v>16</v>
      </c>
      <c r="C15" s="8"/>
      <c r="D15" s="21"/>
      <c r="E15" s="21"/>
      <c r="F15" s="22"/>
      <c r="G15" s="23"/>
      <c r="H15" s="45"/>
    </row>
    <row r="16" spans="1:8" s="10" customFormat="1" ht="20.25" customHeight="1" x14ac:dyDescent="0.15">
      <c r="A16" s="7"/>
      <c r="B16" s="20" t="s">
        <v>17</v>
      </c>
      <c r="C16" s="8"/>
      <c r="D16" s="21">
        <f>+SUM('Base de Datos'!D182:D183)</f>
        <v>0</v>
      </c>
      <c r="E16" s="21">
        <f>+SUM('Base de Datos'!E182:E183)</f>
        <v>-1981146</v>
      </c>
      <c r="F16" s="21">
        <f>+SUM('Base de Datos'!F182:F183)</f>
        <v>-13471943</v>
      </c>
      <c r="G16" s="21">
        <f>+SUM('Base de Datos'!G182:G183)</f>
        <v>-15226328</v>
      </c>
      <c r="H16" s="45"/>
    </row>
    <row r="17" spans="1:22" s="10" customFormat="1" ht="20.25" customHeight="1" x14ac:dyDescent="0.15">
      <c r="A17" s="7"/>
      <c r="B17" s="20" t="s">
        <v>18</v>
      </c>
      <c r="C17" s="8"/>
      <c r="D17" s="21">
        <f>+SUM('Base de Datos'!D185:D203)</f>
        <v>-1585798</v>
      </c>
      <c r="E17" s="21">
        <f>+SUM('Base de Datos'!E185:E203)</f>
        <v>-894312</v>
      </c>
      <c r="F17" s="21">
        <f>+SUM('Base de Datos'!F185:F203)</f>
        <v>-18313396</v>
      </c>
      <c r="G17" s="21">
        <f>+SUM('Base de Datos'!G185:G203)</f>
        <v>-18916051</v>
      </c>
      <c r="H17" s="45"/>
    </row>
    <row r="18" spans="1:22" s="10" customFormat="1" ht="20.25" customHeight="1" x14ac:dyDescent="0.15">
      <c r="A18" s="7"/>
      <c r="B18" s="20" t="s">
        <v>19</v>
      </c>
      <c r="C18" s="8"/>
      <c r="D18" s="21"/>
      <c r="E18" s="21"/>
      <c r="F18" s="22"/>
      <c r="G18" s="23"/>
      <c r="H18" s="45"/>
    </row>
    <row r="19" spans="1:22" s="10" customFormat="1" ht="20.25" customHeight="1" x14ac:dyDescent="0.15">
      <c r="A19" s="7"/>
      <c r="B19" s="20" t="s">
        <v>20</v>
      </c>
      <c r="C19" s="8"/>
      <c r="D19" s="21"/>
      <c r="E19" s="21"/>
      <c r="F19" s="22"/>
      <c r="G19" s="23"/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-2957197</v>
      </c>
      <c r="E20" s="18">
        <f>SUM(E11:E19)</f>
        <v>-2875458</v>
      </c>
      <c r="F20" s="19">
        <f>SUM(F11:F19)</f>
        <v>-129121339</v>
      </c>
      <c r="G20" s="19">
        <f>SUM(G11:G19)</f>
        <v>-141624784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9"/>
      <c r="G21" s="28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-2957197</v>
      </c>
      <c r="E22" s="26">
        <f>+E9+E20</f>
        <v>-2875458</v>
      </c>
      <c r="F22" s="26">
        <f>+F9+F20</f>
        <v>42153661</v>
      </c>
      <c r="G22" s="26">
        <f>+G9+G20</f>
        <v>-52952776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9"/>
      <c r="G23" s="2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/>
      <c r="E24" s="23"/>
      <c r="F24" s="22">
        <v>0</v>
      </c>
      <c r="G24" s="23"/>
      <c r="H24" s="45"/>
    </row>
    <row r="25" spans="1:22" s="10" customFormat="1" ht="20.25" customHeight="1" x14ac:dyDescent="0.15">
      <c r="A25" s="7"/>
      <c r="B25" s="20" t="s">
        <v>24</v>
      </c>
      <c r="C25" s="8"/>
      <c r="D25" s="23"/>
      <c r="E25" s="23"/>
      <c r="F25" s="22">
        <v>0</v>
      </c>
      <c r="G25" s="23"/>
      <c r="H25" s="45"/>
    </row>
    <row r="26" spans="1:22" s="10" customFormat="1" ht="20.25" customHeight="1" x14ac:dyDescent="0.15">
      <c r="A26" s="7"/>
      <c r="B26" s="20" t="s">
        <v>25</v>
      </c>
      <c r="C26" s="8"/>
      <c r="D26" s="23">
        <f>+'Base de Datos'!D184</f>
        <v>-630000</v>
      </c>
      <c r="E26" s="23">
        <f>+'Base de Datos'!E184</f>
        <v>0</v>
      </c>
      <c r="F26" s="23">
        <f>+'Base de Datos'!F184</f>
        <v>-1400000</v>
      </c>
      <c r="G26" s="23">
        <f>+'Base de Datos'!G184</f>
        <v>-2439101</v>
      </c>
      <c r="H26" s="45"/>
    </row>
    <row r="27" spans="1:22" s="10" customFormat="1" ht="20.25" customHeight="1" x14ac:dyDescent="0.15">
      <c r="A27" s="7"/>
      <c r="B27" s="20" t="s">
        <v>26</v>
      </c>
      <c r="C27" s="8"/>
      <c r="D27" s="23"/>
      <c r="E27" s="23"/>
      <c r="F27" s="22">
        <v>0</v>
      </c>
      <c r="G27" s="23"/>
      <c r="H27" s="45"/>
    </row>
    <row r="28" spans="1:22" s="10" customFormat="1" ht="20.25" customHeight="1" x14ac:dyDescent="0.15">
      <c r="A28" s="7"/>
      <c r="B28" s="27" t="s">
        <v>27</v>
      </c>
      <c r="C28" s="111"/>
      <c r="D28" s="23"/>
      <c r="E28" s="23"/>
      <c r="F28" s="22">
        <v>0</v>
      </c>
      <c r="G28" s="23"/>
      <c r="H28" s="45"/>
    </row>
    <row r="29" spans="1:22" s="10" customFormat="1" ht="20.25" customHeight="1" x14ac:dyDescent="0.15">
      <c r="A29" s="7"/>
      <c r="B29" s="20" t="s">
        <v>28</v>
      </c>
      <c r="C29" s="8"/>
      <c r="D29" s="23"/>
      <c r="E29" s="23"/>
      <c r="F29" s="22">
        <v>0</v>
      </c>
      <c r="G29" s="23"/>
      <c r="H29" s="45"/>
    </row>
    <row r="30" spans="1:22" s="10" customFormat="1" ht="20.25" customHeight="1" x14ac:dyDescent="0.15">
      <c r="A30" s="7"/>
      <c r="B30" s="20" t="s">
        <v>29</v>
      </c>
      <c r="C30" s="8"/>
      <c r="D30" s="23"/>
      <c r="E30" s="23"/>
      <c r="F30" s="22">
        <v>0</v>
      </c>
      <c r="G30" s="23"/>
      <c r="H30" s="45"/>
    </row>
    <row r="31" spans="1:22" s="10" customFormat="1" ht="20.25" customHeight="1" x14ac:dyDescent="0.15">
      <c r="A31" s="7"/>
      <c r="B31" s="17" t="s">
        <v>30</v>
      </c>
      <c r="C31" s="109"/>
      <c r="D31" s="28"/>
      <c r="E31" s="28">
        <f>SUM(E24:E30)</f>
        <v>0</v>
      </c>
      <c r="F31" s="19">
        <f>SUM(F24:F30)</f>
        <v>-1400000</v>
      </c>
      <c r="G31" s="19">
        <f>SUM(G24:G30)</f>
        <v>-2439101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9"/>
      <c r="G32" s="2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3"/>
      <c r="G33" s="23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3"/>
      <c r="G34" s="23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2"/>
      <c r="G35" s="23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2"/>
      <c r="G36" s="23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19">
        <f>SUM(F33:F36)</f>
        <v>0</v>
      </c>
      <c r="G37" s="1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9"/>
      <c r="G38" s="28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+D22+D31+D37</f>
        <v>-2957197</v>
      </c>
      <c r="E39" s="26">
        <f>+E22+E31+E37</f>
        <v>-2875458</v>
      </c>
      <c r="F39" s="26">
        <f>+F22+F31+F37</f>
        <v>40753661</v>
      </c>
      <c r="G39" s="26">
        <f>+G22+G31+G37</f>
        <v>-55391877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9"/>
      <c r="G40" s="2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>
        <v>0</v>
      </c>
      <c r="E41" s="23"/>
      <c r="F41" s="22"/>
      <c r="G41" s="23"/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9"/>
      <c r="G42" s="2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+D39+D41</f>
        <v>-2957197</v>
      </c>
      <c r="E43" s="26">
        <f>+E39+E41</f>
        <v>-2875458</v>
      </c>
      <c r="F43" s="26">
        <f>+F39+F41</f>
        <v>40753661</v>
      </c>
      <c r="G43" s="26">
        <f>+G39+G41</f>
        <v>-55391877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9"/>
      <c r="G44" s="2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2"/>
      <c r="G45" s="23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2"/>
      <c r="G46" s="23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2"/>
      <c r="G47" s="23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2"/>
      <c r="G48" s="23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2"/>
      <c r="G49" s="23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/>
      <c r="F50" s="22"/>
      <c r="G50" s="23">
        <f>+'Base de Datos'!G204</f>
        <v>4896849</v>
      </c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0</v>
      </c>
      <c r="F51" s="19">
        <f>SUM(F45:F50)</f>
        <v>0</v>
      </c>
      <c r="G51" s="19">
        <f>SUM(G45:G50)</f>
        <v>4896849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9"/>
      <c r="G52" s="19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-2957197</v>
      </c>
      <c r="E53" s="18">
        <f>+E43+E51</f>
        <v>-2875458</v>
      </c>
      <c r="F53" s="19">
        <f>+F43+F51</f>
        <v>40753661</v>
      </c>
      <c r="G53" s="19">
        <f>+G43+G51</f>
        <v>-50495028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9"/>
      <c r="G54" s="19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-2957197</v>
      </c>
      <c r="E55" s="32">
        <f>IF(E53&gt;0,E53*(1-[1]Supuestos!$P$15),E53)</f>
        <v>-2875458</v>
      </c>
      <c r="F55" s="32">
        <f>IF(F53&gt;0,F53*(1-[1]Supuestos!$P$15),F53)</f>
        <v>30972782.359999999</v>
      </c>
      <c r="G55" s="32">
        <f>IF(G53&gt;0,G53*(1-[1]Supuestos!$P$15),G53)</f>
        <v>-50495028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D6:E6"/>
    <mergeCell ref="F6:G6"/>
    <mergeCell ref="B57:H57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7" zoomScale="75" zoomScaleNormal="70" zoomScaleSheetLayoutView="75" workbookViewId="0">
      <selection activeCell="E16" sqref="E16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4.25" style="4" customWidth="1"/>
    <col min="4" max="7" width="16.5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50"/>
      <c r="D3" s="41" t="s">
        <v>57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50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>
        <f>+'Base de Datos'!D261</f>
        <v>0</v>
      </c>
      <c r="E9" s="18">
        <f>+'Base de Datos'!E261</f>
        <v>0</v>
      </c>
      <c r="F9" s="18">
        <f>+'Base de Datos'!F261</f>
        <v>623872611</v>
      </c>
      <c r="G9" s="18">
        <f>+'Base de Datos'!G261</f>
        <v>740872078</v>
      </c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9"/>
      <c r="G10" s="28"/>
      <c r="H10" s="44"/>
    </row>
    <row r="11" spans="1:8" s="10" customFormat="1" ht="20.25" customHeight="1" x14ac:dyDescent="0.15">
      <c r="A11" s="7"/>
      <c r="B11" s="20" t="s">
        <v>12</v>
      </c>
      <c r="C11" s="8"/>
      <c r="D11" s="21">
        <f>+'Base de Datos'!D266</f>
        <v>0</v>
      </c>
      <c r="E11" s="21">
        <f>+'Base de Datos'!E266</f>
        <v>0</v>
      </c>
      <c r="F11" s="21">
        <f>+'Base de Datos'!F266</f>
        <v>-487782500</v>
      </c>
      <c r="G11" s="21">
        <f>+'Base de Datos'!G266</f>
        <v>-535730666</v>
      </c>
      <c r="H11" s="45"/>
    </row>
    <row r="12" spans="1:8" s="10" customFormat="1" ht="20.25" customHeight="1" x14ac:dyDescent="0.15">
      <c r="A12" s="7"/>
      <c r="B12" s="20" t="s">
        <v>13</v>
      </c>
      <c r="C12" s="8"/>
      <c r="D12" s="21"/>
      <c r="E12" s="21"/>
      <c r="F12" s="22"/>
      <c r="G12" s="23"/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/>
      <c r="F13" s="22"/>
      <c r="G13" s="23"/>
      <c r="H13" s="45"/>
    </row>
    <row r="14" spans="1:8" s="10" customFormat="1" ht="20.25" customHeight="1" x14ac:dyDescent="0.15">
      <c r="A14" s="7"/>
      <c r="B14" s="20" t="s">
        <v>15</v>
      </c>
      <c r="C14" s="8"/>
      <c r="D14" s="21"/>
      <c r="E14" s="21"/>
      <c r="F14" s="22"/>
      <c r="G14" s="23"/>
      <c r="H14" s="45"/>
    </row>
    <row r="15" spans="1:8" s="10" customFormat="1" ht="20.25" customHeight="1" x14ac:dyDescent="0.15">
      <c r="A15" s="7"/>
      <c r="B15" s="20" t="s">
        <v>16</v>
      </c>
      <c r="C15" s="8"/>
      <c r="D15" s="21"/>
      <c r="E15" s="21"/>
      <c r="F15" s="22"/>
      <c r="G15" s="23"/>
      <c r="H15" s="45"/>
    </row>
    <row r="16" spans="1:8" s="10" customFormat="1" ht="20.25" customHeight="1" x14ac:dyDescent="0.15">
      <c r="A16" s="7"/>
      <c r="B16" s="20" t="s">
        <v>17</v>
      </c>
      <c r="C16" s="8"/>
      <c r="D16" s="21">
        <f>+SUM('Base de Datos'!D274:D275)</f>
        <v>-3278891</v>
      </c>
      <c r="E16" s="21">
        <f>+SUM('Base de Datos'!E274:E275)</f>
        <v>-4743853</v>
      </c>
      <c r="F16" s="21">
        <f>+SUM('Base de Datos'!F274:F275)</f>
        <v>-32210197</v>
      </c>
      <c r="G16" s="21">
        <f>+SUM('Base de Datos'!G274:G275)</f>
        <v>-45112082</v>
      </c>
      <c r="H16" s="45"/>
    </row>
    <row r="17" spans="1:22" s="10" customFormat="1" ht="20.25" customHeight="1" x14ac:dyDescent="0.15">
      <c r="A17" s="7"/>
      <c r="B17" s="20" t="s">
        <v>18</v>
      </c>
      <c r="C17" s="8"/>
      <c r="D17" s="21">
        <f>+SUM('Base de Datos'!D277:D295)</f>
        <v>-904383</v>
      </c>
      <c r="E17" s="21">
        <f>+SUM('Base de Datos'!E277:E295)</f>
        <v>-2164817</v>
      </c>
      <c r="F17" s="21">
        <f>+SUM('Base de Datos'!F277:F295)</f>
        <v>-136032583</v>
      </c>
      <c r="G17" s="21">
        <f>+SUM('Base de Datos'!G277:G295)</f>
        <v>-147138565</v>
      </c>
      <c r="H17" s="45"/>
    </row>
    <row r="18" spans="1:22" s="10" customFormat="1" ht="20.25" customHeight="1" x14ac:dyDescent="0.15">
      <c r="A18" s="7"/>
      <c r="B18" s="20" t="s">
        <v>19</v>
      </c>
      <c r="C18" s="8"/>
      <c r="D18" s="21"/>
      <c r="E18" s="21"/>
      <c r="F18" s="22"/>
      <c r="G18" s="23"/>
      <c r="H18" s="45"/>
    </row>
    <row r="19" spans="1:22" s="10" customFormat="1" ht="20.25" customHeight="1" x14ac:dyDescent="0.15">
      <c r="A19" s="7"/>
      <c r="B19" s="20" t="s">
        <v>20</v>
      </c>
      <c r="C19" s="8"/>
      <c r="D19" s="21"/>
      <c r="E19" s="21"/>
      <c r="F19" s="22"/>
      <c r="G19" s="23"/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-4183274</v>
      </c>
      <c r="E20" s="18">
        <f>SUM(E11:E19)</f>
        <v>-6908670</v>
      </c>
      <c r="F20" s="19">
        <f>SUM(F11:F19)</f>
        <v>-656025280</v>
      </c>
      <c r="G20" s="19">
        <f>SUM(G11:G19)</f>
        <v>-727981313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9"/>
      <c r="G21" s="19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-4183274</v>
      </c>
      <c r="E22" s="26">
        <f>+E9+E20</f>
        <v>-6908670</v>
      </c>
      <c r="F22" s="26">
        <f>+F9+F20</f>
        <v>-32152669</v>
      </c>
      <c r="G22" s="26">
        <f>+G9+G20</f>
        <v>12890765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9"/>
      <c r="G23" s="2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/>
      <c r="E24" s="23"/>
      <c r="F24" s="22"/>
      <c r="G24" s="23"/>
      <c r="H24" s="45"/>
    </row>
    <row r="25" spans="1:22" s="10" customFormat="1" ht="20.25" customHeight="1" x14ac:dyDescent="0.15">
      <c r="A25" s="7"/>
      <c r="B25" s="20" t="s">
        <v>24</v>
      </c>
      <c r="C25" s="8"/>
      <c r="D25" s="23"/>
      <c r="E25" s="23"/>
      <c r="F25" s="22"/>
      <c r="G25" s="23"/>
      <c r="H25" s="45"/>
    </row>
    <row r="26" spans="1:22" s="10" customFormat="1" ht="20.25" customHeight="1" x14ac:dyDescent="0.15">
      <c r="A26" s="7"/>
      <c r="B26" s="20" t="s">
        <v>25</v>
      </c>
      <c r="C26" s="8"/>
      <c r="D26" s="23">
        <f>+'Base de Datos'!D276</f>
        <v>0</v>
      </c>
      <c r="E26" s="23">
        <f>+'Base de Datos'!E276</f>
        <v>0</v>
      </c>
      <c r="F26" s="23">
        <f>+'Base de Datos'!F276</f>
        <v>-10727273</v>
      </c>
      <c r="G26" s="23">
        <f>+'Base de Datos'!G276</f>
        <v>-12728859</v>
      </c>
      <c r="H26" s="45"/>
    </row>
    <row r="27" spans="1:22" s="10" customFormat="1" ht="20.25" customHeight="1" x14ac:dyDescent="0.15">
      <c r="A27" s="7"/>
      <c r="B27" s="20" t="s">
        <v>26</v>
      </c>
      <c r="C27" s="8"/>
      <c r="D27" s="23"/>
      <c r="E27" s="23"/>
      <c r="F27" s="22"/>
      <c r="G27" s="23"/>
      <c r="H27" s="45"/>
    </row>
    <row r="28" spans="1:22" s="10" customFormat="1" ht="20.25" customHeight="1" x14ac:dyDescent="0.15">
      <c r="A28" s="7"/>
      <c r="B28" s="27" t="s">
        <v>27</v>
      </c>
      <c r="C28" s="111"/>
      <c r="D28" s="23"/>
      <c r="E28" s="23"/>
      <c r="F28" s="22"/>
      <c r="G28" s="23"/>
      <c r="H28" s="45"/>
    </row>
    <row r="29" spans="1:22" s="10" customFormat="1" ht="20.25" customHeight="1" x14ac:dyDescent="0.15">
      <c r="A29" s="7"/>
      <c r="B29" s="20" t="s">
        <v>28</v>
      </c>
      <c r="C29" s="8"/>
      <c r="D29" s="23"/>
      <c r="E29" s="23"/>
      <c r="F29" s="22"/>
      <c r="G29" s="23"/>
      <c r="H29" s="45"/>
    </row>
    <row r="30" spans="1:22" s="10" customFormat="1" ht="20.25" customHeight="1" x14ac:dyDescent="0.15">
      <c r="A30" s="7"/>
      <c r="B30" s="20" t="s">
        <v>29</v>
      </c>
      <c r="C30" s="8"/>
      <c r="D30" s="23"/>
      <c r="E30" s="23"/>
      <c r="F30" s="22"/>
      <c r="G30" s="23"/>
      <c r="H30" s="45"/>
    </row>
    <row r="31" spans="1:22" s="10" customFormat="1" ht="20.25" customHeight="1" x14ac:dyDescent="0.15">
      <c r="A31" s="7"/>
      <c r="B31" s="17" t="s">
        <v>30</v>
      </c>
      <c r="C31" s="109"/>
      <c r="D31" s="28">
        <f>SUM(D24:D30)</f>
        <v>0</v>
      </c>
      <c r="E31" s="28">
        <f>SUM(E24:E30)</f>
        <v>0</v>
      </c>
      <c r="F31" s="19">
        <f>SUM(F24:F30)</f>
        <v>-10727273</v>
      </c>
      <c r="G31" s="19">
        <f>SUM(G24:G30)</f>
        <v>-12728859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9"/>
      <c r="G32" s="2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3"/>
      <c r="G33" s="23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3"/>
      <c r="G34" s="23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2"/>
      <c r="G35" s="23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2"/>
      <c r="G36" s="23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19">
        <f>SUM(F33:F36)</f>
        <v>0</v>
      </c>
      <c r="G37" s="1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9"/>
      <c r="G38" s="19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+D22+D31+D37</f>
        <v>-4183274</v>
      </c>
      <c r="E39" s="26">
        <f>+E22+E31+E37</f>
        <v>-6908670</v>
      </c>
      <c r="F39" s="26">
        <f>+F22+F31+F37</f>
        <v>-42879942</v>
      </c>
      <c r="G39" s="26">
        <f>+G22+G31+G37</f>
        <v>161906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9"/>
      <c r="G40" s="2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>
        <v>0</v>
      </c>
      <c r="E41" s="23"/>
      <c r="F41" s="22"/>
      <c r="G41" s="23"/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9"/>
      <c r="G42" s="2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+D39-D41</f>
        <v>-4183274</v>
      </c>
      <c r="E43" s="26">
        <f>+E39-E41</f>
        <v>-6908670</v>
      </c>
      <c r="F43" s="26">
        <f>+F39-F41</f>
        <v>-42879942</v>
      </c>
      <c r="G43" s="26">
        <f>+G39-G41</f>
        <v>161906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9"/>
      <c r="G44" s="2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2"/>
      <c r="G45" s="23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2"/>
      <c r="G46" s="23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2"/>
      <c r="G47" s="23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2"/>
      <c r="G48" s="23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2"/>
      <c r="G49" s="23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/>
      <c r="F50" s="22"/>
      <c r="G50" s="23">
        <f>+'Base de Datos'!G296</f>
        <v>28062172</v>
      </c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0</v>
      </c>
      <c r="F51" s="19">
        <f>SUM(F45:F50)</f>
        <v>0</v>
      </c>
      <c r="G51" s="19">
        <f>SUM(G45:G50)</f>
        <v>28062172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9"/>
      <c r="G52" s="19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-4183274</v>
      </c>
      <c r="E53" s="18">
        <f>+E43+E51</f>
        <v>-6908670</v>
      </c>
      <c r="F53" s="19">
        <f>+F43+F51</f>
        <v>-42879942</v>
      </c>
      <c r="G53" s="19">
        <f>+G43+G51</f>
        <v>28224078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9"/>
      <c r="G54" s="19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-4183274</v>
      </c>
      <c r="E55" s="32">
        <f>IF(E53&gt;0,E53*(1-[1]Supuestos!$P$15),E53)</f>
        <v>-6908670</v>
      </c>
      <c r="F55" s="32">
        <f>IF(F53&gt;0,F53*(1-[1]Supuestos!$P$15),F53)</f>
        <v>-42879942</v>
      </c>
      <c r="G55" s="32">
        <f>IF(G53&gt;0,G53*(1-[1]Supuestos!$P$15),G53)</f>
        <v>21450299.280000001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D6:E6"/>
    <mergeCell ref="F6:G6"/>
    <mergeCell ref="B57:H57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4" zoomScale="75" zoomScaleNormal="70" zoomScaleSheetLayoutView="75" workbookViewId="0">
      <selection activeCell="E24" sqref="E24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3.625" style="4" customWidth="1"/>
    <col min="4" max="7" width="16.5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50"/>
      <c r="D3" s="41" t="s">
        <v>59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50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>
        <f>+'Base de Datos'!D369</f>
        <v>0</v>
      </c>
      <c r="E9" s="18">
        <f>+'Base de Datos'!E369</f>
        <v>405000</v>
      </c>
      <c r="F9" s="18">
        <f>+'Base de Datos'!F369</f>
        <v>1169826295</v>
      </c>
      <c r="G9" s="18">
        <f>+'Base de Datos'!G369</f>
        <v>1254503683</v>
      </c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8"/>
      <c r="G10" s="18"/>
      <c r="H10" s="44"/>
    </row>
    <row r="11" spans="1:8" s="10" customFormat="1" ht="20.25" customHeight="1" x14ac:dyDescent="0.15">
      <c r="A11" s="7"/>
      <c r="B11" s="20" t="s">
        <v>12</v>
      </c>
      <c r="C11" s="8"/>
      <c r="D11" s="21">
        <f>+'Base de Datos'!D374</f>
        <v>0</v>
      </c>
      <c r="E11" s="21">
        <f>+'Base de Datos'!E374</f>
        <v>0</v>
      </c>
      <c r="F11" s="21">
        <f>+'Base de Datos'!F374</f>
        <v>-148575000</v>
      </c>
      <c r="G11" s="21">
        <f>+'Base de Datos'!G374</f>
        <v>-167484683</v>
      </c>
      <c r="H11" s="45"/>
    </row>
    <row r="12" spans="1:8" s="10" customFormat="1" ht="20.25" customHeight="1" x14ac:dyDescent="0.15">
      <c r="A12" s="7"/>
      <c r="B12" s="20" t="s">
        <v>13</v>
      </c>
      <c r="C12" s="8"/>
      <c r="D12" s="21">
        <f>+'Base de Datos'!D376</f>
        <v>0</v>
      </c>
      <c r="E12" s="21">
        <f>+'Base de Datos'!E376</f>
        <v>0</v>
      </c>
      <c r="F12" s="21">
        <f>+'Base de Datos'!F376</f>
        <v>-5010200</v>
      </c>
      <c r="G12" s="21">
        <f>+'Base de Datos'!G376</f>
        <v>-3781236</v>
      </c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>
        <f>+'Base de Datos'!E377</f>
        <v>0</v>
      </c>
      <c r="F13" s="21"/>
      <c r="G13" s="21">
        <f>+'Base de Datos'!G377</f>
        <v>150099937</v>
      </c>
      <c r="H13" s="45"/>
    </row>
    <row r="14" spans="1:8" s="10" customFormat="1" ht="20.25" customHeight="1" x14ac:dyDescent="0.15">
      <c r="A14" s="7"/>
      <c r="B14" s="20" t="s">
        <v>15</v>
      </c>
      <c r="C14" s="8"/>
      <c r="D14" s="21"/>
      <c r="E14" s="21"/>
      <c r="F14" s="21"/>
      <c r="G14" s="21"/>
      <c r="H14" s="45"/>
    </row>
    <row r="15" spans="1:8" s="10" customFormat="1" ht="20.25" customHeight="1" x14ac:dyDescent="0.15">
      <c r="A15" s="7"/>
      <c r="B15" s="20" t="s">
        <v>16</v>
      </c>
      <c r="C15" s="8"/>
      <c r="D15" s="21"/>
      <c r="E15" s="21"/>
      <c r="F15" s="21"/>
      <c r="G15" s="21"/>
      <c r="H15" s="45"/>
    </row>
    <row r="16" spans="1:8" s="10" customFormat="1" ht="20.25" customHeight="1" x14ac:dyDescent="0.15">
      <c r="A16" s="7"/>
      <c r="B16" s="20" t="s">
        <v>17</v>
      </c>
      <c r="C16" s="8"/>
      <c r="D16" s="21">
        <f>+SUM('Base de Datos'!D382:D383)</f>
        <v>-1122054</v>
      </c>
      <c r="E16" s="21">
        <f>+SUM('Base de Datos'!E382:E383)</f>
        <v>-1617628</v>
      </c>
      <c r="F16" s="21">
        <f>+SUM('Base de Datos'!F382:F383)</f>
        <v>-11022502</v>
      </c>
      <c r="G16" s="21">
        <f>+SUM('Base de Datos'!G382:G383)</f>
        <v>-9602265</v>
      </c>
      <c r="H16" s="45"/>
    </row>
    <row r="17" spans="1:22" s="10" customFormat="1" ht="20.25" customHeight="1" x14ac:dyDescent="0.15">
      <c r="A17" s="7"/>
      <c r="B17" s="20" t="s">
        <v>18</v>
      </c>
      <c r="C17" s="8"/>
      <c r="D17" s="21">
        <f>+SUM('Base de Datos'!D385:D398,'Base de Datos'!D399:D403)</f>
        <v>-309485</v>
      </c>
      <c r="E17" s="21">
        <f>+SUM('Base de Datos'!E385:E398,'Base de Datos'!E399:E403)</f>
        <v>10223972</v>
      </c>
      <c r="F17" s="21">
        <f>+SUM('Base de Datos'!F385:F397,'Base de Datos'!F399:F403)</f>
        <v>-133814319</v>
      </c>
      <c r="G17" s="21">
        <f>+SUM('Base de Datos'!G385:G397,'Base de Datos'!G399:G403)</f>
        <v>-112078101</v>
      </c>
      <c r="H17" s="45"/>
    </row>
    <row r="18" spans="1:22" s="10" customFormat="1" ht="20.25" customHeight="1" x14ac:dyDescent="0.15">
      <c r="A18" s="7"/>
      <c r="B18" s="20" t="s">
        <v>19</v>
      </c>
      <c r="C18" s="8"/>
      <c r="D18" s="21">
        <f>+'Base de Datos'!D379</f>
        <v>0</v>
      </c>
      <c r="E18" s="21">
        <f>+'Base de Datos'!E379</f>
        <v>-448000</v>
      </c>
      <c r="F18" s="21">
        <f>+'Base de Datos'!F379</f>
        <v>0</v>
      </c>
      <c r="G18" s="21">
        <f>+'Base de Datos'!G379</f>
        <v>-448000</v>
      </c>
      <c r="H18" s="45"/>
    </row>
    <row r="19" spans="1:22" s="10" customFormat="1" ht="20.25" customHeight="1" x14ac:dyDescent="0.15">
      <c r="A19" s="7"/>
      <c r="B19" s="20" t="s">
        <v>20</v>
      </c>
      <c r="C19" s="8"/>
      <c r="D19" s="21">
        <f>+'Base de Datos'!D378</f>
        <v>0</v>
      </c>
      <c r="E19" s="21">
        <f>+'Base de Datos'!E378</f>
        <v>-179322620</v>
      </c>
      <c r="F19" s="21">
        <f>+'Base de Datos'!F378</f>
        <v>-148488000</v>
      </c>
      <c r="G19" s="21">
        <f>+'Base de Datos'!G378</f>
        <v>-323262732</v>
      </c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-1431539</v>
      </c>
      <c r="E20" s="18">
        <f>SUM(E11:E19)</f>
        <v>-171164276</v>
      </c>
      <c r="F20" s="18">
        <f>SUM(F11:F19)</f>
        <v>-446910021</v>
      </c>
      <c r="G20" s="18">
        <f>SUM(G11:G19)</f>
        <v>-466557080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8"/>
      <c r="G21" s="18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-1431539</v>
      </c>
      <c r="E22" s="26">
        <f>+E9+E20</f>
        <v>-170759276</v>
      </c>
      <c r="F22" s="26">
        <f>+F9+F20</f>
        <v>722916274</v>
      </c>
      <c r="G22" s="26">
        <f>+G9+G20</f>
        <v>787946603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8"/>
      <c r="G23" s="1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/>
      <c r="E24" s="23"/>
      <c r="F24" s="23"/>
      <c r="G24" s="23"/>
      <c r="H24" s="45"/>
    </row>
    <row r="25" spans="1:22" s="10" customFormat="1" ht="20.25" customHeight="1" x14ac:dyDescent="0.15">
      <c r="A25" s="7"/>
      <c r="B25" s="20" t="s">
        <v>24</v>
      </c>
      <c r="C25" s="8"/>
      <c r="D25" s="23"/>
      <c r="E25" s="23"/>
      <c r="F25" s="23"/>
      <c r="G25" s="23"/>
      <c r="H25" s="45"/>
    </row>
    <row r="26" spans="1:22" s="10" customFormat="1" ht="20.25" customHeight="1" x14ac:dyDescent="0.15">
      <c r="A26" s="7"/>
      <c r="B26" s="20" t="s">
        <v>25</v>
      </c>
      <c r="C26" s="8"/>
      <c r="D26" s="23">
        <f>+'Base de Datos'!D384</f>
        <v>0</v>
      </c>
      <c r="E26" s="23">
        <f>+'Base de Datos'!E384</f>
        <v>0</v>
      </c>
      <c r="F26" s="23">
        <f>+'Base de Datos'!F384</f>
        <v>-6250000</v>
      </c>
      <c r="G26" s="23">
        <f>+'Base de Datos'!G384</f>
        <v>-4613991</v>
      </c>
      <c r="H26" s="45"/>
    </row>
    <row r="27" spans="1:22" s="10" customFormat="1" ht="20.25" customHeight="1" x14ac:dyDescent="0.15">
      <c r="A27" s="7"/>
      <c r="B27" s="20" t="s">
        <v>26</v>
      </c>
      <c r="C27" s="8"/>
      <c r="D27" s="23">
        <f>+'Base de Datos'!D378</f>
        <v>0</v>
      </c>
      <c r="E27" s="23">
        <f>+'Base de Datos'!E378</f>
        <v>-179322620</v>
      </c>
      <c r="F27" s="23">
        <v>0</v>
      </c>
      <c r="G27" s="23">
        <v>0</v>
      </c>
      <c r="H27" s="45"/>
    </row>
    <row r="28" spans="1:22" s="10" customFormat="1" ht="20.25" customHeight="1" x14ac:dyDescent="0.15">
      <c r="A28" s="7"/>
      <c r="B28" s="27" t="s">
        <v>27</v>
      </c>
      <c r="C28" s="111"/>
      <c r="D28" s="23"/>
      <c r="E28" s="23"/>
      <c r="F28" s="23"/>
      <c r="G28" s="23"/>
      <c r="H28" s="45"/>
    </row>
    <row r="29" spans="1:22" s="10" customFormat="1" ht="20.25" customHeight="1" x14ac:dyDescent="0.15">
      <c r="A29" s="7"/>
      <c r="B29" s="20" t="s">
        <v>28</v>
      </c>
      <c r="C29" s="8"/>
      <c r="D29" s="23">
        <f>+'Base de Datos'!D398</f>
        <v>0</v>
      </c>
      <c r="E29" s="23">
        <f>+'Base de Datos'!E398</f>
        <v>0</v>
      </c>
      <c r="F29" s="23">
        <f>+'Base de Datos'!F398</f>
        <v>-7201645</v>
      </c>
      <c r="G29" s="23">
        <f>+'Base de Datos'!G398</f>
        <v>-9801567</v>
      </c>
      <c r="H29" s="45"/>
    </row>
    <row r="30" spans="1:22" s="10" customFormat="1" ht="20.25" customHeight="1" x14ac:dyDescent="0.15">
      <c r="A30" s="7"/>
      <c r="B30" s="20" t="s">
        <v>29</v>
      </c>
      <c r="C30" s="8"/>
      <c r="D30" s="23"/>
      <c r="E30" s="23"/>
      <c r="F30" s="23"/>
      <c r="G30" s="23"/>
      <c r="H30" s="45"/>
    </row>
    <row r="31" spans="1:22" s="10" customFormat="1" ht="20.25" customHeight="1" x14ac:dyDescent="0.15">
      <c r="A31" s="7"/>
      <c r="B31" s="17" t="s">
        <v>30</v>
      </c>
      <c r="C31" s="109"/>
      <c r="D31" s="28">
        <f>SUM(D24:D30)</f>
        <v>0</v>
      </c>
      <c r="E31" s="28">
        <f>SUM(E24:E30)</f>
        <v>-179322620</v>
      </c>
      <c r="F31" s="28">
        <f>SUM(F24:F30)</f>
        <v>-13451645</v>
      </c>
      <c r="G31" s="28">
        <f>SUM(G24:G30)</f>
        <v>-14415558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8"/>
      <c r="G32" s="1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1"/>
      <c r="G33" s="21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1"/>
      <c r="G34" s="21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1"/>
      <c r="G35" s="21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1"/>
      <c r="G36" s="21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29">
        <f>SUM(F33:F36)</f>
        <v>0</v>
      </c>
      <c r="G37" s="2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8"/>
      <c r="G38" s="18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+D22+D31+D37</f>
        <v>-1431539</v>
      </c>
      <c r="E39" s="26">
        <f>+E22+E31+E37</f>
        <v>-350081896</v>
      </c>
      <c r="F39" s="26">
        <f>+F22+F31+F37</f>
        <v>709464629</v>
      </c>
      <c r="G39" s="26">
        <f>+G22+G31+G37</f>
        <v>773531045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8"/>
      <c r="G40" s="1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>
        <v>0</v>
      </c>
      <c r="E41" s="23">
        <v>0</v>
      </c>
      <c r="F41" s="23">
        <v>0</v>
      </c>
      <c r="G41" s="23">
        <v>0</v>
      </c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8"/>
      <c r="G42" s="1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+D39-D41</f>
        <v>-1431539</v>
      </c>
      <c r="E43" s="26">
        <f>+E39-E41</f>
        <v>-350081896</v>
      </c>
      <c r="F43" s="26">
        <f>+F39-F41</f>
        <v>709464629</v>
      </c>
      <c r="G43" s="26">
        <f>+G39-G41</f>
        <v>773531045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8"/>
      <c r="G44" s="1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1"/>
      <c r="G45" s="21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1"/>
      <c r="G46" s="21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1"/>
      <c r="G47" s="21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1"/>
      <c r="G48" s="21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1"/>
      <c r="G49" s="21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/>
      <c r="F50" s="21"/>
      <c r="G50" s="21">
        <f>+'Base de Datos'!G404</f>
        <v>2015612</v>
      </c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0</v>
      </c>
      <c r="F51" s="18">
        <f>SUM(F45:F50)</f>
        <v>0</v>
      </c>
      <c r="G51" s="18">
        <f>SUM(G45:G50)</f>
        <v>2015612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8"/>
      <c r="G52" s="18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-1431539</v>
      </c>
      <c r="E53" s="18">
        <f>+E43+E51</f>
        <v>-350081896</v>
      </c>
      <c r="F53" s="18">
        <f>+F43+F51</f>
        <v>709464629</v>
      </c>
      <c r="G53" s="18">
        <f>+G43+G51</f>
        <v>775546657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8"/>
      <c r="G54" s="18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-1431539</v>
      </c>
      <c r="E55" s="32">
        <f>IF(E53&gt;0,E53*(1-[1]Supuestos!$P$15),E53)</f>
        <v>-350081896</v>
      </c>
      <c r="F55" s="32">
        <f>IF(F53&gt;0,F53*(1-[1]Supuestos!$P$15),F53)</f>
        <v>539193118.03999996</v>
      </c>
      <c r="G55" s="32">
        <f>IF(G53&gt;0,G53*(1-[1]Supuestos!$P$15),G53)</f>
        <v>589415459.32000005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D6:E6"/>
    <mergeCell ref="F6:G6"/>
    <mergeCell ref="B57:H57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view="pageBreakPreview" topLeftCell="B9" zoomScale="75" zoomScaleNormal="70" zoomScaleSheetLayoutView="75" workbookViewId="0">
      <selection activeCell="G24" sqref="G24"/>
    </sheetView>
  </sheetViews>
  <sheetFormatPr baseColWidth="10" defaultRowHeight="12" x14ac:dyDescent="0.15"/>
  <cols>
    <col min="1" max="1" width="3.125" style="4" customWidth="1"/>
    <col min="2" max="2" width="34.25" style="4" customWidth="1"/>
    <col min="3" max="3" width="4.25" style="4" customWidth="1"/>
    <col min="4" max="7" width="16.5" style="37" customWidth="1"/>
    <col min="8" max="8" width="121.125" style="37" customWidth="1"/>
    <col min="9" max="9" width="2.75" style="4" customWidth="1"/>
    <col min="10" max="21" width="14.125" style="4" customWidth="1"/>
    <col min="22" max="16384" width="11" style="4"/>
  </cols>
  <sheetData>
    <row r="1" spans="1:8" ht="21.75" customHeight="1" thickTop="1" x14ac:dyDescent="0.25">
      <c r="A1" s="1"/>
      <c r="B1" s="2"/>
      <c r="C1" s="2"/>
      <c r="D1" s="3"/>
      <c r="E1" s="3"/>
      <c r="F1" s="3"/>
      <c r="G1" s="3"/>
      <c r="H1" s="3"/>
    </row>
    <row r="2" spans="1:8" s="6" customFormat="1" ht="20.25" x14ac:dyDescent="0.15">
      <c r="A2" s="5"/>
      <c r="B2" s="431" t="s">
        <v>47</v>
      </c>
      <c r="C2" s="431"/>
      <c r="D2" s="431"/>
      <c r="E2" s="431"/>
      <c r="F2" s="431"/>
      <c r="G2" s="431"/>
      <c r="H2" s="431"/>
    </row>
    <row r="3" spans="1:8" s="6" customFormat="1" ht="20.25" x14ac:dyDescent="0.15">
      <c r="A3" s="5"/>
      <c r="B3" s="38" t="s">
        <v>55</v>
      </c>
      <c r="C3" s="50"/>
      <c r="D3" s="41" t="s">
        <v>60</v>
      </c>
      <c r="E3" s="38"/>
      <c r="F3" s="38"/>
      <c r="G3" s="38"/>
      <c r="H3" s="38"/>
    </row>
    <row r="4" spans="1:8" s="6" customFormat="1" ht="20.25" x14ac:dyDescent="0.15">
      <c r="A4" s="5"/>
      <c r="B4" s="38" t="s">
        <v>48</v>
      </c>
      <c r="C4" s="50"/>
      <c r="D4" s="41" t="str">
        <f>+Portada!H19</f>
        <v>Octubre de 2016</v>
      </c>
      <c r="E4" s="38"/>
      <c r="F4" s="38"/>
      <c r="G4" s="38"/>
      <c r="H4" s="38"/>
    </row>
    <row r="5" spans="1:8" s="10" customFormat="1" ht="14.25" customHeight="1" thickBot="1" x14ac:dyDescent="0.2">
      <c r="A5" s="7"/>
      <c r="B5" s="8"/>
      <c r="C5" s="8"/>
      <c r="D5" s="9" t="s">
        <v>0</v>
      </c>
      <c r="E5" s="9"/>
      <c r="F5" s="9" t="s">
        <v>0</v>
      </c>
      <c r="G5" s="9"/>
      <c r="H5" s="9"/>
    </row>
    <row r="6" spans="1:8" s="13" customFormat="1" ht="27.75" customHeight="1" x14ac:dyDescent="0.15">
      <c r="A6" s="11"/>
      <c r="B6" s="12" t="s">
        <v>1</v>
      </c>
      <c r="C6" s="106"/>
      <c r="D6" s="436" t="s">
        <v>52</v>
      </c>
      <c r="E6" s="437"/>
      <c r="F6" s="436" t="s">
        <v>53</v>
      </c>
      <c r="G6" s="437"/>
      <c r="H6" s="42" t="s">
        <v>54</v>
      </c>
    </row>
    <row r="7" spans="1:8" s="13" customFormat="1" ht="15" x14ac:dyDescent="0.15">
      <c r="A7" s="11"/>
      <c r="B7" s="39"/>
      <c r="C7" s="107"/>
      <c r="D7" s="40" t="s">
        <v>49</v>
      </c>
      <c r="E7" s="40" t="s">
        <v>50</v>
      </c>
      <c r="F7" s="40" t="s">
        <v>49</v>
      </c>
      <c r="G7" s="40" t="s">
        <v>50</v>
      </c>
      <c r="H7" s="49"/>
    </row>
    <row r="8" spans="1:8" s="10" customFormat="1" ht="20.25" customHeight="1" x14ac:dyDescent="0.15">
      <c r="A8" s="7"/>
      <c r="B8" s="14"/>
      <c r="C8" s="108"/>
      <c r="D8" s="15" t="s">
        <v>1</v>
      </c>
      <c r="E8" s="15"/>
      <c r="F8" s="15" t="s">
        <v>1</v>
      </c>
      <c r="G8" s="15"/>
      <c r="H8" s="43"/>
    </row>
    <row r="9" spans="1:8" s="10" customFormat="1" ht="20.25" customHeight="1" x14ac:dyDescent="0.15">
      <c r="A9" s="16"/>
      <c r="B9" s="17" t="s">
        <v>11</v>
      </c>
      <c r="C9" s="109"/>
      <c r="D9" s="18"/>
      <c r="E9" s="18"/>
      <c r="F9" s="18"/>
      <c r="G9" s="18"/>
      <c r="H9" s="44"/>
    </row>
    <row r="10" spans="1:8" s="10" customFormat="1" ht="10.5" customHeight="1" x14ac:dyDescent="0.15">
      <c r="A10" s="7"/>
      <c r="B10" s="17"/>
      <c r="C10" s="109"/>
      <c r="D10" s="18"/>
      <c r="E10" s="18"/>
      <c r="F10" s="18"/>
      <c r="G10" s="18"/>
      <c r="H10" s="44"/>
    </row>
    <row r="11" spans="1:8" s="10" customFormat="1" ht="20.25" customHeight="1" x14ac:dyDescent="0.15">
      <c r="A11" s="7"/>
      <c r="B11" s="20" t="s">
        <v>12</v>
      </c>
      <c r="C11" s="8"/>
      <c r="D11" s="21"/>
      <c r="E11" s="21"/>
      <c r="F11" s="21"/>
      <c r="G11" s="21"/>
      <c r="H11" s="45"/>
    </row>
    <row r="12" spans="1:8" s="10" customFormat="1" ht="20.25" customHeight="1" x14ac:dyDescent="0.15">
      <c r="A12" s="7"/>
      <c r="B12" s="20" t="s">
        <v>13</v>
      </c>
      <c r="C12" s="8"/>
      <c r="D12" s="21"/>
      <c r="E12" s="21"/>
      <c r="F12" s="21"/>
      <c r="G12" s="21"/>
      <c r="H12" s="45"/>
    </row>
    <row r="13" spans="1:8" s="10" customFormat="1" ht="20.25" customHeight="1" x14ac:dyDescent="0.15">
      <c r="A13" s="7"/>
      <c r="B13" s="20" t="s">
        <v>14</v>
      </c>
      <c r="C13" s="8"/>
      <c r="D13" s="21"/>
      <c r="E13" s="21"/>
      <c r="F13" s="21"/>
      <c r="G13" s="21"/>
      <c r="H13" s="45"/>
    </row>
    <row r="14" spans="1:8" s="10" customFormat="1" ht="20.25" customHeight="1" x14ac:dyDescent="0.15">
      <c r="A14" s="7"/>
      <c r="B14" s="20" t="s">
        <v>15</v>
      </c>
      <c r="C14" s="8"/>
      <c r="D14" s="21"/>
      <c r="E14" s="21"/>
      <c r="F14" s="21"/>
      <c r="G14" s="21"/>
      <c r="H14" s="45"/>
    </row>
    <row r="15" spans="1:8" s="10" customFormat="1" ht="20.25" customHeight="1" x14ac:dyDescent="0.15">
      <c r="A15" s="7"/>
      <c r="B15" s="20" t="s">
        <v>16</v>
      </c>
      <c r="C15" s="8"/>
      <c r="D15" s="21"/>
      <c r="E15" s="21"/>
      <c r="F15" s="21"/>
      <c r="G15" s="21"/>
      <c r="H15" s="45"/>
    </row>
    <row r="16" spans="1:8" s="10" customFormat="1" ht="20.25" customHeight="1" x14ac:dyDescent="0.15">
      <c r="A16" s="7"/>
      <c r="B16" s="20" t="s">
        <v>17</v>
      </c>
      <c r="C16" s="8"/>
      <c r="D16" s="21"/>
      <c r="E16" s="21"/>
      <c r="F16" s="21"/>
      <c r="G16" s="21"/>
      <c r="H16" s="45"/>
    </row>
    <row r="17" spans="1:22" s="10" customFormat="1" ht="20.25" customHeight="1" x14ac:dyDescent="0.15">
      <c r="A17" s="7"/>
      <c r="B17" s="20" t="s">
        <v>18</v>
      </c>
      <c r="C17" s="8"/>
      <c r="D17" s="21"/>
      <c r="E17" s="21"/>
      <c r="F17" s="21"/>
      <c r="G17" s="21"/>
      <c r="H17" s="45"/>
    </row>
    <row r="18" spans="1:22" s="10" customFormat="1" ht="20.25" customHeight="1" x14ac:dyDescent="0.15">
      <c r="A18" s="7"/>
      <c r="B18" s="20" t="s">
        <v>19</v>
      </c>
      <c r="C18" s="8"/>
      <c r="D18" s="21"/>
      <c r="E18" s="21"/>
      <c r="F18" s="21"/>
      <c r="G18" s="21"/>
      <c r="H18" s="45"/>
    </row>
    <row r="19" spans="1:22" s="10" customFormat="1" ht="20.25" customHeight="1" x14ac:dyDescent="0.15">
      <c r="A19" s="7"/>
      <c r="B19" s="20" t="s">
        <v>20</v>
      </c>
      <c r="C19" s="8"/>
      <c r="D19" s="21"/>
      <c r="E19" s="21"/>
      <c r="F19" s="21"/>
      <c r="G19" s="21"/>
      <c r="H19" s="45"/>
      <c r="V19" s="24"/>
    </row>
    <row r="20" spans="1:22" s="10" customFormat="1" ht="20.25" customHeight="1" x14ac:dyDescent="0.15">
      <c r="A20" s="7"/>
      <c r="B20" s="17" t="s">
        <v>21</v>
      </c>
      <c r="C20" s="109"/>
      <c r="D20" s="18">
        <f>SUM(D11:D19)</f>
        <v>0</v>
      </c>
      <c r="E20" s="18">
        <f>SUM(E11:E19)</f>
        <v>0</v>
      </c>
      <c r="F20" s="18">
        <f>SUM(F11:F19)</f>
        <v>0</v>
      </c>
      <c r="G20" s="18">
        <f>SUM(G11:G19)</f>
        <v>0</v>
      </c>
      <c r="H20" s="44"/>
    </row>
    <row r="21" spans="1:22" s="10" customFormat="1" ht="10.5" customHeight="1" x14ac:dyDescent="0.15">
      <c r="A21" s="7"/>
      <c r="B21" s="17"/>
      <c r="C21" s="109"/>
      <c r="D21" s="18"/>
      <c r="E21" s="18"/>
      <c r="F21" s="18"/>
      <c r="G21" s="18"/>
      <c r="H21" s="44"/>
    </row>
    <row r="22" spans="1:22" s="10" customFormat="1" ht="26.25" customHeight="1" x14ac:dyDescent="0.15">
      <c r="A22" s="7"/>
      <c r="B22" s="25" t="s">
        <v>22</v>
      </c>
      <c r="C22" s="110"/>
      <c r="D22" s="26">
        <f>+D9+D20</f>
        <v>0</v>
      </c>
      <c r="E22" s="26">
        <f>+E9+E20</f>
        <v>0</v>
      </c>
      <c r="F22" s="26">
        <f>+F9+F20</f>
        <v>0</v>
      </c>
      <c r="G22" s="26">
        <f>+G9+G20</f>
        <v>0</v>
      </c>
      <c r="H22" s="46"/>
    </row>
    <row r="23" spans="1:22" s="10" customFormat="1" ht="10.5" customHeight="1" x14ac:dyDescent="0.15">
      <c r="A23" s="7"/>
      <c r="B23" s="17"/>
      <c r="C23" s="109"/>
      <c r="D23" s="18"/>
      <c r="E23" s="18"/>
      <c r="F23" s="18"/>
      <c r="G23" s="18"/>
      <c r="H23" s="44"/>
    </row>
    <row r="24" spans="1:22" s="10" customFormat="1" ht="20.25" customHeight="1" x14ac:dyDescent="0.15">
      <c r="A24" s="7"/>
      <c r="B24" s="20" t="s">
        <v>23</v>
      </c>
      <c r="C24" s="8"/>
      <c r="D24" s="23">
        <f>+SUM('Base de Datos'!D100:D101)</f>
        <v>-7406604</v>
      </c>
      <c r="E24" s="23">
        <f>+SUM('Base de Datos'!E100:E101)</f>
        <v>-6873538</v>
      </c>
      <c r="F24" s="23">
        <f>+SUM('Base de Datos'!F100:F101)</f>
        <v>-74378040</v>
      </c>
      <c r="G24" s="23">
        <f>+SUM('Base de Datos'!G100:G101)</f>
        <v>-110390147</v>
      </c>
      <c r="H24" s="45"/>
    </row>
    <row r="25" spans="1:22" s="10" customFormat="1" ht="20.25" customHeight="1" x14ac:dyDescent="0.15">
      <c r="A25" s="7"/>
      <c r="B25" s="20" t="s">
        <v>24</v>
      </c>
      <c r="C25" s="8"/>
      <c r="D25" s="23">
        <f>+'Base de Datos'!D115</f>
        <v>-455700</v>
      </c>
      <c r="E25" s="23">
        <f>+'Base de Datos'!E115</f>
        <v>-1251190</v>
      </c>
      <c r="F25" s="23">
        <f>+'Base de Datos'!F115</f>
        <v>-8167000</v>
      </c>
      <c r="G25" s="23">
        <f>+'Base de Datos'!G115</f>
        <v>-7322439</v>
      </c>
      <c r="H25" s="45"/>
    </row>
    <row r="26" spans="1:22" s="10" customFormat="1" ht="20.25" customHeight="1" x14ac:dyDescent="0.15">
      <c r="A26" s="7"/>
      <c r="B26" s="20" t="s">
        <v>25</v>
      </c>
      <c r="C26" s="8"/>
      <c r="D26" s="23"/>
      <c r="E26" s="23"/>
      <c r="F26" s="23"/>
      <c r="G26" s="23"/>
      <c r="H26" s="45"/>
    </row>
    <row r="27" spans="1:22" s="10" customFormat="1" ht="20.25" customHeight="1" x14ac:dyDescent="0.15">
      <c r="A27" s="7"/>
      <c r="B27" s="20" t="s">
        <v>26</v>
      </c>
      <c r="C27" s="8"/>
      <c r="D27" s="23"/>
      <c r="E27" s="23"/>
      <c r="F27" s="23"/>
      <c r="G27" s="23"/>
      <c r="H27" s="45"/>
    </row>
    <row r="28" spans="1:22" s="10" customFormat="1" ht="20.25" customHeight="1" x14ac:dyDescent="0.15">
      <c r="A28" s="7"/>
      <c r="B28" s="27" t="s">
        <v>27</v>
      </c>
      <c r="C28" s="111"/>
      <c r="D28" s="23">
        <f>+SUM('Base de Datos'!D102:D117)-D25</f>
        <v>-3175882</v>
      </c>
      <c r="E28" s="23">
        <f>+SUM('Base de Datos'!E102:E117)-E25</f>
        <v>-2616513</v>
      </c>
      <c r="F28" s="23">
        <f>+SUM('Base de Datos'!F102:F117)-F25</f>
        <v>-31751400</v>
      </c>
      <c r="G28" s="23">
        <f>+SUM('Base de Datos'!G102:G117)-G25</f>
        <v>-18582970</v>
      </c>
      <c r="H28" s="45"/>
    </row>
    <row r="29" spans="1:22" s="10" customFormat="1" ht="20.25" customHeight="1" x14ac:dyDescent="0.15">
      <c r="A29" s="7"/>
      <c r="B29" s="20" t="s">
        <v>28</v>
      </c>
      <c r="C29" s="8"/>
      <c r="D29" s="23"/>
      <c r="E29" s="23"/>
      <c r="F29" s="23"/>
      <c r="G29" s="23"/>
      <c r="H29" s="45"/>
    </row>
    <row r="30" spans="1:22" s="10" customFormat="1" ht="20.25" customHeight="1" x14ac:dyDescent="0.15">
      <c r="A30" s="7"/>
      <c r="B30" s="20" t="s">
        <v>29</v>
      </c>
      <c r="C30" s="8"/>
      <c r="D30" s="23"/>
      <c r="E30" s="23"/>
      <c r="F30" s="23"/>
      <c r="G30" s="23"/>
      <c r="H30" s="45"/>
    </row>
    <row r="31" spans="1:22" s="10" customFormat="1" ht="20.25" customHeight="1" x14ac:dyDescent="0.15">
      <c r="A31" s="7"/>
      <c r="B31" s="17" t="s">
        <v>30</v>
      </c>
      <c r="C31" s="109"/>
      <c r="D31" s="28">
        <f>SUM(D24:D30)</f>
        <v>-11038186</v>
      </c>
      <c r="E31" s="28">
        <f>SUM(E24:E30)</f>
        <v>-10741241</v>
      </c>
      <c r="F31" s="28">
        <f>SUM(F24:F30)</f>
        <v>-114296440</v>
      </c>
      <c r="G31" s="28">
        <f>SUM(G24:G30)</f>
        <v>-136295556</v>
      </c>
      <c r="H31" s="44"/>
    </row>
    <row r="32" spans="1:22" s="10" customFormat="1" ht="10.5" customHeight="1" x14ac:dyDescent="0.15">
      <c r="A32" s="7"/>
      <c r="B32" s="17"/>
      <c r="C32" s="109"/>
      <c r="D32" s="18"/>
      <c r="E32" s="18"/>
      <c r="F32" s="18"/>
      <c r="G32" s="18"/>
      <c r="H32" s="44"/>
    </row>
    <row r="33" spans="1:8" s="10" customFormat="1" ht="20.25" customHeight="1" x14ac:dyDescent="0.15">
      <c r="A33" s="7"/>
      <c r="B33" s="20" t="s">
        <v>23</v>
      </c>
      <c r="C33" s="8"/>
      <c r="D33" s="21"/>
      <c r="E33" s="21"/>
      <c r="F33" s="21"/>
      <c r="G33" s="21"/>
      <c r="H33" s="45"/>
    </row>
    <row r="34" spans="1:8" s="10" customFormat="1" ht="20.25" customHeight="1" x14ac:dyDescent="0.15">
      <c r="A34" s="7"/>
      <c r="B34" s="20" t="s">
        <v>31</v>
      </c>
      <c r="C34" s="8"/>
      <c r="D34" s="21"/>
      <c r="E34" s="21"/>
      <c r="F34" s="21"/>
      <c r="G34" s="21"/>
      <c r="H34" s="45"/>
    </row>
    <row r="35" spans="1:8" s="10" customFormat="1" ht="20.25" customHeight="1" x14ac:dyDescent="0.15">
      <c r="A35" s="7"/>
      <c r="B35" s="20" t="s">
        <v>32</v>
      </c>
      <c r="C35" s="8"/>
      <c r="D35" s="21"/>
      <c r="E35" s="21"/>
      <c r="F35" s="21"/>
      <c r="G35" s="21"/>
      <c r="H35" s="45"/>
    </row>
    <row r="36" spans="1:8" s="10" customFormat="1" ht="20.25" customHeight="1" x14ac:dyDescent="0.15">
      <c r="A36" s="7"/>
      <c r="B36" s="20" t="s">
        <v>33</v>
      </c>
      <c r="C36" s="8"/>
      <c r="D36" s="21"/>
      <c r="E36" s="21"/>
      <c r="F36" s="21"/>
      <c r="G36" s="21"/>
      <c r="H36" s="45"/>
    </row>
    <row r="37" spans="1:8" s="10" customFormat="1" ht="20.25" customHeight="1" x14ac:dyDescent="0.15">
      <c r="A37" s="7"/>
      <c r="B37" s="17" t="s">
        <v>34</v>
      </c>
      <c r="C37" s="109"/>
      <c r="D37" s="29">
        <f>SUM(D33:D36)</f>
        <v>0</v>
      </c>
      <c r="E37" s="29">
        <f>SUM(E33:E36)</f>
        <v>0</v>
      </c>
      <c r="F37" s="29">
        <f>SUM(F33:F36)</f>
        <v>0</v>
      </c>
      <c r="G37" s="29">
        <f>SUM(G33:G36)</f>
        <v>0</v>
      </c>
      <c r="H37" s="44"/>
    </row>
    <row r="38" spans="1:8" s="10" customFormat="1" ht="10.5" customHeight="1" x14ac:dyDescent="0.15">
      <c r="A38" s="7"/>
      <c r="B38" s="17"/>
      <c r="C38" s="109"/>
      <c r="D38" s="18"/>
      <c r="E38" s="18"/>
      <c r="F38" s="18"/>
      <c r="G38" s="18"/>
      <c r="H38" s="44"/>
    </row>
    <row r="39" spans="1:8" s="10" customFormat="1" ht="26.25" customHeight="1" x14ac:dyDescent="0.15">
      <c r="A39" s="7"/>
      <c r="B39" s="25" t="s">
        <v>35</v>
      </c>
      <c r="C39" s="110"/>
      <c r="D39" s="26">
        <f>+D22+D31+D37</f>
        <v>-11038186</v>
      </c>
      <c r="E39" s="26">
        <f>+E22+E31+E37</f>
        <v>-10741241</v>
      </c>
      <c r="F39" s="26">
        <f>+F22+F31+F37</f>
        <v>-114296440</v>
      </c>
      <c r="G39" s="26">
        <f>+G22+G31+G37</f>
        <v>-136295556</v>
      </c>
      <c r="H39" s="46"/>
    </row>
    <row r="40" spans="1:8" s="10" customFormat="1" ht="10.5" customHeight="1" x14ac:dyDescent="0.15">
      <c r="A40" s="7"/>
      <c r="B40" s="17"/>
      <c r="C40" s="109"/>
      <c r="D40" s="18"/>
      <c r="E40" s="18"/>
      <c r="F40" s="18"/>
      <c r="G40" s="18"/>
      <c r="H40" s="44"/>
    </row>
    <row r="41" spans="1:8" s="10" customFormat="1" ht="20.25" customHeight="1" x14ac:dyDescent="0.15">
      <c r="A41" s="7"/>
      <c r="B41" s="17" t="s">
        <v>36</v>
      </c>
      <c r="C41" s="109"/>
      <c r="D41" s="23">
        <v>0</v>
      </c>
      <c r="E41" s="23">
        <v>0</v>
      </c>
      <c r="F41" s="23">
        <v>0</v>
      </c>
      <c r="G41" s="23">
        <v>0</v>
      </c>
      <c r="H41" s="45"/>
    </row>
    <row r="42" spans="1:8" s="10" customFormat="1" ht="10.5" customHeight="1" x14ac:dyDescent="0.15">
      <c r="A42" s="7"/>
      <c r="B42" s="17"/>
      <c r="C42" s="109"/>
      <c r="D42" s="18"/>
      <c r="E42" s="18"/>
      <c r="F42" s="18"/>
      <c r="G42" s="18"/>
      <c r="H42" s="44"/>
    </row>
    <row r="43" spans="1:8" s="10" customFormat="1" ht="26.25" customHeight="1" x14ac:dyDescent="0.15">
      <c r="A43" s="7"/>
      <c r="B43" s="25" t="s">
        <v>37</v>
      </c>
      <c r="C43" s="110"/>
      <c r="D43" s="26">
        <f>+D39-D41</f>
        <v>-11038186</v>
      </c>
      <c r="E43" s="26">
        <f>+E39-E41</f>
        <v>-10741241</v>
      </c>
      <c r="F43" s="26">
        <f>+F39-F41</f>
        <v>-114296440</v>
      </c>
      <c r="G43" s="26">
        <f>+G39-G41</f>
        <v>-136295556</v>
      </c>
      <c r="H43" s="46"/>
    </row>
    <row r="44" spans="1:8" s="10" customFormat="1" ht="10.5" customHeight="1" x14ac:dyDescent="0.15">
      <c r="A44" s="7"/>
      <c r="B44" s="17"/>
      <c r="C44" s="109"/>
      <c r="D44" s="18"/>
      <c r="E44" s="18"/>
      <c r="F44" s="18"/>
      <c r="G44" s="18"/>
      <c r="H44" s="44"/>
    </row>
    <row r="45" spans="1:8" s="10" customFormat="1" ht="20.25" customHeight="1" x14ac:dyDescent="0.15">
      <c r="A45" s="7"/>
      <c r="B45" s="20" t="s">
        <v>38</v>
      </c>
      <c r="C45" s="8"/>
      <c r="D45" s="21"/>
      <c r="E45" s="21"/>
      <c r="F45" s="21"/>
      <c r="G45" s="21"/>
      <c r="H45" s="45"/>
    </row>
    <row r="46" spans="1:8" s="10" customFormat="1" ht="20.25" customHeight="1" x14ac:dyDescent="0.15">
      <c r="A46" s="7"/>
      <c r="B46" s="20" t="s">
        <v>39</v>
      </c>
      <c r="C46" s="8"/>
      <c r="D46" s="21"/>
      <c r="E46" s="21"/>
      <c r="F46" s="21"/>
      <c r="G46" s="21"/>
      <c r="H46" s="45"/>
    </row>
    <row r="47" spans="1:8" s="10" customFormat="1" ht="20.25" customHeight="1" x14ac:dyDescent="0.15">
      <c r="A47" s="7"/>
      <c r="B47" s="20" t="s">
        <v>40</v>
      </c>
      <c r="C47" s="8"/>
      <c r="D47" s="21"/>
      <c r="E47" s="21"/>
      <c r="F47" s="21"/>
      <c r="G47" s="21"/>
      <c r="H47" s="45"/>
    </row>
    <row r="48" spans="1:8" s="10" customFormat="1" ht="20.25" customHeight="1" x14ac:dyDescent="0.15">
      <c r="A48" s="7"/>
      <c r="B48" s="20" t="s">
        <v>41</v>
      </c>
      <c r="C48" s="8"/>
      <c r="D48" s="21"/>
      <c r="E48" s="21"/>
      <c r="F48" s="21"/>
      <c r="G48" s="21"/>
      <c r="H48" s="45"/>
    </row>
    <row r="49" spans="1:8" s="10" customFormat="1" ht="20.25" customHeight="1" x14ac:dyDescent="0.15">
      <c r="A49" s="7"/>
      <c r="B49" s="20" t="s">
        <v>42</v>
      </c>
      <c r="C49" s="8"/>
      <c r="D49" s="21"/>
      <c r="E49" s="21"/>
      <c r="F49" s="21"/>
      <c r="G49" s="21"/>
      <c r="H49" s="45"/>
    </row>
    <row r="50" spans="1:8" s="10" customFormat="1" ht="20.25" customHeight="1" x14ac:dyDescent="0.15">
      <c r="A50" s="7"/>
      <c r="B50" s="20" t="s">
        <v>43</v>
      </c>
      <c r="C50" s="8"/>
      <c r="D50" s="21"/>
      <c r="E50" s="21"/>
      <c r="F50" s="21"/>
      <c r="G50" s="21"/>
      <c r="H50" s="45"/>
    </row>
    <row r="51" spans="1:8" s="10" customFormat="1" ht="20.25" customHeight="1" x14ac:dyDescent="0.15">
      <c r="A51" s="7"/>
      <c r="B51" s="17" t="s">
        <v>44</v>
      </c>
      <c r="C51" s="109"/>
      <c r="D51" s="18">
        <f>SUM(D45:D50)</f>
        <v>0</v>
      </c>
      <c r="E51" s="18">
        <f>SUM(E45:E50)</f>
        <v>0</v>
      </c>
      <c r="F51" s="18">
        <f>SUM(F45:F50)</f>
        <v>0</v>
      </c>
      <c r="G51" s="18">
        <f>SUM(G45:G50)</f>
        <v>0</v>
      </c>
      <c r="H51" s="44"/>
    </row>
    <row r="52" spans="1:8" s="10" customFormat="1" ht="10.5" customHeight="1" x14ac:dyDescent="0.15">
      <c r="A52" s="7"/>
      <c r="B52" s="17"/>
      <c r="C52" s="109"/>
      <c r="D52" s="18"/>
      <c r="E52" s="18"/>
      <c r="F52" s="18"/>
      <c r="G52" s="18"/>
      <c r="H52" s="44"/>
    </row>
    <row r="53" spans="1:8" s="31" customFormat="1" ht="20.25" customHeight="1" x14ac:dyDescent="0.15">
      <c r="A53" s="30"/>
      <c r="B53" s="17" t="s">
        <v>45</v>
      </c>
      <c r="C53" s="109"/>
      <c r="D53" s="18">
        <f>+D43+D51</f>
        <v>-11038186</v>
      </c>
      <c r="E53" s="18">
        <f>+E43+E51</f>
        <v>-10741241</v>
      </c>
      <c r="F53" s="18">
        <f>+F43+F51</f>
        <v>-114296440</v>
      </c>
      <c r="G53" s="18">
        <f>+G43+G51</f>
        <v>-136295556</v>
      </c>
      <c r="H53" s="44"/>
    </row>
    <row r="54" spans="1:8" s="10" customFormat="1" ht="11.25" customHeight="1" x14ac:dyDescent="0.15">
      <c r="A54" s="7"/>
      <c r="B54" s="17"/>
      <c r="C54" s="109"/>
      <c r="D54" s="18"/>
      <c r="E54" s="18"/>
      <c r="F54" s="18"/>
      <c r="G54" s="18"/>
      <c r="H54" s="44"/>
    </row>
    <row r="55" spans="1:8" s="31" customFormat="1" ht="20.25" customHeight="1" x14ac:dyDescent="0.15">
      <c r="A55" s="30"/>
      <c r="B55" s="17" t="s">
        <v>46</v>
      </c>
      <c r="C55" s="109"/>
      <c r="D55" s="32">
        <f>IF(D53&gt;0,D53*(1-[1]Supuestos!$P$15),D53)</f>
        <v>-11038186</v>
      </c>
      <c r="E55" s="32">
        <f>IF(E53&gt;0,E53*(1-[1]Supuestos!$P$15),E53)</f>
        <v>-10741241</v>
      </c>
      <c r="F55" s="32">
        <f>IF(F53&gt;0,F53*(1-[1]Supuestos!$P$15),F53)</f>
        <v>-114296440</v>
      </c>
      <c r="G55" s="32">
        <f>IF(G53&gt;0,G53*(1-[1]Supuestos!$P$15),G53)</f>
        <v>-136295556</v>
      </c>
      <c r="H55" s="47"/>
    </row>
    <row r="56" spans="1:8" s="10" customFormat="1" ht="10.5" customHeight="1" thickBot="1" x14ac:dyDescent="0.2">
      <c r="A56" s="7"/>
      <c r="B56" s="33"/>
      <c r="C56" s="112"/>
      <c r="D56" s="34"/>
      <c r="E56" s="34"/>
      <c r="F56" s="35"/>
      <c r="G56" s="34"/>
      <c r="H56" s="48"/>
    </row>
    <row r="57" spans="1:8" ht="15" thickBot="1" x14ac:dyDescent="0.25">
      <c r="A57" s="36"/>
      <c r="B57" s="432" t="s">
        <v>176</v>
      </c>
      <c r="C57" s="432"/>
      <c r="D57" s="432"/>
      <c r="E57" s="432"/>
      <c r="F57" s="432"/>
      <c r="G57" s="432"/>
      <c r="H57" s="432"/>
    </row>
    <row r="58" spans="1:8" ht="12.75" thickTop="1" x14ac:dyDescent="0.15"/>
  </sheetData>
  <mergeCells count="4">
    <mergeCell ref="B2:H2"/>
    <mergeCell ref="D6:E6"/>
    <mergeCell ref="F6:G6"/>
    <mergeCell ref="B57:H57"/>
  </mergeCells>
  <printOptions horizontalCentered="1"/>
  <pageMargins left="0.78740157480314965" right="0.51181102362204722" top="0.19685039370078741" bottom="0.27559055118110237" header="0.15748031496062992" footer="0.31496062992125984"/>
  <pageSetup paperSize="256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15</vt:i4>
      </vt:variant>
    </vt:vector>
  </HeadingPairs>
  <TitlesOfParts>
    <vt:vector size="31" baseType="lpstr">
      <vt:lpstr>Portada</vt:lpstr>
      <vt:lpstr>Presupuesto vs Real (Informe1)</vt:lpstr>
      <vt:lpstr>1. Administracion (Informe 2)</vt:lpstr>
      <vt:lpstr>Forecast (Informe 3)</vt:lpstr>
      <vt:lpstr>15. Maiz Local</vt:lpstr>
      <vt:lpstr>13. Maiz de Exportación</vt:lpstr>
      <vt:lpstr>16. Soya de Exportación</vt:lpstr>
      <vt:lpstr>18. Canola y Girasol</vt:lpstr>
      <vt:lpstr>11. Ventas Mer. Local</vt:lpstr>
      <vt:lpstr>17. Alfalfa</vt:lpstr>
      <vt:lpstr>10. Remolacha</vt:lpstr>
      <vt:lpstr>12. Planta</vt:lpstr>
      <vt:lpstr>20. Campos Propios</vt:lpstr>
      <vt:lpstr>21.Procesos </vt:lpstr>
      <vt:lpstr>Base de Datos</vt:lpstr>
      <vt:lpstr>octubre</vt:lpstr>
      <vt:lpstr>'1. Administracion (Informe 2)'!Área_de_impresión</vt:lpstr>
      <vt:lpstr>'10. Remolacha'!Área_de_impresión</vt:lpstr>
      <vt:lpstr>'11. Ventas Mer. Local'!Área_de_impresión</vt:lpstr>
      <vt:lpstr>'12. Planta'!Área_de_impresión</vt:lpstr>
      <vt:lpstr>'13. Maiz de Exportación'!Área_de_impresión</vt:lpstr>
      <vt:lpstr>'15. Maiz Local'!Área_de_impresión</vt:lpstr>
      <vt:lpstr>'16. Soya de Exportación'!Área_de_impresión</vt:lpstr>
      <vt:lpstr>'17. Alfalfa'!Área_de_impresión</vt:lpstr>
      <vt:lpstr>'18. Canola y Girasol'!Área_de_impresión</vt:lpstr>
      <vt:lpstr>'20. Campos Propios'!Área_de_impresión</vt:lpstr>
      <vt:lpstr>'21.Procesos '!Área_de_impresión</vt:lpstr>
      <vt:lpstr>'Base de Datos'!Área_de_impresión</vt:lpstr>
      <vt:lpstr>'Forecast (Informe 3)'!Área_de_impresión</vt:lpstr>
      <vt:lpstr>Portada!Área_de_impresión</vt:lpstr>
      <vt:lpstr>'Presupuesto vs Real (Informe1)'!Área_de_impresión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crimecor@gmail.com</cp:lastModifiedBy>
  <cp:lastPrinted>2016-12-09T22:04:44Z</cp:lastPrinted>
  <dcterms:created xsi:type="dcterms:W3CDTF">2016-06-10T12:58:09Z</dcterms:created>
  <dcterms:modified xsi:type="dcterms:W3CDTF">2017-05-31T15:05:43Z</dcterms:modified>
</cp:coreProperties>
</file>