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troniX\Projects\_DitroniX\GTEM (Grid Tie Energy Monitor)\Code\"/>
    </mc:Choice>
  </mc:AlternateContent>
  <xr:revisionPtr revIDLastSave="0" documentId="13_ncr:1_{B07AECE3-31B3-4160-A4EC-26136BCE4B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81029"/>
</workbook>
</file>

<file path=xl/calcChain.xml><?xml version="1.0" encoding="utf-8"?>
<calcChain xmlns="http://schemas.openxmlformats.org/spreadsheetml/2006/main">
  <c r="U6" i="1" l="1"/>
  <c r="Q5" i="1"/>
  <c r="U5" i="1" s="1"/>
  <c r="Q6" i="1" l="1"/>
  <c r="K60" i="1"/>
  <c r="B1" i="1" l="1"/>
  <c r="K61" i="1" s="1"/>
  <c r="L61" i="1" s="1"/>
  <c r="B75" i="1" l="1"/>
  <c r="B66" i="1"/>
  <c r="B52" i="1"/>
  <c r="B53" i="1" s="1"/>
  <c r="B54" i="1" s="1"/>
  <c r="B55" i="1" s="1"/>
  <c r="H53" i="1"/>
  <c r="I53" i="1" s="1"/>
  <c r="G54" i="1" s="1"/>
  <c r="E53" i="1"/>
  <c r="B2" i="1"/>
  <c r="B25" i="1"/>
  <c r="F5" i="1"/>
  <c r="F6" i="1"/>
  <c r="F7" i="1"/>
  <c r="F11" i="1"/>
  <c r="F8" i="1"/>
  <c r="F9" i="1"/>
  <c r="F10" i="1"/>
  <c r="F12" i="1"/>
  <c r="B26" i="1" l="1"/>
  <c r="B31" i="1" s="1"/>
  <c r="B32" i="1" s="1"/>
  <c r="B34" i="1" s="1"/>
  <c r="M14" i="1"/>
  <c r="B76" i="1"/>
  <c r="H76" i="1"/>
  <c r="H77" i="1" s="1"/>
  <c r="B67" i="1"/>
  <c r="B88" i="1"/>
  <c r="B94" i="1" s="1"/>
  <c r="B95" i="1" s="1"/>
  <c r="D54" i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<sst xmlns="http://schemas.openxmlformats.org/spreadsheetml/2006/main" count="116" uniqueCount="97">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</sst>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Alignment="1">
      <alignment vertical="center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49" workbookViewId="0">
      <selection activeCell="G66" sqref="G66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</cols>
  <sheetData>
    <row r="1" spans="1:22" ht="18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8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.25">
      <c r="Q3" s="6" t="s">
        <v>96</v>
      </c>
    </row>
    <row r="4" spans="1:22" ht="26.25">
      <c r="A4" s="6" t="s">
        <v>40</v>
      </c>
      <c r="Q4">
        <v>973</v>
      </c>
      <c r="R4" t="s">
        <v>93</v>
      </c>
    </row>
    <row r="5" spans="1:22">
      <c r="A5" t="s">
        <v>23</v>
      </c>
      <c r="B5" s="20" t="s">
        <v>38</v>
      </c>
      <c r="C5" s="20"/>
      <c r="D5" s="20"/>
      <c r="E5" s="20"/>
      <c r="F5" s="9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0" t="s">
        <v>32</v>
      </c>
      <c r="C6" s="20"/>
      <c r="D6" s="20"/>
      <c r="E6" s="20"/>
      <c r="F6" s="9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0" t="s">
        <v>33</v>
      </c>
      <c r="C7" s="20"/>
      <c r="D7" s="20"/>
      <c r="E7" s="20"/>
      <c r="F7" s="9" t="str">
        <f t="shared" si="0"/>
        <v>1</v>
      </c>
      <c r="H7" s="3"/>
      <c r="I7" s="3"/>
      <c r="J7" s="3"/>
    </row>
    <row r="8" spans="1:22">
      <c r="A8" t="s">
        <v>26</v>
      </c>
      <c r="B8" s="20" t="s">
        <v>34</v>
      </c>
      <c r="C8" s="20"/>
      <c r="D8" s="20"/>
      <c r="E8" s="20"/>
      <c r="F8" s="9" t="str">
        <f t="shared" si="0"/>
        <v>00</v>
      </c>
      <c r="H8" s="3"/>
      <c r="I8" s="3"/>
      <c r="J8" s="3"/>
    </row>
    <row r="9" spans="1:22">
      <c r="A9" t="s">
        <v>27</v>
      </c>
      <c r="B9" s="19" t="s">
        <v>35</v>
      </c>
      <c r="C9" s="19"/>
      <c r="D9" s="19"/>
      <c r="E9" s="19"/>
      <c r="F9" s="9" t="str">
        <f t="shared" si="0"/>
        <v>0</v>
      </c>
      <c r="H9" s="3"/>
      <c r="I9" s="3"/>
      <c r="J9" s="3"/>
    </row>
    <row r="10" spans="1:22">
      <c r="A10" t="s">
        <v>28</v>
      </c>
      <c r="B10" s="19" t="s">
        <v>36</v>
      </c>
      <c r="C10" s="19"/>
      <c r="D10" s="19"/>
      <c r="E10" s="19"/>
      <c r="F10" s="9" t="str">
        <f t="shared" si="0"/>
        <v>0</v>
      </c>
      <c r="H10" s="3"/>
      <c r="I10" s="3"/>
      <c r="J10" s="3"/>
    </row>
    <row r="11" spans="1:22">
      <c r="A11" t="s">
        <v>29</v>
      </c>
      <c r="B11" s="19" t="s">
        <v>31</v>
      </c>
      <c r="C11" s="19"/>
      <c r="D11" s="19"/>
      <c r="E11" s="19"/>
      <c r="F11" s="9" t="str">
        <f t="shared" si="0"/>
        <v>10</v>
      </c>
      <c r="H11" s="3"/>
      <c r="I11" s="3"/>
      <c r="J11" s="3"/>
    </row>
    <row r="12" spans="1:22">
      <c r="A12" t="s">
        <v>30</v>
      </c>
      <c r="B12" s="19" t="s">
        <v>37</v>
      </c>
      <c r="C12" s="19"/>
      <c r="D12" s="19"/>
      <c r="E12" s="19"/>
      <c r="F12" s="9" t="str">
        <f t="shared" si="0"/>
        <v>0010</v>
      </c>
      <c r="H12" s="3"/>
      <c r="I12" s="3"/>
      <c r="J12" s="3"/>
    </row>
    <row r="13" spans="1:22">
      <c r="H13" s="3"/>
      <c r="I13" s="3"/>
      <c r="J13" s="3"/>
    </row>
    <row r="14" spans="1:22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10">
      <c r="A17" s="8" t="s">
        <v>39</v>
      </c>
      <c r="B17" s="7" t="str">
        <f>"0x"&amp;B16&amp;C16</f>
        <v>0x9422</v>
      </c>
      <c r="H17" s="3"/>
      <c r="I17" s="3"/>
      <c r="J17" s="3"/>
    </row>
    <row r="18" spans="1:10">
      <c r="H18" s="3"/>
      <c r="I18" s="3"/>
      <c r="J18" s="3"/>
    </row>
    <row r="19" spans="1:10">
      <c r="H19" s="3"/>
      <c r="I19" s="3"/>
      <c r="J19" s="3"/>
    </row>
    <row r="20" spans="1:10">
      <c r="H20" s="3"/>
      <c r="I20" s="3"/>
      <c r="J20" s="3"/>
    </row>
    <row r="21" spans="1:10" ht="26.25">
      <c r="A21" s="6" t="s">
        <v>15</v>
      </c>
      <c r="H21" s="3"/>
    </row>
    <row r="22" spans="1:10" ht="18">
      <c r="A22" s="1" t="s">
        <v>6</v>
      </c>
      <c r="B22" s="11">
        <v>300</v>
      </c>
      <c r="C22" t="s">
        <v>3</v>
      </c>
      <c r="D22" t="s">
        <v>9</v>
      </c>
    </row>
    <row r="23" spans="1:10" ht="18">
      <c r="A23" s="1" t="s">
        <v>5</v>
      </c>
      <c r="B23" s="11">
        <v>12</v>
      </c>
      <c r="C23" t="s">
        <v>4</v>
      </c>
      <c r="D23" t="s">
        <v>10</v>
      </c>
    </row>
    <row r="24" spans="1:10" ht="18">
      <c r="A24" s="1" t="s">
        <v>7</v>
      </c>
      <c r="B24" s="11">
        <v>1</v>
      </c>
      <c r="C24" t="s">
        <v>2</v>
      </c>
      <c r="D24" t="s">
        <v>8</v>
      </c>
    </row>
    <row r="25" spans="1:10" ht="18">
      <c r="A25" s="1" t="s">
        <v>13</v>
      </c>
      <c r="B25" s="12">
        <f>UN*Vratio*1000</f>
        <v>298.95366218236177</v>
      </c>
      <c r="C25" t="s">
        <v>90</v>
      </c>
      <c r="D25" t="s">
        <v>11</v>
      </c>
    </row>
    <row r="26" spans="1:10" ht="18">
      <c r="A26" s="1" t="s">
        <v>14</v>
      </c>
      <c r="B26" s="13">
        <f>IB*Iratio*1000</f>
        <v>174.75728155339806</v>
      </c>
      <c r="C26" t="s">
        <v>90</v>
      </c>
      <c r="D26" t="s">
        <v>12</v>
      </c>
    </row>
    <row r="27" spans="1:10">
      <c r="A27" s="1" t="s">
        <v>16</v>
      </c>
      <c r="B27" s="11">
        <v>1000</v>
      </c>
      <c r="C27" t="s">
        <v>17</v>
      </c>
      <c r="D27" t="s">
        <v>18</v>
      </c>
    </row>
    <row r="28" spans="1:10">
      <c r="B28" s="10"/>
      <c r="D28" s="2"/>
    </row>
    <row r="29" spans="1:10">
      <c r="B29" s="10"/>
    </row>
    <row r="30" spans="1:10">
      <c r="B30" s="10"/>
    </row>
    <row r="31" spans="1:10">
      <c r="A31" s="1" t="s">
        <v>19</v>
      </c>
      <c r="B31" s="10">
        <f>INT(838860800*(GL*VL*VU)/(MC*UN*IB))</f>
        <v>12173811</v>
      </c>
    </row>
    <row r="32" spans="1:10">
      <c r="A32" s="4" t="s">
        <v>20</v>
      </c>
      <c r="B32" s="10" t="str">
        <f>DEC2HEX(B31,8)</f>
        <v>00B9C1F3</v>
      </c>
    </row>
    <row r="33" spans="1:2">
      <c r="A33" s="8" t="s">
        <v>21</v>
      </c>
      <c r="B33" s="14" t="str">
        <f>"0x"&amp;LEFT(B32,4)</f>
        <v>0x00B9</v>
      </c>
    </row>
    <row r="34" spans="1:2">
      <c r="A34" s="8" t="s">
        <v>22</v>
      </c>
      <c r="B34" s="14" t="str">
        <f>"0x"&amp;RIGHT(B32,4)</f>
        <v>0xC1F3</v>
      </c>
    </row>
    <row r="38" spans="1:2" ht="26.25">
      <c r="A38" s="6" t="s">
        <v>60</v>
      </c>
    </row>
    <row r="39" spans="1:2">
      <c r="A39" s="18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6" t="s">
        <v>49</v>
      </c>
    </row>
    <row r="48" spans="1:2">
      <c r="A48" s="10" t="s">
        <v>50</v>
      </c>
    </row>
    <row r="49" spans="1:12">
      <c r="A49" s="10" t="s">
        <v>51</v>
      </c>
      <c r="B49" s="11">
        <v>0.26900000000000002</v>
      </c>
      <c r="C49" t="s">
        <v>53</v>
      </c>
      <c r="D49" t="s">
        <v>54</v>
      </c>
    </row>
    <row r="50" spans="1:12">
      <c r="A50" t="s">
        <v>52</v>
      </c>
      <c r="B50" s="11">
        <v>0.219</v>
      </c>
      <c r="C50" t="s">
        <v>53</v>
      </c>
      <c r="D50" t="s">
        <v>55</v>
      </c>
    </row>
    <row r="51" spans="1:12">
      <c r="B51" s="10"/>
    </row>
    <row r="52" spans="1:12">
      <c r="A52" s="1" t="s">
        <v>56</v>
      </c>
      <c r="B52" s="15">
        <f>(B50/B49-1)*100</f>
        <v>-18.587360594795545</v>
      </c>
      <c r="C52" t="s">
        <v>57</v>
      </c>
    </row>
    <row r="53" spans="1:12" ht="18">
      <c r="A53" s="1" t="s">
        <v>58</v>
      </c>
      <c r="B53" s="15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1" t="s">
        <v>59</v>
      </c>
      <c r="B54" s="15">
        <f>IF(B53&lt;0,INT(2^16+B53*2^15),INT(B53*2^15))</f>
        <v>7481</v>
      </c>
      <c r="D54">
        <f>65535-B54</f>
        <v>58054</v>
      </c>
      <c r="G54" s="1" t="str">
        <f>DEC2BIN(I53,4)</f>
        <v>0101</v>
      </c>
    </row>
    <row r="55" spans="1:12">
      <c r="A55" s="8" t="s">
        <v>23</v>
      </c>
      <c r="B55" s="14" t="str">
        <f>"0x"&amp;DEC2HEX(B54,4)</f>
        <v>0x1D39</v>
      </c>
    </row>
    <row r="56" spans="1:12">
      <c r="B56" s="10"/>
    </row>
    <row r="59" spans="1:12" ht="26.25">
      <c r="A59" s="6" t="s">
        <v>66</v>
      </c>
    </row>
    <row r="60" spans="1:12">
      <c r="A60" s="1" t="s">
        <v>68</v>
      </c>
      <c r="B60" s="16">
        <v>159.80000000000001</v>
      </c>
      <c r="C60" t="s">
        <v>3</v>
      </c>
      <c r="D60" t="s">
        <v>67</v>
      </c>
      <c r="E60" s="17"/>
      <c r="K60">
        <f>B60/B62</f>
        <v>6.0530303030303031E-3</v>
      </c>
    </row>
    <row r="61" spans="1:12">
      <c r="A61" s="1" t="s">
        <v>69</v>
      </c>
      <c r="B61" s="16">
        <v>248.7</v>
      </c>
      <c r="C61" t="s">
        <v>3</v>
      </c>
      <c r="D61" s="18" t="s">
        <v>70</v>
      </c>
      <c r="E61" s="17"/>
      <c r="K61">
        <f>B61*Vratio</f>
        <v>0.24783258594917787</v>
      </c>
      <c r="L61">
        <f>K61/K60</f>
        <v>40.943556126772812</v>
      </c>
    </row>
    <row r="62" spans="1:12" ht="18">
      <c r="A62" s="1" t="s">
        <v>72</v>
      </c>
      <c r="B62" s="10">
        <v>26400</v>
      </c>
      <c r="D62" t="s">
        <v>73</v>
      </c>
    </row>
    <row r="66" spans="1:8">
      <c r="A66" s="4" t="s">
        <v>20</v>
      </c>
      <c r="B66" s="10">
        <f>INT(B62*B61/B60)</f>
        <v>41086</v>
      </c>
    </row>
    <row r="67" spans="1:8">
      <c r="A67" s="8" t="s">
        <v>71</v>
      </c>
      <c r="B67" s="7" t="str">
        <f>"0x"&amp;DEC2HEX(B66,4)</f>
        <v>0xA07E</v>
      </c>
    </row>
    <row r="69" spans="1:8">
      <c r="A69" s="1" t="s">
        <v>74</v>
      </c>
      <c r="B69" s="16">
        <v>10</v>
      </c>
      <c r="C69" t="s">
        <v>4</v>
      </c>
      <c r="D69" t="s">
        <v>67</v>
      </c>
      <c r="E69" s="17"/>
    </row>
    <row r="70" spans="1:8">
      <c r="A70" s="1" t="s">
        <v>75</v>
      </c>
      <c r="B70" s="16">
        <v>10</v>
      </c>
      <c r="C70" t="s">
        <v>4</v>
      </c>
      <c r="D70" s="18" t="s">
        <v>70</v>
      </c>
      <c r="E70" s="17"/>
    </row>
    <row r="71" spans="1:8" ht="18">
      <c r="A71" s="1" t="s">
        <v>76</v>
      </c>
      <c r="B71" s="10">
        <v>31251</v>
      </c>
      <c r="D71" t="s">
        <v>77</v>
      </c>
    </row>
    <row r="75" spans="1:8">
      <c r="A75" s="4" t="s">
        <v>20</v>
      </c>
      <c r="B75" s="10">
        <f>INT(B71*B70/B69)</f>
        <v>31251</v>
      </c>
    </row>
    <row r="76" spans="1:8">
      <c r="A76" s="8" t="s">
        <v>78</v>
      </c>
      <c r="B76" s="7" t="str">
        <f>"0x"&amp;DEC2HEX(B75,4)</f>
        <v>0x7A13</v>
      </c>
      <c r="E76" t="s">
        <v>91</v>
      </c>
      <c r="G76" t="s">
        <v>92</v>
      </c>
      <c r="H76">
        <f>INT(3*B75/2^16*2^8)</f>
        <v>366</v>
      </c>
    </row>
    <row r="77" spans="1:8">
      <c r="H77" t="str">
        <f>DEC2HEX(H76)</f>
        <v>16E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6" t="s">
        <v>84</v>
      </c>
    </row>
    <row r="87" spans="1:3">
      <c r="A87" s="1" t="s">
        <v>69</v>
      </c>
      <c r="B87" s="11">
        <v>230</v>
      </c>
      <c r="C87" t="s">
        <v>85</v>
      </c>
    </row>
    <row r="88" spans="1:3">
      <c r="A88" s="1" t="s">
        <v>71</v>
      </c>
      <c r="B88" s="15">
        <f>B66</f>
        <v>41086</v>
      </c>
      <c r="C88" t="s">
        <v>86</v>
      </c>
    </row>
    <row r="89" spans="1:3">
      <c r="A89" s="1" t="s">
        <v>87</v>
      </c>
      <c r="B89" s="10">
        <v>0.94</v>
      </c>
      <c r="C89" t="s">
        <v>89</v>
      </c>
    </row>
    <row r="94" spans="1:3">
      <c r="A94" s="1" t="s">
        <v>88</v>
      </c>
      <c r="B94" s="10">
        <f>INT(100*B87*SQRT(2)*B89/(4*B88/32768))</f>
        <v>6096</v>
      </c>
    </row>
    <row r="95" spans="1:3">
      <c r="A95" s="8" t="s">
        <v>88</v>
      </c>
      <c r="B95" s="7" t="str">
        <f>"0x"&amp;DEC2HEX(B94,4)</f>
        <v>0x17D0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Dave Williams</cp:lastModifiedBy>
  <dcterms:created xsi:type="dcterms:W3CDTF">2016-02-17T21:45:21Z</dcterms:created>
  <dcterms:modified xsi:type="dcterms:W3CDTF">2023-01-04T15:34:58Z</dcterms:modified>
</cp:coreProperties>
</file>