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 Williams\Dropbox\DitroniX\Projects\_DitroniX\GTEM (Grid Tie Energy Monitor)\Code\GTEM-1_Test_ATM90E26_Basic_Calibration-Domoticz\"/>
    </mc:Choice>
  </mc:AlternateContent>
  <xr:revisionPtr revIDLastSave="0" documentId="13_ncr:1_{FE7C3F2C-F2FC-40F7-88AA-4C1ABBD05406}" xr6:coauthVersionLast="47" xr6:coauthVersionMax="47" xr10:uidLastSave="{00000000-0000-0000-0000-000000000000}"/>
  <bookViews>
    <workbookView xWindow="76680" yWindow="-120" windowWidth="38640" windowHeight="21840" xr2:uid="{00000000-000D-0000-FFFF-FFFF00000000}"/>
  </bookViews>
  <sheets>
    <sheet name="GTEM" sheetId="1" r:id="rId1"/>
  </sheets>
  <definedNames>
    <definedName name="GL">GTEM!$B$24</definedName>
    <definedName name="IB">GTEM!$B$23</definedName>
    <definedName name="Iratio">GTEM!$B$2</definedName>
    <definedName name="MC">GTEM!$B$27</definedName>
    <definedName name="UN">GTEM!$B$22</definedName>
    <definedName name="VL">GTEM!$B$25</definedName>
    <definedName name="Vratio">GTEM!$B$1</definedName>
    <definedName name="VU">GTEM!$B$26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Q5" i="1"/>
  <c r="U5" i="1" s="1"/>
  <c r="Q6" i="1" l="1"/>
  <c r="J60" i="1"/>
  <c r="B1" i="1" l="1"/>
  <c r="J61" i="1" s="1"/>
  <c r="K61" i="1" s="1"/>
  <c r="B77" i="1" l="1"/>
  <c r="B66" i="1"/>
  <c r="B67" i="1" s="1"/>
  <c r="B52" i="1"/>
  <c r="B53" i="1" s="1"/>
  <c r="B54" i="1" s="1"/>
  <c r="B55" i="1" s="1"/>
  <c r="H53" i="1"/>
  <c r="I53" i="1" s="1"/>
  <c r="G54" i="1" s="1"/>
  <c r="E53" i="1"/>
  <c r="B2" i="1"/>
  <c r="B25" i="1"/>
  <c r="F5" i="1"/>
  <c r="F6" i="1"/>
  <c r="F7" i="1"/>
  <c r="F11" i="1"/>
  <c r="F8" i="1"/>
  <c r="F9" i="1"/>
  <c r="F10" i="1"/>
  <c r="F12" i="1"/>
  <c r="B26" i="1" l="1"/>
  <c r="B31" i="1" s="1"/>
  <c r="B32" i="1" s="1"/>
  <c r="M14" i="1"/>
  <c r="B78" i="1"/>
  <c r="M78" i="1"/>
  <c r="M79" i="1" s="1"/>
  <c r="B90" i="1"/>
  <c r="B96" i="1" s="1"/>
  <c r="B97" i="1" s="1"/>
  <c r="D54" i="1"/>
  <c r="B14" i="1"/>
  <c r="C15" i="1" s="1"/>
  <c r="C16" i="1" s="1"/>
  <c r="B34" i="1" l="1"/>
  <c r="B33" i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<sst xmlns="http://schemas.openxmlformats.org/spreadsheetml/2006/main" count="142" uniqueCount="123">
  <si>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</si>
  <si>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</si>
  <si>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</si>
  <si>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</si>
  <si>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</si>
  <si>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</si>
  <si>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</si>
  <si>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</si>
  <si>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</si>
  <si>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</si>
  <si>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</si>
  <si>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</si>
  <si>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</si>
  <si>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</si>
  <si>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</si>
  <si>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</si>
  <si>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</si>
  <si>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</si>
  <si>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</si>
  <si>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</si>
  <si>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</si>
  <si>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</si>
  <si>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</si>
  <si>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</si>
  <si>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</si>
  <si>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</si>
  <si>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</si>
  <si>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</si>
  <si>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</si>
  <si>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</si>
  <si>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</si>
  <si>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</si>
  <si>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</si>
  <si>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</si>
  <si>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</si>
  <si>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</si>
  <si>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</si>
  <si>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</si>
  <si>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</si>
  <si>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</si>
  <si>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</si>
  <si>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</si>
  <si>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</si>
  <si>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</si>
  <si>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</si>
  <si>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</si>
  <si>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</si>
  <si>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</si>
  <si>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</si>
  <si>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</si>
  <si>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</si>
  <si>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</si>
  <si>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</si>
  <si>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</si>
  <si>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</si>
  <si>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</si>
  <si>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</si>
  <si>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</si>
  <si>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</si>
  <si>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</si>
  <si>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</si>
  <si>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</si>
  <si>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</si>
  <si>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</si>
  <si>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</si>
  <si>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</si>
  <si>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</si>
  <si>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</si>
  <si>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</si>
  <si>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</si>
  <si>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</si>
  <si>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</si>
  <si>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</si>
  <si>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</si>
  <si>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</si>
  <si>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</si>
  <si>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</si>
  <si>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</si>
  <si>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</si>
  <si>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</si>
  <si>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</si>
  <si>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</si>
  <si>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</si>
  <si>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</si>
  <si>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</si>
  <si>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</si>
  <si>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</si>
  <si>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</si>
  <si>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</si>
  <si>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</si>
  <si>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</si>
  <si>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</si>
  <si>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</si>
  <si>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</si>
  <si>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</si>
  <si>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</si>
  <si>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Example Values</t>
  </si>
  <si>
    <t>Based on a YHDC SCT-013 100A/50mA Current Transformer</t>
  </si>
  <si>
    <t>  _lgain = 0x1D39; // Use XLS to calculate these values, PL CONSTANT. Examples: 0x1D39;</t>
  </si>
  <si>
    <t>  _igain = 0x7160; // Use XLS to calculate these CURRENT GAIN values. Examples:  0x7160;</t>
  </si>
  <si>
    <t>8V AC RMS In</t>
  </si>
  <si>
    <t>12V AC RMS In</t>
  </si>
  <si>
    <t>Dave Williams, DitroniX</t>
  </si>
  <si>
    <t>The above example values are what I have used on GTEM to test.   Based on YHDC SCT-013 100A/50mA Current Transformer and DAT01A Mains Transformer</t>
  </si>
  <si>
    <t>These WILL vary from one setup to another due to tolerances or the components, clamp and transformer.</t>
  </si>
  <si>
    <t>Will require CRC2 to be updated (GTEM-1_Defaults)</t>
  </si>
  <si>
    <t>  _ugain = 0xA028; // Use XLS to calculate these VOLTAGE RMS values. Examples: 8V 0xA028 | 12V 0x9F9A or 0x9E38</t>
  </si>
  <si>
    <t>Actual Current</t>
  </si>
  <si>
    <t>Temp</t>
  </si>
  <si>
    <t>CRC Now Auto Calculated in this release.</t>
  </si>
  <si>
    <t xml:space="preserve">Lgain Does not seem to have any affect on Ugain or Igain </t>
  </si>
  <si>
    <t>  _lgain = 0x1D39; // PL CONSTANT.  Use XLS to calculate these values. Examples: 0x1D39;</t>
  </si>
  <si>
    <t>  _ugain = 0xA083; // VOLTAGE RMS.  Use XLS to calculate these values. Examples: 8V 0xA028 | 12V 0x9F9A or 0x9E38</t>
  </si>
  <si>
    <t>  _igain = 0x9153; // CURRENT GAIN. Use XLS to calculate these values. Examples: 0x7160; 0x9897; 0x8DF2;</t>
  </si>
  <si>
    <t>Ugain Does not have any affect on Igain - and Visa Versa.  It will however, have an influece on Power</t>
  </si>
  <si>
    <t xml:space="preserve"> Remember that the mains voltage continuously changes slightly!  You will see this when monitoring.</t>
  </si>
  <si>
    <t>If the current clamp is correctly placed and current reduces on load - simply reverse the transformer AC in!</t>
  </si>
  <si>
    <t>Calibration Defaults.  If updated, CRC is autocalculated upon boot and re-read from EEPROM.</t>
  </si>
  <si>
    <t>Simply use XLS to approxi,ate calculate UGAIN and IGAIN.  Enter below and 'Upload'.  CRC will auto calcualte.</t>
  </si>
  <si>
    <t>NB. Testing was done with a pure sinewave inverter (TLC SK 652100) to give constant 230v and a Resistive fixed load.</t>
  </si>
  <si>
    <t>Voltage RMS Gain</t>
  </si>
  <si>
    <t>L Line Current RMS Gain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</si>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</sst>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3" fillId="3" borderId="1" xfId="3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4" borderId="0" xfId="0" applyFill="1"/>
    <xf numFmtId="0" fontId="10" fillId="4" borderId="0" xfId="0" applyFont="1" applyFill="1"/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5" borderId="1" xfId="1" applyFill="1" applyAlignment="1">
      <alignment horizontal="left"/>
    </xf>
    <xf numFmtId="0" fontId="12" fillId="0" borderId="0" xfId="0" applyFont="1" applyAlignment="1">
      <alignment vertical="center"/>
    </xf>
    <xf numFmtId="49" fontId="1" fillId="2" borderId="1" xfId="1" applyNumberFormat="1"/>
    <xf numFmtId="49" fontId="1" fillId="2" borderId="1" xfId="1" applyNumberFormat="1" applyAlignment="1">
      <alignment horizontal="left"/>
    </xf>
    <xf numFmtId="0" fontId="13" fillId="0" borderId="0" xfId="0" applyFont="1" applyAlignment="1">
      <alignment vertical="center"/>
    </xf>
    <xf numFmtId="0" fontId="14" fillId="3" borderId="3" xfId="2" applyFont="1" applyBorder="1" applyAlignment="1">
      <alignment horizontal="right"/>
    </xf>
    <xf numFmtId="0" fontId="14" fillId="3" borderId="4" xfId="2" applyFont="1" applyBorder="1"/>
    <xf numFmtId="0" fontId="14" fillId="3" borderId="4" xfId="2" applyFont="1" applyBorder="1" applyAlignment="1">
      <alignment horizontal="left"/>
    </xf>
    <xf numFmtId="0" fontId="2" fillId="3" borderId="3" xfId="2" applyFont="1" applyBorder="1" applyAlignment="1">
      <alignment horizontal="right"/>
    </xf>
    <xf numFmtId="0" fontId="15" fillId="0" borderId="0" xfId="0" applyFont="1" applyAlignment="1">
      <alignment vertical="center"/>
    </xf>
    <xf numFmtId="2" fontId="16" fillId="2" borderId="1" xfId="1" applyNumberFormat="1" applyFont="1" applyAlignment="1">
      <alignment horizontal="left"/>
    </xf>
    <xf numFmtId="0" fontId="16" fillId="2" borderId="1" xfId="1" applyFon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73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91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topLeftCell="A43" workbookViewId="0">
      <selection activeCell="K71" sqref="K71"/>
    </sheetView>
  </sheetViews>
  <sheetFormatPr defaultRowHeight="15" x14ac:dyDescent="0.2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9.140625" customWidth="1"/>
  </cols>
  <sheetData>
    <row r="1" spans="1:22" ht="18" x14ac:dyDescent="0.35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8" x14ac:dyDescent="0.35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.25" x14ac:dyDescent="0.4">
      <c r="Q3" s="6" t="s">
        <v>95</v>
      </c>
    </row>
    <row r="4" spans="1:22" ht="26.25" x14ac:dyDescent="0.4">
      <c r="A4" s="6" t="s">
        <v>40</v>
      </c>
      <c r="Q4">
        <v>973</v>
      </c>
      <c r="R4" t="s">
        <v>92</v>
      </c>
    </row>
    <row r="5" spans="1:22" x14ac:dyDescent="0.25">
      <c r="A5" t="s">
        <v>23</v>
      </c>
      <c r="B5" s="23" t="s">
        <v>38</v>
      </c>
      <c r="C5" s="23"/>
      <c r="D5" s="23"/>
      <c r="E5" s="23"/>
      <c r="F5" s="7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93</v>
      </c>
      <c r="U5">
        <f>1/Q5</f>
        <v>0.27027777777777773</v>
      </c>
      <c r="V5" t="s">
        <v>53</v>
      </c>
    </row>
    <row r="6" spans="1:22" x14ac:dyDescent="0.25">
      <c r="A6" t="s">
        <v>24</v>
      </c>
      <c r="B6" s="23" t="s">
        <v>32</v>
      </c>
      <c r="C6" s="23"/>
      <c r="D6" s="23"/>
      <c r="E6" s="23"/>
      <c r="F6" s="7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94</v>
      </c>
      <c r="U6">
        <f>1/4.55</f>
        <v>0.21978021978021978</v>
      </c>
      <c r="V6" t="s">
        <v>53</v>
      </c>
    </row>
    <row r="7" spans="1:22" x14ac:dyDescent="0.25">
      <c r="A7" t="s">
        <v>25</v>
      </c>
      <c r="B7" s="23" t="s">
        <v>33</v>
      </c>
      <c r="C7" s="23"/>
      <c r="D7" s="23"/>
      <c r="E7" s="23"/>
      <c r="F7" s="7" t="str">
        <f t="shared" si="0"/>
        <v>1</v>
      </c>
      <c r="H7" s="3"/>
      <c r="I7" s="3"/>
      <c r="J7" s="3"/>
    </row>
    <row r="8" spans="1:22" x14ac:dyDescent="0.25">
      <c r="A8" t="s">
        <v>26</v>
      </c>
      <c r="B8" s="23" t="s">
        <v>34</v>
      </c>
      <c r="C8" s="23"/>
      <c r="D8" s="23"/>
      <c r="E8" s="23"/>
      <c r="F8" s="7" t="str">
        <f t="shared" si="0"/>
        <v>00</v>
      </c>
      <c r="H8" s="3"/>
      <c r="I8" s="3"/>
      <c r="J8" s="3"/>
    </row>
    <row r="9" spans="1:22" x14ac:dyDescent="0.25">
      <c r="A9" t="s">
        <v>27</v>
      </c>
      <c r="B9" s="22" t="s">
        <v>35</v>
      </c>
      <c r="C9" s="22"/>
      <c r="D9" s="22"/>
      <c r="E9" s="22"/>
      <c r="F9" s="7" t="str">
        <f t="shared" si="0"/>
        <v>0</v>
      </c>
      <c r="H9" s="3"/>
      <c r="I9" s="3"/>
      <c r="J9" s="3"/>
    </row>
    <row r="10" spans="1:22" x14ac:dyDescent="0.25">
      <c r="A10" t="s">
        <v>28</v>
      </c>
      <c r="B10" s="22" t="s">
        <v>36</v>
      </c>
      <c r="C10" s="22"/>
      <c r="D10" s="22"/>
      <c r="E10" s="22"/>
      <c r="F10" s="7" t="str">
        <f t="shared" si="0"/>
        <v>0</v>
      </c>
      <c r="H10" s="3"/>
      <c r="I10" s="3"/>
      <c r="J10" s="3"/>
    </row>
    <row r="11" spans="1:22" x14ac:dyDescent="0.25">
      <c r="A11" t="s">
        <v>29</v>
      </c>
      <c r="B11" s="22" t="s">
        <v>31</v>
      </c>
      <c r="C11" s="22"/>
      <c r="D11" s="22"/>
      <c r="E11" s="22"/>
      <c r="F11" s="7" t="str">
        <f t="shared" si="0"/>
        <v>10</v>
      </c>
      <c r="H11" s="3"/>
      <c r="I11" s="3"/>
      <c r="J11" s="3"/>
    </row>
    <row r="12" spans="1:22" x14ac:dyDescent="0.25">
      <c r="A12" t="s">
        <v>30</v>
      </c>
      <c r="B12" s="22" t="s">
        <v>37</v>
      </c>
      <c r="C12" s="22"/>
      <c r="D12" s="22"/>
      <c r="E12" s="22"/>
      <c r="F12" s="7" t="str">
        <f t="shared" si="0"/>
        <v>0010</v>
      </c>
      <c r="H12" s="3"/>
      <c r="I12" s="3"/>
      <c r="J12" s="3"/>
    </row>
    <row r="13" spans="1:22" x14ac:dyDescent="0.25">
      <c r="H13" s="3"/>
      <c r="I13" s="3"/>
      <c r="J13" s="3"/>
    </row>
    <row r="14" spans="1:22" x14ac:dyDescent="0.25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 x14ac:dyDescent="0.25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 x14ac:dyDescent="0.25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10" ht="23.25" x14ac:dyDescent="0.35">
      <c r="A17" s="25" t="s">
        <v>39</v>
      </c>
      <c r="B17" s="26" t="str">
        <f>"0x"&amp;B16&amp;C16</f>
        <v>0x9422</v>
      </c>
      <c r="H17" s="3"/>
      <c r="I17" s="3"/>
      <c r="J17" s="3"/>
    </row>
    <row r="18" spans="1:10" x14ac:dyDescent="0.25">
      <c r="H18" s="3"/>
      <c r="I18" s="3"/>
      <c r="J18" s="3"/>
    </row>
    <row r="19" spans="1:10" x14ac:dyDescent="0.25">
      <c r="H19" s="3"/>
      <c r="I19" s="3"/>
      <c r="J19" s="3"/>
    </row>
    <row r="20" spans="1:10" x14ac:dyDescent="0.25">
      <c r="H20" s="3"/>
      <c r="I20" s="3"/>
      <c r="J20" s="3"/>
    </row>
    <row r="21" spans="1:10" ht="26.25" x14ac:dyDescent="0.4">
      <c r="A21" s="6" t="s">
        <v>15</v>
      </c>
      <c r="H21" s="3"/>
    </row>
    <row r="22" spans="1:10" ht="19.5" x14ac:dyDescent="0.35">
      <c r="A22" s="1" t="s">
        <v>6</v>
      </c>
      <c r="B22" s="30">
        <v>300</v>
      </c>
      <c r="C22" t="s">
        <v>3</v>
      </c>
      <c r="D22" t="s">
        <v>9</v>
      </c>
    </row>
    <row r="23" spans="1:10" ht="19.5" x14ac:dyDescent="0.35">
      <c r="A23" s="1" t="s">
        <v>5</v>
      </c>
      <c r="B23" s="30">
        <v>12</v>
      </c>
      <c r="C23" t="s">
        <v>4</v>
      </c>
      <c r="D23" t="s">
        <v>10</v>
      </c>
    </row>
    <row r="24" spans="1:10" ht="19.5" x14ac:dyDescent="0.35">
      <c r="A24" s="1" t="s">
        <v>7</v>
      </c>
      <c r="B24" s="30">
        <v>1</v>
      </c>
      <c r="C24" t="s">
        <v>2</v>
      </c>
      <c r="D24" t="s">
        <v>8</v>
      </c>
    </row>
    <row r="25" spans="1:10" ht="18" x14ac:dyDescent="0.35">
      <c r="A25" s="1" t="s">
        <v>13</v>
      </c>
      <c r="B25" s="9">
        <f>UN*Vratio*1000</f>
        <v>298.95366218236177</v>
      </c>
      <c r="C25" t="s">
        <v>89</v>
      </c>
      <c r="D25" t="s">
        <v>11</v>
      </c>
    </row>
    <row r="26" spans="1:10" ht="18" x14ac:dyDescent="0.35">
      <c r="A26" s="1" t="s">
        <v>14</v>
      </c>
      <c r="B26" s="10">
        <f>IB*Iratio*1000</f>
        <v>174.75728155339806</v>
      </c>
      <c r="C26" t="s">
        <v>89</v>
      </c>
      <c r="D26" t="s">
        <v>12</v>
      </c>
    </row>
    <row r="27" spans="1:10" ht="18.75" x14ac:dyDescent="0.3">
      <c r="A27" s="1" t="s">
        <v>16</v>
      </c>
      <c r="B27" s="31">
        <v>1000</v>
      </c>
      <c r="C27" t="s">
        <v>17</v>
      </c>
      <c r="D27" t="s">
        <v>18</v>
      </c>
    </row>
    <row r="28" spans="1:10" x14ac:dyDescent="0.25">
      <c r="B28" s="8"/>
      <c r="D28" s="2"/>
    </row>
    <row r="29" spans="1:10" x14ac:dyDescent="0.25">
      <c r="B29" s="8"/>
    </row>
    <row r="30" spans="1:10" x14ac:dyDescent="0.25">
      <c r="B30" s="8"/>
    </row>
    <row r="31" spans="1:10" x14ac:dyDescent="0.25">
      <c r="A31" s="1" t="s">
        <v>19</v>
      </c>
      <c r="B31" s="8">
        <f>INT(838860800*(GL*VL*VU)/(MC*UN*IB))</f>
        <v>12173811</v>
      </c>
    </row>
    <row r="32" spans="1:10" x14ac:dyDescent="0.25">
      <c r="A32" s="4" t="s">
        <v>20</v>
      </c>
      <c r="B32" s="8" t="str">
        <f>DEC2HEX(B31,8)</f>
        <v>00B9C1F3</v>
      </c>
    </row>
    <row r="33" spans="1:12" ht="23.25" x14ac:dyDescent="0.35">
      <c r="A33" s="28" t="s">
        <v>21</v>
      </c>
      <c r="B33" s="27" t="str">
        <f>"0x"&amp;LEFT(B32,4)</f>
        <v>0x00B9</v>
      </c>
    </row>
    <row r="34" spans="1:12" ht="23.25" x14ac:dyDescent="0.35">
      <c r="A34" s="28" t="s">
        <v>22</v>
      </c>
      <c r="B34" s="27" t="str">
        <f>"0x"&amp;RIGHT(B32,4)</f>
        <v>0xC1F3</v>
      </c>
    </row>
    <row r="38" spans="1:12" ht="26.25" x14ac:dyDescent="0.4">
      <c r="A38" s="6" t="s">
        <v>60</v>
      </c>
    </row>
    <row r="39" spans="1:12" x14ac:dyDescent="0.25">
      <c r="A39" s="12" t="s">
        <v>61</v>
      </c>
    </row>
    <row r="40" spans="1:12" x14ac:dyDescent="0.25">
      <c r="A40" t="s">
        <v>62</v>
      </c>
    </row>
    <row r="41" spans="1:12" x14ac:dyDescent="0.25">
      <c r="A41" t="s">
        <v>63</v>
      </c>
    </row>
    <row r="42" spans="1:12" x14ac:dyDescent="0.25">
      <c r="A42" t="s">
        <v>64</v>
      </c>
    </row>
    <row r="43" spans="1:12" x14ac:dyDescent="0.25">
      <c r="A43" t="s">
        <v>65</v>
      </c>
    </row>
    <row r="47" spans="1:12" ht="26.25" x14ac:dyDescent="0.4">
      <c r="A47" s="6" t="s">
        <v>49</v>
      </c>
    </row>
    <row r="48" spans="1:12" x14ac:dyDescent="0.25">
      <c r="A48" s="8" t="s">
        <v>50</v>
      </c>
      <c r="L48" t="s">
        <v>122</v>
      </c>
    </row>
    <row r="49" spans="1:18" ht="18.75" x14ac:dyDescent="0.3">
      <c r="A49" s="8" t="s">
        <v>51</v>
      </c>
      <c r="B49" s="31">
        <v>0.26900000000000002</v>
      </c>
      <c r="C49" t="s">
        <v>53</v>
      </c>
      <c r="D49" t="s">
        <v>54</v>
      </c>
      <c r="L49">
        <v>0.26900000000000002</v>
      </c>
      <c r="O49" s="21" t="s">
        <v>110</v>
      </c>
    </row>
    <row r="50" spans="1:18" ht="18.75" x14ac:dyDescent="0.3">
      <c r="A50" t="s">
        <v>52</v>
      </c>
      <c r="B50" s="31">
        <v>0.219</v>
      </c>
      <c r="C50" t="s">
        <v>53</v>
      </c>
      <c r="D50" t="s">
        <v>55</v>
      </c>
      <c r="L50">
        <v>0.219</v>
      </c>
    </row>
    <row r="51" spans="1:18" x14ac:dyDescent="0.25">
      <c r="B51" s="8"/>
    </row>
    <row r="52" spans="1:18" x14ac:dyDescent="0.25">
      <c r="A52" s="1" t="s">
        <v>56</v>
      </c>
      <c r="B52" s="11">
        <f>(B50/B49-1)*100</f>
        <v>-18.587360594795545</v>
      </c>
      <c r="C52" t="s">
        <v>57</v>
      </c>
      <c r="O52" s="29" t="s">
        <v>117</v>
      </c>
    </row>
    <row r="53" spans="1:18" ht="18" x14ac:dyDescent="0.35">
      <c r="A53" s="1" t="s">
        <v>58</v>
      </c>
      <c r="B53" s="11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  <c r="O53" s="29" t="s">
        <v>118</v>
      </c>
    </row>
    <row r="54" spans="1:18" ht="18" x14ac:dyDescent="0.35">
      <c r="A54" s="1" t="s">
        <v>59</v>
      </c>
      <c r="B54" s="11">
        <f>IF(B53&lt;0,INT(2^16+B53*2^15),INT(B53*2^15))</f>
        <v>7481</v>
      </c>
      <c r="D54">
        <f>65535-B54</f>
        <v>58054</v>
      </c>
      <c r="G54" s="1" t="str">
        <f>DEC2BIN(I53,4)</f>
        <v>0101</v>
      </c>
      <c r="O54" s="29" t="s">
        <v>115</v>
      </c>
    </row>
    <row r="55" spans="1:18" ht="23.25" x14ac:dyDescent="0.35">
      <c r="A55" s="25" t="s">
        <v>23</v>
      </c>
      <c r="B55" s="27" t="str">
        <f>"0x"&amp;DEC2HEX(B54,4)</f>
        <v>0x1D39</v>
      </c>
      <c r="O55" s="29" t="s">
        <v>119</v>
      </c>
    </row>
    <row r="56" spans="1:18" x14ac:dyDescent="0.25">
      <c r="B56" s="8"/>
      <c r="O56" s="29" t="s">
        <v>116</v>
      </c>
    </row>
    <row r="58" spans="1:18" x14ac:dyDescent="0.25">
      <c r="O58" s="15" t="s">
        <v>96</v>
      </c>
      <c r="P58" s="14"/>
      <c r="Q58" s="14"/>
      <c r="R58" s="14"/>
    </row>
    <row r="59" spans="1:18" ht="26.25" x14ac:dyDescent="0.4">
      <c r="A59" s="6" t="s">
        <v>120</v>
      </c>
      <c r="I59" s="19" t="s">
        <v>108</v>
      </c>
      <c r="O59" s="17" t="s">
        <v>100</v>
      </c>
    </row>
    <row r="60" spans="1:18" ht="18.75" x14ac:dyDescent="0.3">
      <c r="A60" s="1" t="s">
        <v>67</v>
      </c>
      <c r="B60" s="30">
        <v>159.22999999999999</v>
      </c>
      <c r="C60" t="s">
        <v>3</v>
      </c>
      <c r="E60" s="17" t="s">
        <v>66</v>
      </c>
      <c r="I60" s="19">
        <v>159.1</v>
      </c>
      <c r="J60">
        <f>B60/B62</f>
        <v>5.6867857142857137E-3</v>
      </c>
      <c r="O60" s="20">
        <v>158.4</v>
      </c>
    </row>
    <row r="61" spans="1:18" ht="18.75" x14ac:dyDescent="0.3">
      <c r="A61" s="1" t="s">
        <v>68</v>
      </c>
      <c r="B61" s="30">
        <v>246.1</v>
      </c>
      <c r="C61" t="s">
        <v>3</v>
      </c>
      <c r="E61" s="18" t="s">
        <v>69</v>
      </c>
      <c r="I61" s="19">
        <v>244.1</v>
      </c>
      <c r="J61">
        <f>B61*Vratio</f>
        <v>0.24524165421026406</v>
      </c>
      <c r="K61">
        <f>J61/J60</f>
        <v>43.124827720199676</v>
      </c>
      <c r="O61" s="20">
        <v>246</v>
      </c>
    </row>
    <row r="62" spans="1:18" ht="18" x14ac:dyDescent="0.35">
      <c r="A62" s="1" t="s">
        <v>71</v>
      </c>
      <c r="B62" s="8">
        <v>28000</v>
      </c>
      <c r="E62" s="17" t="s">
        <v>72</v>
      </c>
      <c r="I62" s="19"/>
      <c r="O62" s="12" t="s">
        <v>98</v>
      </c>
    </row>
    <row r="63" spans="1:18" x14ac:dyDescent="0.25">
      <c r="I63" s="19"/>
      <c r="O63" s="12" t="s">
        <v>106</v>
      </c>
    </row>
    <row r="64" spans="1:18" x14ac:dyDescent="0.25">
      <c r="I64" s="19"/>
      <c r="O64" s="12" t="s">
        <v>99</v>
      </c>
    </row>
    <row r="65" spans="1:15" x14ac:dyDescent="0.25">
      <c r="I65" s="19"/>
      <c r="O65" s="12"/>
    </row>
    <row r="66" spans="1:15" x14ac:dyDescent="0.25">
      <c r="A66" s="4" t="s">
        <v>20</v>
      </c>
      <c r="B66" s="8">
        <f>INT(B62*B61/B60)</f>
        <v>43275</v>
      </c>
      <c r="I66" s="19"/>
      <c r="O66" s="12"/>
    </row>
    <row r="67" spans="1:15" ht="23.25" x14ac:dyDescent="0.35">
      <c r="A67" s="25" t="s">
        <v>70</v>
      </c>
      <c r="B67" s="26" t="str">
        <f>"0x"&amp;DEC2HEX(B66,4)</f>
        <v>0xA90B</v>
      </c>
      <c r="E67" s="16" t="s">
        <v>105</v>
      </c>
      <c r="I67" s="19"/>
      <c r="O67" s="12"/>
    </row>
    <row r="68" spans="1:15" x14ac:dyDescent="0.25">
      <c r="E68" s="16"/>
      <c r="I68" s="19"/>
      <c r="O68" s="12"/>
    </row>
    <row r="69" spans="1:15" x14ac:dyDescent="0.25">
      <c r="E69" s="16"/>
      <c r="I69" s="19"/>
      <c r="O69" s="12"/>
    </row>
    <row r="70" spans="1:15" ht="26.25" x14ac:dyDescent="0.4">
      <c r="A70" s="6" t="s">
        <v>121</v>
      </c>
      <c r="I70" s="19"/>
    </row>
    <row r="71" spans="1:15" ht="18.75" x14ac:dyDescent="0.3">
      <c r="A71" s="1" t="s">
        <v>73</v>
      </c>
      <c r="B71" s="30">
        <v>0.56000000000000005</v>
      </c>
      <c r="C71" t="s">
        <v>4</v>
      </c>
      <c r="E71" s="17" t="s">
        <v>66</v>
      </c>
      <c r="I71" s="19">
        <v>1.6</v>
      </c>
      <c r="J71">
        <v>35</v>
      </c>
    </row>
    <row r="72" spans="1:15" ht="18.75" x14ac:dyDescent="0.3">
      <c r="A72" s="1" t="s">
        <v>74</v>
      </c>
      <c r="B72" s="30">
        <v>0.8</v>
      </c>
      <c r="C72" t="s">
        <v>4</v>
      </c>
      <c r="E72" s="18" t="s">
        <v>107</v>
      </c>
      <c r="I72" s="19">
        <v>1.486</v>
      </c>
      <c r="J72">
        <v>25</v>
      </c>
      <c r="O72" s="18" t="s">
        <v>101</v>
      </c>
    </row>
    <row r="73" spans="1:15" ht="18" x14ac:dyDescent="0.35">
      <c r="A73" s="1" t="s">
        <v>75</v>
      </c>
      <c r="B73" s="8">
        <v>40000</v>
      </c>
      <c r="E73" s="17" t="s">
        <v>76</v>
      </c>
      <c r="O73" s="20">
        <v>159.1</v>
      </c>
    </row>
    <row r="74" spans="1:15" x14ac:dyDescent="0.25">
      <c r="O74" s="20">
        <v>244.1</v>
      </c>
    </row>
    <row r="75" spans="1:15" x14ac:dyDescent="0.25">
      <c r="O75" s="24" t="s">
        <v>111</v>
      </c>
    </row>
    <row r="76" spans="1:15" x14ac:dyDescent="0.25">
      <c r="O76" s="24" t="s">
        <v>112</v>
      </c>
    </row>
    <row r="77" spans="1:15" x14ac:dyDescent="0.25">
      <c r="A77" s="4" t="s">
        <v>20</v>
      </c>
      <c r="B77" s="8">
        <f>INT(B73*B72/B71)</f>
        <v>57142</v>
      </c>
      <c r="E77" s="16" t="s">
        <v>97</v>
      </c>
      <c r="O77" s="24" t="s">
        <v>113</v>
      </c>
    </row>
    <row r="78" spans="1:15" ht="23.25" x14ac:dyDescent="0.35">
      <c r="A78" s="25" t="s">
        <v>77</v>
      </c>
      <c r="B78" s="26" t="str">
        <f>"0x"&amp;DEC2HEX(B77,4)</f>
        <v>0xDF36</v>
      </c>
      <c r="E78" s="16" t="s">
        <v>105</v>
      </c>
      <c r="J78" t="s">
        <v>90</v>
      </c>
      <c r="L78" s="19" t="s">
        <v>91</v>
      </c>
      <c r="M78" s="19">
        <f>INT(3*B77/2^16*2^8)</f>
        <v>669</v>
      </c>
      <c r="O78" s="12"/>
    </row>
    <row r="79" spans="1:15" x14ac:dyDescent="0.25">
      <c r="L79" s="19"/>
      <c r="M79" s="19" t="str">
        <f>DEC2HEX(M78)</f>
        <v>29D</v>
      </c>
      <c r="O79" s="21" t="s">
        <v>109</v>
      </c>
    </row>
    <row r="80" spans="1:15" x14ac:dyDescent="0.25">
      <c r="A80" t="s">
        <v>78</v>
      </c>
    </row>
    <row r="81" spans="1:22" x14ac:dyDescent="0.25">
      <c r="A81" t="s">
        <v>79</v>
      </c>
      <c r="O81" s="21" t="s">
        <v>103</v>
      </c>
    </row>
    <row r="82" spans="1:22" x14ac:dyDescent="0.25">
      <c r="A82" t="s">
        <v>80</v>
      </c>
      <c r="O82" s="21" t="s">
        <v>104</v>
      </c>
    </row>
    <row r="83" spans="1:22" x14ac:dyDescent="0.25">
      <c r="O83" s="21" t="s">
        <v>102</v>
      </c>
    </row>
    <row r="84" spans="1:22" x14ac:dyDescent="0.25">
      <c r="A84" t="s">
        <v>81</v>
      </c>
    </row>
    <row r="85" spans="1:22" x14ac:dyDescent="0.25">
      <c r="A85" t="s">
        <v>82</v>
      </c>
      <c r="O85" s="21" t="s">
        <v>114</v>
      </c>
    </row>
    <row r="88" spans="1:22" ht="26.25" x14ac:dyDescent="0.4">
      <c r="A88" s="6" t="s">
        <v>83</v>
      </c>
      <c r="V88" s="13"/>
    </row>
    <row r="89" spans="1:22" ht="18.75" x14ac:dyDescent="0.3">
      <c r="A89" s="1" t="s">
        <v>68</v>
      </c>
      <c r="B89" s="31">
        <v>230</v>
      </c>
      <c r="C89" t="s">
        <v>84</v>
      </c>
      <c r="V89" s="13"/>
    </row>
    <row r="90" spans="1:22" x14ac:dyDescent="0.25">
      <c r="A90" s="1" t="s">
        <v>70</v>
      </c>
      <c r="B90" s="11">
        <f>B66</f>
        <v>43275</v>
      </c>
      <c r="C90" t="s">
        <v>85</v>
      </c>
      <c r="V90" s="13"/>
    </row>
    <row r="91" spans="1:22" x14ac:dyDescent="0.25">
      <c r="A91" s="1" t="s">
        <v>86</v>
      </c>
      <c r="B91" s="8">
        <v>0.94</v>
      </c>
      <c r="C91" t="s">
        <v>88</v>
      </c>
      <c r="V91" s="13"/>
    </row>
    <row r="92" spans="1:22" x14ac:dyDescent="0.25">
      <c r="V92" s="13"/>
    </row>
    <row r="96" spans="1:22" x14ac:dyDescent="0.25">
      <c r="A96" s="1" t="s">
        <v>87</v>
      </c>
      <c r="B96" s="8">
        <f>INT(100*B89*SQRT(2)*B91/(4*B90/32768))</f>
        <v>5787</v>
      </c>
    </row>
    <row r="97" spans="1:2" ht="23.25" x14ac:dyDescent="0.35">
      <c r="A97" s="25" t="s">
        <v>87</v>
      </c>
      <c r="B97" s="26" t="str">
        <f>"0x"&amp;DEC2HEX(B96,4)</f>
        <v>0x169B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GTEM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Dave Williams</cp:lastModifiedBy>
  <dcterms:created xsi:type="dcterms:W3CDTF">2016-02-17T21:45:21Z</dcterms:created>
  <dcterms:modified xsi:type="dcterms:W3CDTF">2023-02-18T14:04:26Z</dcterms:modified>
</cp:coreProperties>
</file>