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DitroniX\Projects\_DitroniX\_Domoticz\Code\GTEM-1_Test_ATM90E26_Basic_Calibration-Domoticz-DW-House\"/>
    </mc:Choice>
  </mc:AlternateContent>
  <xr:revisionPtr revIDLastSave="0" documentId="13_ncr:1_{8AAA19EA-E66B-4D29-824C-800BA973AAD5}" xr6:coauthVersionLast="47" xr6:coauthVersionMax="47" xr10:uidLastSave="{00000000-0000-0000-0000-000000000000}"/>
  <bookViews>
    <workbookView xWindow="76680" yWindow="-120" windowWidth="38640" windowHeight="21840" xr2:uid="{00000000-000D-0000-FFFF-FFFF00000000}"/>
  </bookViews>
  <sheets>
    <sheet name="GTEM" sheetId="1" r:id="rId1"/>
  </sheets>
  <definedNames>
    <definedName name="GL">GTEM!$B$24</definedName>
    <definedName name="IB">GTEM!$B$23</definedName>
    <definedName name="Iratio">GTEM!$B$2</definedName>
    <definedName name="MC">GTEM!$B$27</definedName>
    <definedName name="UN">GTEM!$B$22</definedName>
    <definedName name="VL">GTEM!$B$25</definedName>
    <definedName name="Vratio">GTEM!$B$1</definedName>
    <definedName name="VU">GTEM!$B$26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" i="1" l="1"/>
  <c r="Q5" i="1"/>
  <c r="U5" i="1" s="1"/>
  <c r="Q6" i="1" l="1"/>
  <c r="J60" i="1"/>
  <c r="B1" i="1" l="1"/>
  <c r="J61" i="1" s="1"/>
  <c r="K61" i="1" s="1"/>
  <c r="B75" i="1" l="1"/>
  <c r="B66" i="1"/>
  <c r="B67" i="1" s="1"/>
  <c r="B52" i="1"/>
  <c r="B53" i="1" s="1"/>
  <c r="B54" i="1" s="1"/>
  <c r="B55" i="1" s="1"/>
  <c r="H53" i="1"/>
  <c r="I53" i="1" s="1"/>
  <c r="G54" i="1" s="1"/>
  <c r="E53" i="1"/>
  <c r="B2" i="1"/>
  <c r="B25" i="1"/>
  <c r="F5" i="1"/>
  <c r="F6" i="1"/>
  <c r="F7" i="1"/>
  <c r="F11" i="1"/>
  <c r="F8" i="1"/>
  <c r="F9" i="1"/>
  <c r="F10" i="1"/>
  <c r="F12" i="1"/>
  <c r="B26" i="1" l="1"/>
  <c r="B31" i="1" s="1"/>
  <c r="B32" i="1" s="1"/>
  <c r="B34" i="1" s="1"/>
  <c r="M14" i="1"/>
  <c r="B76" i="1"/>
  <c r="M76" i="1"/>
  <c r="M77" i="1" s="1"/>
  <c r="B88" i="1"/>
  <c r="B94" i="1" s="1"/>
  <c r="B95" i="1" s="1"/>
  <c r="D54" i="1"/>
  <c r="B14" i="1"/>
  <c r="C15" i="1" s="1"/>
  <c r="C16" i="1" s="1"/>
  <c r="B33" i="1" l="1"/>
  <c r="B15" i="1"/>
  <c r="B16" i="1" s="1"/>
  <c r="B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Wendland, Ryan</author>
  </authors>
  <commentList>
    <comment ref="A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L line current gain</t>
        </r>
      </text>
    </comment>
    <comment ref="A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N line current gain</t>
        </r>
      </text>
    </comment>
    <comment ref="A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This bit specifies metering as L line or N line when metering mode is set to flexible mode by MMD1 and
MMD0 pins.</t>
        </r>
      </text>
    </comment>
    <comment ref="A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These bits configure the High Pass Filters (HPF) after ADC.</t>
        </r>
      </text>
    </comment>
    <comment ref="A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CF1 output for active power</t>
        </r>
      </text>
    </comment>
    <comment ref="A1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CF2 output for reactive power</t>
        </r>
      </text>
    </comment>
    <comment ref="A1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These bits configure zero-crossing mode. The ZX pin outputs 5ms-width high level when voltage crosses zero</t>
        </r>
      </text>
    </comment>
    <comment ref="A1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These bits configure the L line and N line power difference threshold in anti-tampering mode</t>
        </r>
      </text>
    </comment>
  </commentList>
</comments>
</file>

<file path=xl/sharedStrings.xml><?xml version="1.0" encoding="utf-8"?>
<sst xmlns="http://schemas.openxmlformats.org/spreadsheetml/2006/main" count="136" uniqueCount="114">
  <si>
    <t>Voltage ratio</t>
  </si>
  <si>
    <t>Current ratio</t>
  </si>
  <si>
    <t>V/V</t>
  </si>
  <si>
    <t>V</t>
  </si>
  <si>
    <t>A</t>
  </si>
  <si>
    <r>
      <t>I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=</t>
    </r>
  </si>
  <si>
    <r>
      <t>U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=</t>
    </r>
  </si>
  <si>
    <r>
      <t>G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=</t>
    </r>
  </si>
  <si>
    <t>L line current circuit gain</t>
  </si>
  <si>
    <t>Reference voltage, unit is V</t>
  </si>
  <si>
    <t>Basic current, unit is A</t>
  </si>
  <si>
    <r>
      <t>Sampling voltage of the L line circuit at I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, unit is mV</t>
    </r>
  </si>
  <si>
    <r>
      <t>Sampling voltage of the voltage circuit at U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, unit is mV</t>
    </r>
  </si>
  <si>
    <r>
      <t>V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=</t>
    </r>
  </si>
  <si>
    <r>
      <t>V</t>
    </r>
    <r>
      <rPr>
        <vertAlign val="subscript"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=</t>
    </r>
  </si>
  <si>
    <t>PL Constant</t>
  </si>
  <si>
    <t>MC=</t>
  </si>
  <si>
    <t>imp/kWh</t>
  </si>
  <si>
    <t>Pulse constant of the energy meter, unit is imp/kWh</t>
  </si>
  <si>
    <t>PL_Constant=</t>
  </si>
  <si>
    <t>=</t>
  </si>
  <si>
    <t>PLconstH(0x21)=</t>
  </si>
  <si>
    <t>PLconstL(0x22)=</t>
  </si>
  <si>
    <t>Lgain=</t>
  </si>
  <si>
    <t>Ngain=</t>
  </si>
  <si>
    <t>LNSel=</t>
  </si>
  <si>
    <t>DisHPF=</t>
  </si>
  <si>
    <t>Amod=</t>
  </si>
  <si>
    <t>Rmod=</t>
  </si>
  <si>
    <t>Zxcon=</t>
  </si>
  <si>
    <t>Pthresh=</t>
  </si>
  <si>
    <t>10: All zero crossing</t>
  </si>
  <si>
    <t>10: Gain 1</t>
  </si>
  <si>
    <t>1: Meter on L line</t>
  </si>
  <si>
    <t>00: HPF1 and HPF0</t>
  </si>
  <si>
    <t>0: Fwd or rev energy pulse output</t>
  </si>
  <si>
    <t>0: Fwd or rev reactive energy pulse output</t>
  </si>
  <si>
    <t>0010: 3.125%</t>
  </si>
  <si>
    <t>100: Gain 1</t>
  </si>
  <si>
    <t>Mmode Reg=</t>
  </si>
  <si>
    <t>MMode</t>
  </si>
  <si>
    <t>Based on your input voltage divider ratios</t>
  </si>
  <si>
    <t>Based on your input current shunt/CT ratios</t>
  </si>
  <si>
    <r>
      <t>V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/V</t>
    </r>
    <r>
      <rPr>
        <vertAlign val="subscript"/>
        <sz val="11"/>
        <color theme="1"/>
        <rFont val="Calibri"/>
        <family val="2"/>
        <scheme val="minor"/>
      </rPr>
      <t>in</t>
    </r>
  </si>
  <si>
    <r>
      <t>V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/A</t>
    </r>
    <r>
      <rPr>
        <vertAlign val="subscript"/>
        <sz val="11"/>
        <color theme="1"/>
        <rFont val="Calibri"/>
        <family val="2"/>
        <scheme val="minor"/>
      </rPr>
      <t>in</t>
    </r>
  </si>
  <si>
    <t>L Line Input Impedance</t>
  </si>
  <si>
    <t>kOhm</t>
  </si>
  <si>
    <t>V Channel Input  Impedance</t>
  </si>
  <si>
    <t>Ohm</t>
  </si>
  <si>
    <t>L Line Gain Calibration (Calibrate PL Constant Energy Metering)</t>
  </si>
  <si>
    <t>L line gain calibration is performed when power factor PF=1.0 and the current is Ib</t>
  </si>
  <si>
    <t>ETSA Frequency</t>
  </si>
  <si>
    <t>My Frequency</t>
  </si>
  <si>
    <t>Hz</t>
  </si>
  <si>
    <t>Pulse output frequency as measured from ETSA metering using photodiode.</t>
  </si>
  <si>
    <t>Pulse output frequency as measured from my energymeter using photodiode.</t>
  </si>
  <si>
    <t>Error % =</t>
  </si>
  <si>
    <t>%</t>
  </si>
  <si>
    <r>
      <t>L</t>
    </r>
    <r>
      <rPr>
        <vertAlign val="subscript"/>
        <sz val="11"/>
        <color theme="1"/>
        <rFont val="Calibri"/>
        <family val="2"/>
        <scheme val="minor"/>
      </rPr>
      <t>ratio</t>
    </r>
    <r>
      <rPr>
        <sz val="11"/>
        <color theme="1"/>
        <rFont val="Calibri"/>
        <family val="2"/>
        <scheme val="minor"/>
      </rPr>
      <t xml:space="preserve"> =</t>
    </r>
  </si>
  <si>
    <r>
      <t>L</t>
    </r>
    <r>
      <rPr>
        <vertAlign val="subscript"/>
        <sz val="11"/>
        <color theme="1"/>
        <rFont val="Calibri"/>
        <family val="2"/>
        <scheme val="minor"/>
      </rPr>
      <t>gain</t>
    </r>
    <r>
      <rPr>
        <sz val="11"/>
        <color theme="1"/>
        <rFont val="Calibri"/>
        <family val="2"/>
        <scheme val="minor"/>
      </rPr>
      <t>=</t>
    </r>
  </si>
  <si>
    <t>Small-Power Mode and Power Offset Compensation</t>
  </si>
  <si>
    <t>1. Disconnect the current circuit of the energy meter;</t>
  </si>
  <si>
    <t>2. Write '0xA987' to the SmallPMod register (04H) to enter small-power mode</t>
  </si>
  <si>
    <t>3. Read out L / N line active / reactive power in small-power mode many times to get a mean value;</t>
  </si>
  <si>
    <t>4. Write the complement of the above mean value to the corresponding L / N line active / reactive power offset registers;</t>
  </si>
  <si>
    <t>5. Write any non-0xA987 value to the SmallPMod register (04H) to exit small-power mode</t>
  </si>
  <si>
    <t>Voltage RMS Gain and L Line Current RMS Gain</t>
  </si>
  <si>
    <t>Readout value of the Urms register (49H)</t>
  </si>
  <si>
    <t>Vol_mea=</t>
  </si>
  <si>
    <t>Un=</t>
  </si>
  <si>
    <t>Actual Voltage</t>
  </si>
  <si>
    <t>Ugain=</t>
  </si>
  <si>
    <r>
      <t>Ugain</t>
    </r>
    <r>
      <rPr>
        <vertAlign val="subscript"/>
        <sz val="11"/>
        <color theme="1"/>
        <rFont val="Calibri"/>
        <family val="2"/>
        <scheme val="minor"/>
      </rPr>
      <t>old</t>
    </r>
    <r>
      <rPr>
        <sz val="11"/>
        <color theme="1"/>
        <rFont val="Calibri"/>
        <family val="2"/>
        <scheme val="minor"/>
      </rPr>
      <t>=</t>
    </r>
  </si>
  <si>
    <t>26400 is the default value</t>
  </si>
  <si>
    <t>Cur_meaL=</t>
  </si>
  <si>
    <t>Ib=</t>
  </si>
  <si>
    <r>
      <t>Igain</t>
    </r>
    <r>
      <rPr>
        <vertAlign val="subscript"/>
        <sz val="11"/>
        <color theme="1"/>
        <rFont val="Calibri"/>
        <family val="2"/>
        <scheme val="minor"/>
      </rPr>
      <t>old</t>
    </r>
    <r>
      <rPr>
        <sz val="11"/>
        <color theme="1"/>
        <rFont val="Calibri"/>
        <family val="2"/>
        <scheme val="minor"/>
      </rPr>
      <t>=</t>
    </r>
  </si>
  <si>
    <t>31251 is the default value</t>
  </si>
  <si>
    <t>Igain=</t>
  </si>
  <si>
    <t xml:space="preserve">The current offset calibration should be performed at reference voltage and no current. </t>
  </si>
  <si>
    <t xml:space="preserve">Calibration is performed by reading the current, multiplying it with the above Igain/2^16 and 2^8, </t>
  </si>
  <si>
    <t>calculating the complement and writing the result to the L line current offset register (IoffsetL, 35H).</t>
  </si>
  <si>
    <t>Calibration of voltage offset is similar to that of current offset, but voltage offset</t>
  </si>
  <si>
    <t>calibration is not applicable for self-powered meter</t>
  </si>
  <si>
    <t>Voltage Sag Setpoint</t>
  </si>
  <si>
    <t>Nominal voltage</t>
  </si>
  <si>
    <t>From Voltage RMS Gain calc</t>
  </si>
  <si>
    <t>x%=</t>
  </si>
  <si>
    <t>SagTh =</t>
  </si>
  <si>
    <t>6% below nominal</t>
  </si>
  <si>
    <t>mV</t>
  </si>
  <si>
    <t>offset=0.003A</t>
  </si>
  <si>
    <t>IgainL</t>
  </si>
  <si>
    <t>W</t>
  </si>
  <si>
    <t>seconds per impulse</t>
  </si>
  <si>
    <t>impulses in one hour</t>
  </si>
  <si>
    <t>Impulse converter</t>
  </si>
  <si>
    <t>Example Values</t>
  </si>
  <si>
    <t>Based on a YHDC SCT-013 100A/50mA Current Transformer</t>
  </si>
  <si>
    <t>  _lgain = 0x1D39; // Use XLS to calculate these values, PL CONSTANT. Examples: 0x1D39;</t>
  </si>
  <si>
    <t>  _igain = 0x7160; // Use XLS to calculate these CURRENT GAIN values. Examples:  0x7160;</t>
  </si>
  <si>
    <t>  _crc1 = 0xAE70;  // Important! Run this application, then take auto CRC1 calculated values and update here. Examples: 0xAE70</t>
  </si>
  <si>
    <t>8V AC RMS In</t>
  </si>
  <si>
    <t>12V AC RMS In</t>
  </si>
  <si>
    <t>Dave Williams, DitroniX</t>
  </si>
  <si>
    <t>The above example values are what I have used on GTEM to test.   Based on YHDC SCT-013 100A/50mA Current Transformer and DAT01A Mains Transformer</t>
  </si>
  <si>
    <t>These WILL vary from one setup to another due to tolerances or the components, clamp and transformer.</t>
  </si>
  <si>
    <t>Will require CRC2 to be updated (GTEM-1_Defaults)</t>
  </si>
  <si>
    <t>  _crc2 = 0xDC3E;  // Important! Run this application, then take auto CRC2 calculated values and update here.  Examples: 8V 0xDC3E | 12V 0x51AF or 0xF24C</t>
  </si>
  <si>
    <t>  _crc2 = 0xFC4C;  // Important! Run this application, then take auto CRC2 calculated values and update here.  Examples: 8V 0xDC3E | 12V 0x51AF or 0xF24C</t>
  </si>
  <si>
    <t>  _ugain = 0xA028; // Use XLS to calculate these VOLTAGE RMS values. Examples: 8V 0xA028 | 12V 0x9F9A or 0x9E38</t>
  </si>
  <si>
    <t>  _ugain = 0x9F37; // Use XLS to calculate these VOLTAGE RMS values. Examples: 8V 0xA028 | 12V 0x9F9A or 0x9E38</t>
  </si>
  <si>
    <t>Actual Current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</si>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</sst>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14999847407452621"/>
      <name val="Calibri"/>
      <family val="2"/>
      <scheme val="minor"/>
    </font>
    <font>
      <sz val="11"/>
      <color rgb="FF3F3F76"/>
      <name val="Cambia Math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29">
    <xf numFmtId="0" fontId="0" fillId="0" borderId="0" xfId="0"/>
    <xf numFmtId="0" fontId="0" fillId="0" borderId="0" xfId="0" applyAlignment="1">
      <alignment horizontal="right"/>
    </xf>
    <xf numFmtId="0" fontId="5" fillId="0" borderId="0" xfId="0" applyFont="1" applyAlignment="1">
      <alignment vertical="center"/>
    </xf>
    <xf numFmtId="0" fontId="0" fillId="0" borderId="0" xfId="0" quotePrefix="1"/>
    <xf numFmtId="0" fontId="0" fillId="0" borderId="0" xfId="0" quotePrefix="1" applyAlignment="1">
      <alignment horizontal="right"/>
    </xf>
    <xf numFmtId="0" fontId="1" fillId="2" borderId="1" xfId="1"/>
    <xf numFmtId="0" fontId="6" fillId="0" borderId="0" xfId="0" applyFont="1"/>
    <xf numFmtId="0" fontId="2" fillId="3" borderId="4" xfId="2" applyBorder="1"/>
    <xf numFmtId="0" fontId="2" fillId="3" borderId="3" xfId="2" applyBorder="1" applyAlignment="1">
      <alignment horizontal="right"/>
    </xf>
    <xf numFmtId="0" fontId="9" fillId="0" borderId="0" xfId="0" applyFont="1"/>
    <xf numFmtId="0" fontId="0" fillId="0" borderId="0" xfId="0" applyAlignment="1">
      <alignment horizontal="left"/>
    </xf>
    <xf numFmtId="0" fontId="1" fillId="2" borderId="1" xfId="1" applyAlignment="1">
      <alignment horizontal="left"/>
    </xf>
    <xf numFmtId="2" fontId="3" fillId="3" borderId="1" xfId="3" applyNumberFormat="1" applyAlignment="1">
      <alignment horizontal="left"/>
    </xf>
    <xf numFmtId="164" fontId="3" fillId="3" borderId="1" xfId="3" applyNumberFormat="1" applyAlignment="1">
      <alignment horizontal="left"/>
    </xf>
    <xf numFmtId="0" fontId="2" fillId="3" borderId="4" xfId="2" applyBorder="1" applyAlignment="1">
      <alignment horizontal="left"/>
    </xf>
    <xf numFmtId="0" fontId="3" fillId="3" borderId="1" xfId="3" applyAlignment="1">
      <alignment horizontal="left"/>
    </xf>
    <xf numFmtId="0" fontId="10" fillId="2" borderId="1" xfId="1" applyFont="1" applyAlignment="1">
      <alignment horizontal="left"/>
    </xf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0" fillId="4" borderId="0" xfId="0" applyFill="1"/>
    <xf numFmtId="0" fontId="11" fillId="4" borderId="0" xfId="0" applyFont="1" applyFill="1"/>
    <xf numFmtId="0" fontId="13" fillId="0" borderId="0" xfId="0" applyFont="1"/>
    <xf numFmtId="0" fontId="11" fillId="0" borderId="0" xfId="0" applyFont="1"/>
    <xf numFmtId="0" fontId="1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5" borderId="1" xfId="1" applyFill="1" applyAlignment="1">
      <alignment horizontal="left"/>
    </xf>
    <xf numFmtId="0" fontId="13" fillId="0" borderId="0" xfId="0" applyFont="1" applyAlignment="1">
      <alignment vertical="center"/>
    </xf>
    <xf numFmtId="49" fontId="1" fillId="2" borderId="1" xfId="1" applyNumberFormat="1"/>
    <xf numFmtId="49" fontId="1" fillId="2" borderId="1" xfId="1" applyNumberFormat="1" applyAlignment="1">
      <alignment horizontal="left"/>
    </xf>
  </cellXfs>
  <cellStyles count="4">
    <cellStyle name="Calculation" xfId="3" builtinId="22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27</xdr:row>
      <xdr:rowOff>98901</xdr:rowOff>
    </xdr:from>
    <xdr:ext cx="3073433" cy="4726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190500" y="5794851"/>
              <a:ext cx="3073433" cy="472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AU" sz="1100" i="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P</m:t>
                    </m:r>
                    <m:sSub>
                      <m:sSub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AU" sz="110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L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AU" sz="110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Constant</m:t>
                        </m:r>
                      </m:sub>
                    </m:sSub>
                    <m:r>
                      <a:rPr lang="en-AU" sz="1100" i="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AU" sz="1100" i="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int</m:t>
                    </m:r>
                    <m:d>
                      <m:d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AU" sz="110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838860800×</m:t>
                        </m:r>
                        <m:f>
                          <m:fPr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G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L</m:t>
                                </m:r>
                              </m:sub>
                            </m:sSub>
                            <m:r>
                              <a:rPr lang="en-A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V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L</m:t>
                                </m:r>
                              </m:sub>
                            </m:sSub>
                            <m:r>
                              <a:rPr lang="en-A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V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U</m:t>
                                </m:r>
                              </m:sub>
                            </m:sSub>
                          </m:num>
                          <m:den>
                            <m:r>
                              <m:rPr>
                                <m:sty m:val="p"/>
                              </m:rPr>
                              <a:rPr lang="en-A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MC</m:t>
                            </m:r>
                            <m:r>
                              <a:rPr lang="en-A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U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N</m:t>
                                </m:r>
                                <m:r>
                                  <a:rPr lang="en-AU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`</m:t>
                                </m:r>
                              </m:sub>
                            </m:sSub>
                            <m:r>
                              <a:rPr lang="en-A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I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b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AU" sz="1100" i="0">
                <a:solidFill>
                  <a:schemeClr val="tx1"/>
                </a:solidFill>
                <a:effectLst/>
                <a:latin typeface="Calibri (Body)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90500" y="5794851"/>
              <a:ext cx="3073433" cy="472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AU" sz="1100" i="0">
                  <a:solidFill>
                    <a:schemeClr val="tx1"/>
                  </a:solidFill>
                  <a:effectLst/>
                  <a:latin typeface="Calibri (Body)"/>
                  <a:ea typeface="+mn-ea"/>
                  <a:cs typeface="+mn-cs"/>
                </a:rPr>
                <a:t>PL_Constant=int(838860800×(G_L×V_L×V_U)/(MC×U_(N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`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libri (Body)"/>
                  <a:ea typeface="+mn-ea"/>
                  <a:cs typeface="+mn-cs"/>
                </a:rPr>
                <a:t>)</a:t>
              </a:r>
              <a:r>
                <a:rPr lang="en-AU" sz="1100" i="0">
                  <a:solidFill>
                    <a:schemeClr val="tx1"/>
                  </a:solidFill>
                  <a:effectLst/>
                  <a:latin typeface="Calibri (Body)"/>
                  <a:ea typeface="+mn-ea"/>
                  <a:cs typeface="+mn-cs"/>
                </a:rPr>
                <a:t>×I_b ))</a:t>
              </a:r>
            </a:p>
          </xdr:txBody>
        </xdr:sp>
      </mc:Fallback>
    </mc:AlternateContent>
    <xdr:clientData/>
  </xdr:oneCellAnchor>
  <xdr:oneCellAnchor>
    <xdr:from>
      <xdr:col>0</xdr:col>
      <xdr:colOff>476249</xdr:colOff>
      <xdr:row>62</xdr:row>
      <xdr:rowOff>52387</xdr:rowOff>
    </xdr:from>
    <xdr:ext cx="1876425" cy="5476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476249" y="12958762"/>
              <a:ext cx="1876425" cy="547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AU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U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AU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gain</m:t>
                        </m:r>
                      </m:sub>
                    </m:sSub>
                    <m: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int</m:t>
                    </m:r>
                    <m:d>
                      <m:d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Ugain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old</m:t>
                                </m:r>
                              </m:sub>
                            </m:sSub>
                            <m:r>
                              <a:rPr lang="en-AU" sz="110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U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n</m:t>
                                </m:r>
                              </m:sub>
                            </m:sSub>
                          </m:num>
                          <m:den>
                            <m:r>
                              <m:rPr>
                                <m:sty m:val="p"/>
                              </m:rPr>
                              <a:rPr lang="en-AU" sz="110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Vo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l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mea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76249" y="12958762"/>
              <a:ext cx="1876425" cy="547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A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U_gain=int((Ugain_old×U_n)/(Vol_mea ))</a:t>
              </a:r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428624</xdr:colOff>
      <xdr:row>71</xdr:row>
      <xdr:rowOff>61912</xdr:rowOff>
    </xdr:from>
    <xdr:ext cx="1876425" cy="5476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28624" y="14720887"/>
              <a:ext cx="1876425" cy="547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AU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I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AU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gain</m:t>
                        </m:r>
                      </m:sub>
                    </m:sSub>
                    <m: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int</m:t>
                    </m:r>
                    <m:d>
                      <m:d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Igain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old</m:t>
                                </m:r>
                              </m:sub>
                            </m:sSub>
                            <m:r>
                              <a:rPr lang="en-AU" sz="110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I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b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Cur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mealL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428624" y="14720887"/>
              <a:ext cx="1876425" cy="547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A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I_gain=int((Igain_old×I_b)/Cur_mealL )</a:t>
              </a:r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352424</xdr:colOff>
      <xdr:row>89</xdr:row>
      <xdr:rowOff>33337</xdr:rowOff>
    </xdr:from>
    <xdr:ext cx="2133601" cy="7477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352424" y="18264187"/>
              <a:ext cx="2133601" cy="7477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SagTh</m:t>
                    </m:r>
                    <m: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AU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100×</m:t>
                        </m:r>
                        <m:sSub>
                          <m:sSubPr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AU" sz="110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U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AU" sz="110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n</m:t>
                            </m:r>
                          </m:sub>
                        </m:sSub>
                        <m:r>
                          <a:rPr lang="en-AU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× </m:t>
                        </m:r>
                        <m:rad>
                          <m:radPr>
                            <m:degHide m:val="on"/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</m:e>
                        </m:rad>
                        <m: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%</m:t>
                        </m:r>
                      </m:num>
                      <m:den>
                        <m: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4×</m:t>
                        </m:r>
                        <m:f>
                          <m:fPr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𝑈</m:t>
                                </m:r>
                              </m:e>
                              <m:sub>
                                <m: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𝑔𝑎𝑖𝑛</m:t>
                                </m:r>
                              </m:sub>
                            </m:sSub>
                          </m:num>
                          <m:den>
                            <m: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32768</m:t>
                            </m:r>
                          </m:den>
                        </m:f>
                      </m:den>
                    </m:f>
                  </m:oMath>
                </m:oMathPara>
              </a14:m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A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52424" y="18264187"/>
              <a:ext cx="2133601" cy="7477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A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SagTh=(100×U_n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 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</a:t>
              </a:r>
              <a:r>
                <a:rPr lang="en-A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2×𝑥%)/(4×𝑈_𝑔𝑎𝑖𝑛/32768)</a:t>
              </a:r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A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5"/>
  <sheetViews>
    <sheetView tabSelected="1" topLeftCell="A38" workbookViewId="0">
      <selection activeCell="AC42" sqref="AC42"/>
    </sheetView>
  </sheetViews>
  <sheetFormatPr defaultRowHeight="15"/>
  <cols>
    <col min="1" max="1" width="15.5703125" bestFit="1" customWidth="1"/>
    <col min="2" max="2" width="11.28515625" customWidth="1"/>
    <col min="3" max="3" width="8.7109375" customWidth="1"/>
    <col min="5" max="5" width="13.7109375" customWidth="1"/>
    <col min="11" max="11" width="9.140625" customWidth="1"/>
  </cols>
  <sheetData>
    <row r="1" spans="1:22" ht="18">
      <c r="A1" t="s">
        <v>0</v>
      </c>
      <c r="B1" s="5">
        <f>(1+1/K2)^-1/(1000+(1+1/K2)^-1)</f>
        <v>9.9651220727453907E-4</v>
      </c>
      <c r="C1" t="s">
        <v>43</v>
      </c>
      <c r="D1" t="s">
        <v>41</v>
      </c>
      <c r="J1" s="1" t="s">
        <v>45</v>
      </c>
      <c r="K1">
        <v>1000</v>
      </c>
      <c r="L1" t="s">
        <v>48</v>
      </c>
    </row>
    <row r="2" spans="1:22" ht="18">
      <c r="A2" t="s">
        <v>1</v>
      </c>
      <c r="B2" s="5">
        <f>1/2000*(30*K1/(30+K1))</f>
        <v>1.4563106796116505E-2</v>
      </c>
      <c r="C2" t="s">
        <v>44</v>
      </c>
      <c r="D2" t="s">
        <v>42</v>
      </c>
      <c r="J2" s="1" t="s">
        <v>47</v>
      </c>
      <c r="K2">
        <v>400</v>
      </c>
      <c r="L2" t="s">
        <v>46</v>
      </c>
    </row>
    <row r="3" spans="1:22" ht="26.25">
      <c r="Q3" s="6" t="s">
        <v>96</v>
      </c>
    </row>
    <row r="4" spans="1:22" ht="26.25">
      <c r="A4" s="6" t="s">
        <v>40</v>
      </c>
      <c r="Q4">
        <v>973</v>
      </c>
      <c r="R4" t="s">
        <v>93</v>
      </c>
    </row>
    <row r="5" spans="1:22">
      <c r="A5" t="s">
        <v>23</v>
      </c>
      <c r="B5" s="28" t="s">
        <v>38</v>
      </c>
      <c r="C5" s="28"/>
      <c r="D5" s="28"/>
      <c r="E5" s="28"/>
      <c r="F5" s="9" t="str">
        <f>LEFT(B5,FIND(":",B5)-1)</f>
        <v>100</v>
      </c>
      <c r="H5" s="3"/>
      <c r="I5" s="3"/>
      <c r="J5" s="3"/>
      <c r="K5">
        <v>1000000000</v>
      </c>
      <c r="Q5">
        <f>1/(Q4/60/60)</f>
        <v>3.6998972250770819</v>
      </c>
      <c r="R5" t="s">
        <v>94</v>
      </c>
      <c r="U5">
        <f>1/Q5</f>
        <v>0.27027777777777773</v>
      </c>
      <c r="V5" t="s">
        <v>53</v>
      </c>
    </row>
    <row r="6" spans="1:22">
      <c r="A6" t="s">
        <v>24</v>
      </c>
      <c r="B6" s="28" t="s">
        <v>32</v>
      </c>
      <c r="C6" s="28"/>
      <c r="D6" s="28"/>
      <c r="E6" s="28"/>
      <c r="F6" s="9" t="str">
        <f t="shared" ref="F6:F12" si="0">LEFT(B6,FIND(":",B6)-1)</f>
        <v>10</v>
      </c>
      <c r="H6" s="3"/>
      <c r="I6" s="3"/>
      <c r="J6" s="3"/>
      <c r="Q6">
        <f>1/Q5*60*60</f>
        <v>972.99999999999989</v>
      </c>
      <c r="R6" t="s">
        <v>95</v>
      </c>
      <c r="U6">
        <f>1/4.55</f>
        <v>0.21978021978021978</v>
      </c>
      <c r="V6" t="s">
        <v>53</v>
      </c>
    </row>
    <row r="7" spans="1:22">
      <c r="A7" t="s">
        <v>25</v>
      </c>
      <c r="B7" s="28" t="s">
        <v>33</v>
      </c>
      <c r="C7" s="28"/>
      <c r="D7" s="28"/>
      <c r="E7" s="28"/>
      <c r="F7" s="9" t="str">
        <f t="shared" si="0"/>
        <v>1</v>
      </c>
      <c r="H7" s="3"/>
      <c r="I7" s="3"/>
      <c r="J7" s="3"/>
    </row>
    <row r="8" spans="1:22">
      <c r="A8" t="s">
        <v>26</v>
      </c>
      <c r="B8" s="28" t="s">
        <v>34</v>
      </c>
      <c r="C8" s="28"/>
      <c r="D8" s="28"/>
      <c r="E8" s="28"/>
      <c r="F8" s="9" t="str">
        <f t="shared" si="0"/>
        <v>00</v>
      </c>
      <c r="H8" s="3"/>
      <c r="I8" s="3"/>
      <c r="J8" s="3"/>
    </row>
    <row r="9" spans="1:22">
      <c r="A9" t="s">
        <v>27</v>
      </c>
      <c r="B9" s="27" t="s">
        <v>35</v>
      </c>
      <c r="C9" s="27"/>
      <c r="D9" s="27"/>
      <c r="E9" s="27"/>
      <c r="F9" s="9" t="str">
        <f t="shared" si="0"/>
        <v>0</v>
      </c>
      <c r="H9" s="3"/>
      <c r="I9" s="3"/>
      <c r="J9" s="3"/>
    </row>
    <row r="10" spans="1:22">
      <c r="A10" t="s">
        <v>28</v>
      </c>
      <c r="B10" s="27" t="s">
        <v>36</v>
      </c>
      <c r="C10" s="27"/>
      <c r="D10" s="27"/>
      <c r="E10" s="27"/>
      <c r="F10" s="9" t="str">
        <f t="shared" si="0"/>
        <v>0</v>
      </c>
      <c r="H10" s="3"/>
      <c r="I10" s="3"/>
      <c r="J10" s="3"/>
    </row>
    <row r="11" spans="1:22">
      <c r="A11" t="s">
        <v>29</v>
      </c>
      <c r="B11" s="27" t="s">
        <v>31</v>
      </c>
      <c r="C11" s="27"/>
      <c r="D11" s="27"/>
      <c r="E11" s="27"/>
      <c r="F11" s="9" t="str">
        <f t="shared" si="0"/>
        <v>10</v>
      </c>
      <c r="H11" s="3"/>
      <c r="I11" s="3"/>
      <c r="J11" s="3"/>
    </row>
    <row r="12" spans="1:22">
      <c r="A12" t="s">
        <v>30</v>
      </c>
      <c r="B12" s="27" t="s">
        <v>37</v>
      </c>
      <c r="C12" s="27"/>
      <c r="D12" s="27"/>
      <c r="E12" s="27"/>
      <c r="F12" s="9" t="str">
        <f t="shared" si="0"/>
        <v>0010</v>
      </c>
      <c r="H12" s="3"/>
      <c r="I12" s="3"/>
      <c r="J12" s="3"/>
    </row>
    <row r="13" spans="1:22">
      <c r="H13" s="3"/>
      <c r="I13" s="3"/>
      <c r="J13" s="3"/>
    </row>
    <row r="14" spans="1:22">
      <c r="A14" s="1" t="s">
        <v>39</v>
      </c>
      <c r="B14" t="str">
        <f>CONCATENATE(F5,F6,F7,F8,F9,F10,F11,F12)</f>
        <v>1001010000100010</v>
      </c>
      <c r="H14" s="3"/>
      <c r="I14" s="3"/>
      <c r="J14" s="3"/>
      <c r="M14">
        <f>7.73*Iratio</f>
        <v>0.11257281553398059</v>
      </c>
    </row>
    <row r="15" spans="1:22">
      <c r="A15" s="4" t="s">
        <v>20</v>
      </c>
      <c r="B15" t="str">
        <f>LEFT(B14,8)</f>
        <v>10010100</v>
      </c>
      <c r="C15" t="str">
        <f>RIGHT(B14,8)</f>
        <v>00100010</v>
      </c>
      <c r="H15" s="3"/>
      <c r="I15" s="3"/>
      <c r="J15" s="3"/>
    </row>
    <row r="16" spans="1:22">
      <c r="A16" s="4" t="s">
        <v>20</v>
      </c>
      <c r="B16" t="str">
        <f>BIN2HEX(B15,2)</f>
        <v>94</v>
      </c>
      <c r="C16" t="str">
        <f>BIN2HEX(C15,2)</f>
        <v>22</v>
      </c>
      <c r="H16" s="3"/>
      <c r="I16" s="3"/>
      <c r="J16" s="3"/>
    </row>
    <row r="17" spans="1:10">
      <c r="A17" s="8" t="s">
        <v>39</v>
      </c>
      <c r="B17" s="7" t="str">
        <f>"0x"&amp;B16&amp;C16</f>
        <v>0x9422</v>
      </c>
      <c r="H17" s="3"/>
      <c r="I17" s="3"/>
      <c r="J17" s="3"/>
    </row>
    <row r="18" spans="1:10">
      <c r="H18" s="3"/>
      <c r="I18" s="3"/>
      <c r="J18" s="3"/>
    </row>
    <row r="19" spans="1:10">
      <c r="H19" s="3"/>
      <c r="I19" s="3"/>
      <c r="J19" s="3"/>
    </row>
    <row r="20" spans="1:10">
      <c r="H20" s="3"/>
      <c r="I20" s="3"/>
      <c r="J20" s="3"/>
    </row>
    <row r="21" spans="1:10" ht="26.25">
      <c r="A21" s="6" t="s">
        <v>15</v>
      </c>
      <c r="H21" s="3"/>
    </row>
    <row r="22" spans="1:10" ht="18">
      <c r="A22" s="1" t="s">
        <v>6</v>
      </c>
      <c r="B22" s="11">
        <v>300</v>
      </c>
      <c r="C22" t="s">
        <v>3</v>
      </c>
      <c r="D22" t="s">
        <v>9</v>
      </c>
    </row>
    <row r="23" spans="1:10" ht="18">
      <c r="A23" s="1" t="s">
        <v>5</v>
      </c>
      <c r="B23" s="11">
        <v>12</v>
      </c>
      <c r="C23" t="s">
        <v>4</v>
      </c>
      <c r="D23" t="s">
        <v>10</v>
      </c>
    </row>
    <row r="24" spans="1:10" ht="18">
      <c r="A24" s="1" t="s">
        <v>7</v>
      </c>
      <c r="B24" s="11">
        <v>1</v>
      </c>
      <c r="C24" t="s">
        <v>2</v>
      </c>
      <c r="D24" t="s">
        <v>8</v>
      </c>
    </row>
    <row r="25" spans="1:10" ht="18">
      <c r="A25" s="1" t="s">
        <v>13</v>
      </c>
      <c r="B25" s="12">
        <f>UN*Vratio*1000</f>
        <v>298.95366218236177</v>
      </c>
      <c r="C25" t="s">
        <v>90</v>
      </c>
      <c r="D25" t="s">
        <v>11</v>
      </c>
    </row>
    <row r="26" spans="1:10" ht="18">
      <c r="A26" s="1" t="s">
        <v>14</v>
      </c>
      <c r="B26" s="13">
        <f>IB*Iratio*1000</f>
        <v>174.75728155339806</v>
      </c>
      <c r="C26" t="s">
        <v>90</v>
      </c>
      <c r="D26" t="s">
        <v>12</v>
      </c>
    </row>
    <row r="27" spans="1:10">
      <c r="A27" s="1" t="s">
        <v>16</v>
      </c>
      <c r="B27" s="11">
        <v>1000</v>
      </c>
      <c r="C27" t="s">
        <v>17</v>
      </c>
      <c r="D27" t="s">
        <v>18</v>
      </c>
    </row>
    <row r="28" spans="1:10">
      <c r="B28" s="10"/>
      <c r="D28" s="2"/>
    </row>
    <row r="29" spans="1:10">
      <c r="B29" s="10"/>
    </row>
    <row r="30" spans="1:10">
      <c r="B30" s="10"/>
    </row>
    <row r="31" spans="1:10">
      <c r="A31" s="1" t="s">
        <v>19</v>
      </c>
      <c r="B31" s="10">
        <f>INT(838860800*(GL*VL*VU)/(MC*UN*IB))</f>
        <v>12173811</v>
      </c>
    </row>
    <row r="32" spans="1:10">
      <c r="A32" s="4" t="s">
        <v>20</v>
      </c>
      <c r="B32" s="10" t="str">
        <f>DEC2HEX(B31,8)</f>
        <v>00B9C1F3</v>
      </c>
    </row>
    <row r="33" spans="1:2">
      <c r="A33" s="8" t="s">
        <v>21</v>
      </c>
      <c r="B33" s="14" t="str">
        <f>"0x"&amp;LEFT(B32,4)</f>
        <v>0x00B9</v>
      </c>
    </row>
    <row r="34" spans="1:2">
      <c r="A34" s="8" t="s">
        <v>22</v>
      </c>
      <c r="B34" s="14" t="str">
        <f>"0x"&amp;RIGHT(B32,4)</f>
        <v>0xC1F3</v>
      </c>
    </row>
    <row r="38" spans="1:2" ht="26.25">
      <c r="A38" s="6" t="s">
        <v>60</v>
      </c>
    </row>
    <row r="39" spans="1:2">
      <c r="A39" s="17" t="s">
        <v>61</v>
      </c>
    </row>
    <row r="40" spans="1:2">
      <c r="A40" t="s">
        <v>62</v>
      </c>
    </row>
    <row r="41" spans="1:2">
      <c r="A41" t="s">
        <v>63</v>
      </c>
    </row>
    <row r="42" spans="1:2">
      <c r="A42" t="s">
        <v>64</v>
      </c>
    </row>
    <row r="43" spans="1:2">
      <c r="A43" t="s">
        <v>65</v>
      </c>
    </row>
    <row r="47" spans="1:2" ht="26.25">
      <c r="A47" s="6" t="s">
        <v>49</v>
      </c>
    </row>
    <row r="48" spans="1:2">
      <c r="A48" s="10" t="s">
        <v>50</v>
      </c>
    </row>
    <row r="49" spans="1:18">
      <c r="A49" s="10" t="s">
        <v>51</v>
      </c>
      <c r="B49" s="11">
        <v>0.26900000000000002</v>
      </c>
      <c r="C49" t="s">
        <v>53</v>
      </c>
      <c r="D49" t="s">
        <v>54</v>
      </c>
    </row>
    <row r="50" spans="1:18">
      <c r="A50" t="s">
        <v>52</v>
      </c>
      <c r="B50" s="11">
        <v>0.219</v>
      </c>
      <c r="C50" t="s">
        <v>53</v>
      </c>
      <c r="D50" t="s">
        <v>55</v>
      </c>
    </row>
    <row r="51" spans="1:18">
      <c r="B51" s="10"/>
    </row>
    <row r="52" spans="1:18">
      <c r="A52" s="1" t="s">
        <v>56</v>
      </c>
      <c r="B52" s="15">
        <f>(B50/B49-1)*100</f>
        <v>-18.587360594795545</v>
      </c>
      <c r="C52" t="s">
        <v>57</v>
      </c>
    </row>
    <row r="53" spans="1:18" ht="18">
      <c r="A53" s="1" t="s">
        <v>58</v>
      </c>
      <c r="B53" s="15">
        <f>-B52/100/(1+B52/100)</f>
        <v>0.22831050228310509</v>
      </c>
      <c r="E53">
        <f>2^16</f>
        <v>65536</v>
      </c>
      <c r="G53">
        <v>1010</v>
      </c>
      <c r="H53">
        <f>BIN2DEC(G53)</f>
        <v>10</v>
      </c>
      <c r="I53">
        <f>15-H53</f>
        <v>5</v>
      </c>
    </row>
    <row r="54" spans="1:18" ht="18">
      <c r="A54" s="1" t="s">
        <v>59</v>
      </c>
      <c r="B54" s="15">
        <f>IF(B53&lt;0,INT(2^16+B53*2^15),INT(B53*2^15))</f>
        <v>7481</v>
      </c>
      <c r="D54">
        <f>65535-B54</f>
        <v>58054</v>
      </c>
      <c r="G54" s="1" t="str">
        <f>DEC2BIN(I53,4)</f>
        <v>0101</v>
      </c>
    </row>
    <row r="55" spans="1:18">
      <c r="A55" s="8" t="s">
        <v>23</v>
      </c>
      <c r="B55" s="14" t="str">
        <f>"0x"&amp;DEC2HEX(B54,4)</f>
        <v>0x1D39</v>
      </c>
    </row>
    <row r="56" spans="1:18">
      <c r="B56" s="10"/>
    </row>
    <row r="58" spans="1:18">
      <c r="O58" s="20" t="s">
        <v>97</v>
      </c>
      <c r="P58" s="19"/>
      <c r="Q58" s="19"/>
      <c r="R58" s="19"/>
    </row>
    <row r="59" spans="1:18" ht="26.25">
      <c r="A59" s="6" t="s">
        <v>66</v>
      </c>
      <c r="I59" s="24" t="s">
        <v>113</v>
      </c>
      <c r="O59" s="22" t="s">
        <v>102</v>
      </c>
    </row>
    <row r="60" spans="1:18">
      <c r="A60" s="1" t="s">
        <v>68</v>
      </c>
      <c r="B60" s="16">
        <v>159.1</v>
      </c>
      <c r="C60" t="s">
        <v>3</v>
      </c>
      <c r="E60" s="22" t="s">
        <v>67</v>
      </c>
      <c r="I60" s="24">
        <v>159.1</v>
      </c>
      <c r="J60">
        <f>B60/B62</f>
        <v>6.0265151515151516E-3</v>
      </c>
      <c r="O60" s="25">
        <v>158.4</v>
      </c>
    </row>
    <row r="61" spans="1:18">
      <c r="A61" s="1" t="s">
        <v>69</v>
      </c>
      <c r="B61" s="16">
        <v>244.1</v>
      </c>
      <c r="C61" t="s">
        <v>3</v>
      </c>
      <c r="E61" s="23" t="s">
        <v>70</v>
      </c>
      <c r="I61" s="24">
        <v>244.1</v>
      </c>
      <c r="J61">
        <f>B61*Vratio</f>
        <v>0.24324862979571499</v>
      </c>
      <c r="K61">
        <f>J61/J60</f>
        <v>40.363066163462449</v>
      </c>
      <c r="O61" s="25">
        <v>246</v>
      </c>
    </row>
    <row r="62" spans="1:18" ht="18">
      <c r="A62" s="1" t="s">
        <v>72</v>
      </c>
      <c r="B62" s="10">
        <v>26400</v>
      </c>
      <c r="E62" s="22" t="s">
        <v>73</v>
      </c>
      <c r="I62" s="24"/>
      <c r="O62" s="17" t="s">
        <v>99</v>
      </c>
    </row>
    <row r="63" spans="1:18">
      <c r="I63" s="24"/>
      <c r="O63" s="17" t="s">
        <v>110</v>
      </c>
    </row>
    <row r="64" spans="1:18">
      <c r="I64" s="24"/>
      <c r="O64" s="17" t="s">
        <v>100</v>
      </c>
    </row>
    <row r="65" spans="1:15">
      <c r="I65" s="24"/>
      <c r="O65" s="17" t="s">
        <v>101</v>
      </c>
    </row>
    <row r="66" spans="1:15">
      <c r="A66" s="4" t="s">
        <v>20</v>
      </c>
      <c r="B66" s="10">
        <f>INT(B62*B61/B60)</f>
        <v>40504</v>
      </c>
      <c r="I66" s="24"/>
      <c r="O66" s="17" t="s">
        <v>108</v>
      </c>
    </row>
    <row r="67" spans="1:15">
      <c r="A67" s="8" t="s">
        <v>71</v>
      </c>
      <c r="B67" s="7" t="str">
        <f>"0x"&amp;DEC2HEX(B66,4)</f>
        <v>0x9E38</v>
      </c>
      <c r="E67" s="21" t="s">
        <v>107</v>
      </c>
      <c r="I67" s="24"/>
      <c r="O67" s="17"/>
    </row>
    <row r="68" spans="1:15">
      <c r="I68" s="24"/>
    </row>
    <row r="69" spans="1:15">
      <c r="A69" s="1" t="s">
        <v>74</v>
      </c>
      <c r="B69" s="16">
        <v>1.6</v>
      </c>
      <c r="C69" t="s">
        <v>4</v>
      </c>
      <c r="E69" s="22" t="s">
        <v>67</v>
      </c>
      <c r="I69" s="24">
        <v>1.6</v>
      </c>
    </row>
    <row r="70" spans="1:15">
      <c r="A70" s="1" t="s">
        <v>75</v>
      </c>
      <c r="B70" s="16">
        <v>1.486</v>
      </c>
      <c r="C70" t="s">
        <v>4</v>
      </c>
      <c r="E70" s="23" t="s">
        <v>112</v>
      </c>
      <c r="I70" s="24">
        <v>1.486</v>
      </c>
      <c r="O70" s="23" t="s">
        <v>103</v>
      </c>
    </row>
    <row r="71" spans="1:15" ht="18">
      <c r="A71" s="1" t="s">
        <v>76</v>
      </c>
      <c r="B71" s="10">
        <v>31251</v>
      </c>
      <c r="E71" s="22" t="s">
        <v>77</v>
      </c>
      <c r="O71" s="25">
        <v>159.1</v>
      </c>
    </row>
    <row r="72" spans="1:15">
      <c r="O72" s="25">
        <v>244.1</v>
      </c>
    </row>
    <row r="73" spans="1:15">
      <c r="O73" s="17" t="s">
        <v>99</v>
      </c>
    </row>
    <row r="74" spans="1:15">
      <c r="O74" s="17" t="s">
        <v>111</v>
      </c>
    </row>
    <row r="75" spans="1:15">
      <c r="A75" s="4" t="s">
        <v>20</v>
      </c>
      <c r="B75" s="10">
        <f>INT(B71*B70/B69)</f>
        <v>29024</v>
      </c>
      <c r="E75" s="21" t="s">
        <v>98</v>
      </c>
      <c r="O75" s="17" t="s">
        <v>100</v>
      </c>
    </row>
    <row r="76" spans="1:15">
      <c r="A76" s="8" t="s">
        <v>78</v>
      </c>
      <c r="B76" s="7" t="str">
        <f>"0x"&amp;DEC2HEX(B75,4)</f>
        <v>0x7160</v>
      </c>
      <c r="E76" s="21" t="s">
        <v>107</v>
      </c>
      <c r="J76" t="s">
        <v>91</v>
      </c>
      <c r="L76" s="24" t="s">
        <v>92</v>
      </c>
      <c r="M76" s="24">
        <f>INT(3*B75/2^16*2^8)</f>
        <v>340</v>
      </c>
      <c r="O76" s="17" t="s">
        <v>101</v>
      </c>
    </row>
    <row r="77" spans="1:15">
      <c r="L77" s="24"/>
      <c r="M77" s="24" t="str">
        <f>DEC2HEX(M76)</f>
        <v>154</v>
      </c>
      <c r="O77" s="17" t="s">
        <v>109</v>
      </c>
    </row>
    <row r="78" spans="1:15">
      <c r="A78" t="s">
        <v>79</v>
      </c>
    </row>
    <row r="79" spans="1:15">
      <c r="A79" t="s">
        <v>80</v>
      </c>
      <c r="O79" s="26" t="s">
        <v>105</v>
      </c>
    </row>
    <row r="80" spans="1:15">
      <c r="A80" t="s">
        <v>81</v>
      </c>
      <c r="O80" s="26" t="s">
        <v>106</v>
      </c>
    </row>
    <row r="81" spans="1:22">
      <c r="O81" s="26" t="s">
        <v>104</v>
      </c>
    </row>
    <row r="82" spans="1:22">
      <c r="A82" t="s">
        <v>82</v>
      </c>
    </row>
    <row r="83" spans="1:22">
      <c r="A83" t="s">
        <v>83</v>
      </c>
    </row>
    <row r="86" spans="1:22" ht="26.25">
      <c r="A86" s="6" t="s">
        <v>84</v>
      </c>
      <c r="V86" s="18"/>
    </row>
    <row r="87" spans="1:22">
      <c r="A87" s="1" t="s">
        <v>69</v>
      </c>
      <c r="B87" s="11">
        <v>230</v>
      </c>
      <c r="C87" t="s">
        <v>85</v>
      </c>
      <c r="V87" s="18"/>
    </row>
    <row r="88" spans="1:22">
      <c r="A88" s="1" t="s">
        <v>71</v>
      </c>
      <c r="B88" s="15">
        <f>B66</f>
        <v>40504</v>
      </c>
      <c r="C88" t="s">
        <v>86</v>
      </c>
      <c r="V88" s="18"/>
    </row>
    <row r="89" spans="1:22">
      <c r="A89" s="1" t="s">
        <v>87</v>
      </c>
      <c r="B89" s="10">
        <v>0.94</v>
      </c>
      <c r="C89" t="s">
        <v>89</v>
      </c>
      <c r="V89" s="18"/>
    </row>
    <row r="90" spans="1:22">
      <c r="V90" s="18"/>
    </row>
    <row r="94" spans="1:22">
      <c r="A94" s="1" t="s">
        <v>88</v>
      </c>
      <c r="B94" s="10">
        <f>INT(100*B87*SQRT(2)*B89/(4*B88/32768))</f>
        <v>6183</v>
      </c>
    </row>
    <row r="95" spans="1:22">
      <c r="A95" s="8" t="s">
        <v>88</v>
      </c>
      <c r="B95" s="7" t="str">
        <f>"0x"&amp;DEC2HEX(B94,4)</f>
        <v>0x1827</v>
      </c>
    </row>
  </sheetData>
  <mergeCells count="8">
    <mergeCell ref="B9:E9"/>
    <mergeCell ref="B10:E10"/>
    <mergeCell ref="B11:E11"/>
    <mergeCell ref="B12:E12"/>
    <mergeCell ref="B5:E5"/>
    <mergeCell ref="B6:E6"/>
    <mergeCell ref="B7:E7"/>
    <mergeCell ref="B8:E8"/>
  </mergeCells>
  <dataValidations disablePrompts="1" count="8">
    <dataValidation type="list" allowBlank="1" showInputMessage="1" showErrorMessage="1" sqref="B9:E9" xr:uid="{00000000-0002-0000-0000-000000000000}">
      <formula1>"0: Fwd or rev energy pulse output, 1: Absolute energy pulse output"</formula1>
    </dataValidation>
    <dataValidation type="list" allowBlank="1" showInputMessage="1" showErrorMessage="1" sqref="B10:E10" xr:uid="{00000000-0002-0000-0000-000001000000}">
      <formula1>"0: Fwd or rev reactive energy pulse output, 1: Absolute reactive energy pulse output"</formula1>
    </dataValidation>
    <dataValidation type="list" allowBlank="1" showInputMessage="1" showErrorMessage="1" sqref="B11:E11" xr:uid="{00000000-0002-0000-0000-000002000000}">
      <formula1>"00: Positive zero-crossing, 01: Negative zero-crossing, 10: All zero crossing, 11: No zero-crossing"</formula1>
    </dataValidation>
    <dataValidation type="list" allowBlank="1" showInputMessage="1" showErrorMessage="1" sqref="B5:E5" xr:uid="{00000000-0002-0000-0000-000003000000}">
      <formula1>"100: Gain 1,000: Gain 4,001: Gain 8,010: Gain 16,011: Gain 24"</formula1>
    </dataValidation>
    <dataValidation type="list" allowBlank="1" showInputMessage="1" showErrorMessage="1" sqref="B6:E6" xr:uid="{00000000-0002-0000-0000-000004000000}">
      <formula1>"10: Gain 1, 00: Gain 2, 01: Gain 4"</formula1>
    </dataValidation>
    <dataValidation type="list" allowBlank="1" showInputMessage="1" showErrorMessage="1" sqref="B7:E7" xr:uid="{00000000-0002-0000-0000-000005000000}">
      <formula1>"1: Meter on L line,0: Meter on N line"</formula1>
    </dataValidation>
    <dataValidation type="list" allowBlank="1" showInputMessage="1" showErrorMessage="1" sqref="B8:E8" xr:uid="{00000000-0002-0000-0000-000006000000}">
      <formula1>"00: HPF1 and HPF0,01: HPF1 and !HPF0,10: !HPF1 and HPF0,11: !HPF1 and !HPF0"</formula1>
    </dataValidation>
    <dataValidation type="list" allowBlank="1" showInputMessage="1" showErrorMessage="1" sqref="B12:E12" xr:uid="{00000000-0002-0000-0000-000007000000}">
      <formula1>"0000: 12.5%,0001: 6.25%,0010: 3.125%,0011: 1.5625%,0100: 1%,0101: 2%,0110: 3%,0111: 4%,1000: 5%,1001: 6%,1010: 7%,1011: 8%,1100: 9%,1101: 10%,1110: 11%,1111: 12%"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GTEM</vt:lpstr>
      <vt:lpstr>GL</vt:lpstr>
      <vt:lpstr>IB</vt:lpstr>
      <vt:lpstr>Iratio</vt:lpstr>
      <vt:lpstr>MC</vt:lpstr>
      <vt:lpstr>UN</vt:lpstr>
      <vt:lpstr>VL</vt:lpstr>
      <vt:lpstr>Vratio</vt:lpstr>
      <vt:lpstr>VU</vt:lpstr>
    </vt:vector>
  </TitlesOfParts>
  <Company>ASC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Wendland, Ryan</dc:creator>
  <cp:lastModifiedBy>Dave Williams</cp:lastModifiedBy>
  <dcterms:created xsi:type="dcterms:W3CDTF">2016-02-17T21:45:21Z</dcterms:created>
  <dcterms:modified xsi:type="dcterms:W3CDTF">2023-01-25T14:37:57Z</dcterms:modified>
</cp:coreProperties>
</file>