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255" yWindow="45" windowWidth="11835" windowHeight="8100"/>
  </bookViews>
  <sheets>
    <sheet name="1-Title Page" sheetId="6" r:id="rId1"/>
    <sheet name="Amendment Log" sheetId="13" r:id="rId2"/>
    <sheet name="2-Orbit" sheetId="1" r:id="rId3"/>
    <sheet name="3-Frequency" sheetId="10" r:id="rId4"/>
    <sheet name="4-Transponder Set-Up" sheetId="7" r:id="rId5"/>
    <sheet name="5-User Set-Up" sheetId="11" r:id="rId6"/>
    <sheet name="6-Uplink Budget" sheetId="5" r:id="rId7"/>
    <sheet name="7-Downlink Budget" sheetId="3" r:id="rId8"/>
    <sheet name="8-Transponder Link Results" sheetId="8" r:id="rId9"/>
    <sheet name="9-System Block Diagram" sheetId="12" r:id="rId10"/>
    <sheet name="Orbit Shape Data" sheetId="2" r:id="rId11"/>
  </sheets>
  <definedNames>
    <definedName name="boltzmann">1.38E-23</definedName>
    <definedName name="lightspeed">299792458</definedName>
    <definedName name="pathloss">20*LOG10(4*PI()*distance/wavelength)</definedName>
  </definedNames>
  <calcPr calcId="145621" iterate="1" iterateCount="50"/>
</workbook>
</file>

<file path=xl/calcChain.xml><?xml version="1.0" encoding="utf-8"?>
<calcChain xmlns="http://schemas.openxmlformats.org/spreadsheetml/2006/main">
  <c r="B6" i="5" l="1"/>
  <c r="B7" i="5" s="1"/>
  <c r="B9" i="5"/>
  <c r="B10" i="5"/>
  <c r="B11" i="5"/>
  <c r="B13" i="5"/>
  <c r="B22" i="5"/>
  <c r="B37" i="5" s="1"/>
  <c r="B23" i="5"/>
  <c r="B24" i="5"/>
  <c r="B31" i="5" s="1"/>
  <c r="B25" i="5"/>
  <c r="B29" i="5"/>
  <c r="B28" i="5"/>
  <c r="B27" i="5"/>
  <c r="B26" i="5"/>
  <c r="B30" i="5"/>
  <c r="B33" i="5"/>
  <c r="B26" i="3"/>
  <c r="B27" i="3"/>
  <c r="B28" i="3"/>
  <c r="B32" i="3"/>
  <c r="B33" i="3" s="1"/>
  <c r="B34" i="3" s="1"/>
  <c r="B31" i="3"/>
  <c r="B29" i="3"/>
  <c r="L12" i="10"/>
  <c r="L6" i="10"/>
  <c r="H55" i="7"/>
  <c r="L21" i="8"/>
  <c r="B16" i="3"/>
  <c r="B12" i="3"/>
  <c r="B13" i="3"/>
  <c r="L81" i="7"/>
  <c r="O36" i="7" s="1"/>
  <c r="L66" i="7"/>
  <c r="L12" i="8"/>
  <c r="B25" i="3"/>
  <c r="L7" i="8"/>
  <c r="M1" i="7"/>
  <c r="J1" i="7"/>
  <c r="H1" i="7"/>
  <c r="F1" i="1"/>
  <c r="L10" i="8"/>
  <c r="L3" i="8"/>
  <c r="K2" i="3"/>
  <c r="K2" i="5"/>
  <c r="D7" i="7"/>
  <c r="M7" i="7"/>
  <c r="D5" i="7"/>
  <c r="M5" i="7"/>
  <c r="E12" i="10"/>
  <c r="E6" i="10"/>
  <c r="I1" i="8"/>
  <c r="D25" i="8"/>
  <c r="D22" i="8"/>
  <c r="D24" i="8"/>
  <c r="L29" i="8"/>
  <c r="L25" i="8"/>
  <c r="L14" i="8"/>
  <c r="L5" i="8"/>
  <c r="J25" i="7"/>
  <c r="B36" i="3"/>
  <c r="J19" i="7"/>
  <c r="L27" i="8"/>
  <c r="D19" i="7"/>
  <c r="D29" i="8"/>
  <c r="D31" i="8" s="1"/>
  <c r="B41" i="5"/>
  <c r="B39" i="3" s="1"/>
  <c r="J17" i="7"/>
  <c r="J21" i="7" s="1"/>
  <c r="A1" i="3"/>
  <c r="A1" i="5"/>
  <c r="F2" i="5"/>
  <c r="D2" i="5"/>
  <c r="D1" i="5"/>
  <c r="F2" i="3"/>
  <c r="F1" i="3"/>
  <c r="D2" i="3"/>
  <c r="D1" i="3"/>
  <c r="A2" i="1"/>
  <c r="K1" i="1"/>
  <c r="I1" i="1"/>
  <c r="I23" i="6"/>
  <c r="K23" i="6" s="1"/>
  <c r="B22" i="1"/>
  <c r="B23" i="1" s="1"/>
  <c r="B30" i="1" s="1"/>
  <c r="B13" i="1"/>
  <c r="B19" i="1"/>
  <c r="B12" i="1"/>
  <c r="E40" i="2"/>
  <c r="F4" i="2"/>
  <c r="F5" i="2"/>
  <c r="E4" i="2" s="1"/>
  <c r="E3" i="2"/>
  <c r="C4" i="2"/>
  <c r="C5" i="2" s="1"/>
  <c r="B4" i="2"/>
  <c r="B3" i="2"/>
  <c r="F43" i="2"/>
  <c r="F44" i="2" s="1"/>
  <c r="E43" i="2"/>
  <c r="E42" i="2"/>
  <c r="E41" i="2"/>
  <c r="C43" i="2"/>
  <c r="C44" i="2"/>
  <c r="C45" i="2" s="1"/>
  <c r="B44" i="2"/>
  <c r="B43" i="2"/>
  <c r="B42" i="2"/>
  <c r="F6" i="2"/>
  <c r="E5" i="2" s="1"/>
  <c r="F7" i="2"/>
  <c r="E6" i="2" s="1"/>
  <c r="F8" i="2"/>
  <c r="E7" i="2" s="1"/>
  <c r="F9" i="2"/>
  <c r="E8" i="2" s="1"/>
  <c r="F10" i="2"/>
  <c r="E9" i="2" s="1"/>
  <c r="B20" i="1"/>
  <c r="J5" i="7"/>
  <c r="B24" i="1"/>
  <c r="B18" i="1"/>
  <c r="J7" i="7"/>
  <c r="L31" i="8"/>
  <c r="B36" i="1"/>
  <c r="J12" i="10"/>
  <c r="H12" i="10"/>
  <c r="B19" i="3"/>
  <c r="I104" i="11"/>
  <c r="B34" i="5"/>
  <c r="B39" i="5" s="1"/>
  <c r="L84" i="7"/>
  <c r="C34" i="7" s="1"/>
  <c r="D11" i="7"/>
  <c r="L23" i="8"/>
  <c r="I100" i="11"/>
  <c r="I108" i="11"/>
  <c r="L16" i="8"/>
  <c r="F11" i="2" l="1"/>
  <c r="F45" i="2"/>
  <c r="E44" i="2"/>
  <c r="C46" i="2"/>
  <c r="B45" i="2"/>
  <c r="C6" i="2"/>
  <c r="B5" i="2"/>
  <c r="H6" i="10"/>
  <c r="B16" i="5" s="1"/>
  <c r="J6" i="10"/>
  <c r="B12" i="5"/>
  <c r="B8" i="5"/>
  <c r="E10" i="2" l="1"/>
  <c r="F12" i="2"/>
  <c r="B20" i="5"/>
  <c r="I42" i="11"/>
  <c r="C7" i="2"/>
  <c r="B6" i="2"/>
  <c r="C47" i="2"/>
  <c r="B46" i="2"/>
  <c r="F46" i="2"/>
  <c r="E45" i="2"/>
  <c r="F47" i="2" l="1"/>
  <c r="E46" i="2"/>
  <c r="C48" i="2"/>
  <c r="B47" i="2"/>
  <c r="C8" i="2"/>
  <c r="B7" i="2"/>
  <c r="B32" i="5"/>
  <c r="B35" i="5" s="1"/>
  <c r="B40" i="5" s="1"/>
  <c r="B38" i="5"/>
  <c r="D21" i="7"/>
  <c r="D27" i="8" s="1"/>
  <c r="H37" i="7" s="1"/>
  <c r="E11" i="2"/>
  <c r="F13" i="2"/>
  <c r="E12" i="2" l="1"/>
  <c r="F14" i="2"/>
  <c r="B6" i="3"/>
  <c r="B43" i="5"/>
  <c r="D5" i="8" s="1"/>
  <c r="B8" i="2"/>
  <c r="C9" i="2"/>
  <c r="B48" i="2"/>
  <c r="C49" i="2"/>
  <c r="F48" i="2"/>
  <c r="E47" i="2"/>
  <c r="E48" i="2" l="1"/>
  <c r="F49" i="2"/>
  <c r="B9" i="3"/>
  <c r="B10" i="3"/>
  <c r="B11" i="3"/>
  <c r="B7" i="3"/>
  <c r="B49" i="2"/>
  <c r="C50" i="2"/>
  <c r="B9" i="2"/>
  <c r="C10" i="2"/>
  <c r="E13" i="2"/>
  <c r="F15" i="2"/>
  <c r="E14" i="2" l="1"/>
  <c r="F16" i="2"/>
  <c r="B10" i="2"/>
  <c r="C11" i="2"/>
  <c r="B50" i="2"/>
  <c r="C51" i="2"/>
  <c r="B8" i="3"/>
  <c r="B15" i="3"/>
  <c r="E49" i="2"/>
  <c r="F50" i="2"/>
  <c r="E50" i="2" l="1"/>
  <c r="F51" i="2"/>
  <c r="B23" i="3"/>
  <c r="L33" i="8"/>
  <c r="B51" i="2"/>
  <c r="C52" i="2"/>
  <c r="B11" i="2"/>
  <c r="C12" i="2"/>
  <c r="E15" i="2"/>
  <c r="F17" i="2"/>
  <c r="B37" i="3" l="1"/>
  <c r="B35" i="3"/>
  <c r="D23" i="3"/>
  <c r="E16" i="2"/>
  <c r="F18" i="2"/>
  <c r="B12" i="2"/>
  <c r="C13" i="2"/>
  <c r="B52" i="2"/>
  <c r="C53" i="2"/>
  <c r="E51" i="2"/>
  <c r="F52" i="2"/>
  <c r="E52" i="2" l="1"/>
  <c r="F53" i="2"/>
  <c r="B53" i="2"/>
  <c r="C54" i="2"/>
  <c r="B13" i="2"/>
  <c r="C14" i="2"/>
  <c r="E17" i="2"/>
  <c r="F19" i="2"/>
  <c r="B38" i="3"/>
  <c r="B40" i="3" s="1"/>
  <c r="D7" i="8" s="1"/>
  <c r="D9" i="8" s="1"/>
  <c r="D16" i="8" s="1"/>
  <c r="E18" i="2" l="1"/>
  <c r="F20" i="2"/>
  <c r="B14" i="2"/>
  <c r="C15" i="2"/>
  <c r="B54" i="2"/>
  <c r="C55" i="2"/>
  <c r="E53" i="2"/>
  <c r="F54" i="2"/>
  <c r="E54" i="2" l="1"/>
  <c r="F55" i="2"/>
  <c r="B55" i="2"/>
  <c r="C56" i="2"/>
  <c r="B15" i="2"/>
  <c r="C16" i="2"/>
  <c r="E19" i="2"/>
  <c r="F21" i="2"/>
  <c r="F22" i="2" l="1"/>
  <c r="E20" i="2"/>
  <c r="B16" i="2"/>
  <c r="C17" i="2"/>
  <c r="B56" i="2"/>
  <c r="C57" i="2"/>
  <c r="E55" i="2"/>
  <c r="F56" i="2"/>
  <c r="F23" i="2" l="1"/>
  <c r="E21" i="2"/>
  <c r="E56" i="2"/>
  <c r="F57" i="2"/>
  <c r="B57" i="2"/>
  <c r="C58" i="2"/>
  <c r="B17" i="2"/>
  <c r="C18" i="2"/>
  <c r="F24" i="2" l="1"/>
  <c r="E22" i="2"/>
  <c r="B18" i="2"/>
  <c r="C19" i="2"/>
  <c r="B58" i="2"/>
  <c r="C59" i="2"/>
  <c r="E57" i="2"/>
  <c r="F58" i="2"/>
  <c r="F25" i="2" l="1"/>
  <c r="E23" i="2"/>
  <c r="E58" i="2"/>
  <c r="F59" i="2"/>
  <c r="B59" i="2"/>
  <c r="C60" i="2"/>
  <c r="B19" i="2"/>
  <c r="C20" i="2"/>
  <c r="F26" i="2" l="1"/>
  <c r="E24" i="2"/>
  <c r="B20" i="2"/>
  <c r="C21" i="2"/>
  <c r="B60" i="2"/>
  <c r="C61" i="2"/>
  <c r="E59" i="2"/>
  <c r="F60" i="2"/>
  <c r="F27" i="2" l="1"/>
  <c r="E25" i="2"/>
  <c r="E60" i="2"/>
  <c r="F61" i="2"/>
  <c r="B61" i="2"/>
  <c r="C62" i="2"/>
  <c r="C22" i="2"/>
  <c r="B21" i="2"/>
  <c r="C23" i="2" l="1"/>
  <c r="B22" i="2"/>
  <c r="F28" i="2"/>
  <c r="E26" i="2"/>
  <c r="C63" i="2"/>
  <c r="B62" i="2"/>
  <c r="F62" i="2"/>
  <c r="E61" i="2"/>
  <c r="F63" i="2" l="1"/>
  <c r="E62" i="2"/>
  <c r="C64" i="2"/>
  <c r="B63" i="2"/>
  <c r="F29" i="2"/>
  <c r="E27" i="2"/>
  <c r="C24" i="2"/>
  <c r="B23" i="2"/>
  <c r="C25" i="2" l="1"/>
  <c r="B24" i="2"/>
  <c r="F30" i="2"/>
  <c r="E28" i="2"/>
  <c r="C65" i="2"/>
  <c r="B64" i="2"/>
  <c r="F64" i="2"/>
  <c r="E63" i="2"/>
  <c r="F65" i="2" l="1"/>
  <c r="E64" i="2"/>
  <c r="C66" i="2"/>
  <c r="B65" i="2"/>
  <c r="F31" i="2"/>
  <c r="E29" i="2"/>
  <c r="C26" i="2"/>
  <c r="B25" i="2"/>
  <c r="C27" i="2" l="1"/>
  <c r="B26" i="2"/>
  <c r="F32" i="2"/>
  <c r="E30" i="2"/>
  <c r="C67" i="2"/>
  <c r="B66" i="2"/>
  <c r="F66" i="2"/>
  <c r="E65" i="2"/>
  <c r="F67" i="2" l="1"/>
  <c r="E66" i="2"/>
  <c r="C68" i="2"/>
  <c r="B67" i="2"/>
  <c r="F33" i="2"/>
  <c r="E31" i="2"/>
  <c r="C28" i="2"/>
  <c r="B27" i="2"/>
  <c r="C29" i="2" l="1"/>
  <c r="B28" i="2"/>
  <c r="F34" i="2"/>
  <c r="E32" i="2"/>
  <c r="C69" i="2"/>
  <c r="B68" i="2"/>
  <c r="F68" i="2"/>
  <c r="E67" i="2"/>
  <c r="F69" i="2" l="1"/>
  <c r="E68" i="2"/>
  <c r="C70" i="2"/>
  <c r="B69" i="2"/>
  <c r="F35" i="2"/>
  <c r="E33" i="2"/>
  <c r="C30" i="2"/>
  <c r="B29" i="2"/>
  <c r="C31" i="2" l="1"/>
  <c r="B30" i="2"/>
  <c r="F36" i="2"/>
  <c r="E34" i="2"/>
  <c r="C71" i="2"/>
  <c r="B70" i="2"/>
  <c r="F70" i="2"/>
  <c r="E69" i="2"/>
  <c r="F71" i="2" l="1"/>
  <c r="E70" i="2"/>
  <c r="C72" i="2"/>
  <c r="B71" i="2"/>
  <c r="E35" i="2"/>
  <c r="F37" i="2"/>
  <c r="C32" i="2"/>
  <c r="B31" i="2"/>
  <c r="C33" i="2" l="1"/>
  <c r="B32" i="2"/>
  <c r="C73" i="2"/>
  <c r="B72" i="2"/>
  <c r="F72" i="2"/>
  <c r="E71" i="2"/>
  <c r="E36" i="2"/>
  <c r="F38" i="2"/>
  <c r="F73" i="2" l="1"/>
  <c r="E72" i="2"/>
  <c r="C74" i="2"/>
  <c r="B73" i="2"/>
  <c r="C34" i="2"/>
  <c r="B33" i="2"/>
  <c r="E37" i="2"/>
  <c r="F39" i="2"/>
  <c r="C35" i="2" l="1"/>
  <c r="B34" i="2"/>
  <c r="C75" i="2"/>
  <c r="B74" i="2"/>
  <c r="F74" i="2"/>
  <c r="E73" i="2"/>
  <c r="F40" i="2"/>
  <c r="E39" i="2" s="1"/>
  <c r="E38" i="2"/>
  <c r="F75" i="2" l="1"/>
  <c r="E74" i="2"/>
  <c r="C76" i="2"/>
  <c r="B75" i="2"/>
  <c r="C36" i="2"/>
  <c r="B35" i="2"/>
  <c r="B36" i="2" l="1"/>
  <c r="C37" i="2"/>
  <c r="F76" i="2"/>
  <c r="E75" i="2"/>
  <c r="B76" i="2"/>
  <c r="C77" i="2"/>
  <c r="E76" i="2" l="1"/>
  <c r="F77" i="2"/>
  <c r="B77" i="2"/>
  <c r="C78" i="2"/>
  <c r="B37" i="2"/>
  <c r="C38" i="2"/>
  <c r="B38" i="2" l="1"/>
  <c r="C39" i="2"/>
  <c r="C79" i="2"/>
  <c r="B79" i="2" s="1"/>
  <c r="B78" i="2"/>
  <c r="E77" i="2"/>
  <c r="F78" i="2"/>
  <c r="E78" i="2" l="1"/>
  <c r="F79" i="2"/>
  <c r="E79" i="2" s="1"/>
  <c r="C40" i="2"/>
  <c r="B40" i="2" s="1"/>
  <c r="B39" i="2"/>
</calcChain>
</file>

<file path=xl/comments1.xml><?xml version="1.0" encoding="utf-8"?>
<comments xmlns="http://schemas.openxmlformats.org/spreadsheetml/2006/main">
  <authors>
    <author>customer</author>
  </authors>
  <commentList>
    <comment ref="B6" authorId="0">
      <text>
        <r>
          <rPr>
            <sz val="8"/>
            <color indexed="81"/>
            <rFont val="Tahoma"/>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text>
        <r>
          <rPr>
            <sz val="8"/>
            <color indexed="81"/>
            <rFont val="Tahoma"/>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text>
        <r>
          <rPr>
            <sz val="8"/>
            <color indexed="81"/>
            <rFont val="Tahoma"/>
          </rPr>
          <t xml:space="preserve">
</t>
        </r>
        <r>
          <rPr>
            <b/>
            <sz val="10"/>
            <color indexed="81"/>
            <rFont val="Tahoma"/>
            <family val="2"/>
          </rPr>
          <t xml:space="preserve">Orbit Type:  </t>
        </r>
        <r>
          <rPr>
            <sz val="10"/>
            <color indexed="81"/>
            <rFont val="Tahoma"/>
            <family val="2"/>
          </rPr>
          <t>Modify this cell to include a very brief but, accurate description of your orbit.  If the orbit changes you should modify this cell.  Also note that this cell is not linked to any of the data in the "Orbit &amp; Frequency" W/S so, if you change data in that W/S you should change this summary as well.  That must be done manually.</t>
        </r>
      </text>
    </comment>
    <comment ref="B16" authorId="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 ref="K26" authorId="0">
      <text>
        <r>
          <rPr>
            <sz val="10"/>
            <color indexed="81"/>
            <rFont val="Tahoma"/>
            <family val="2"/>
          </rPr>
          <t xml:space="preserve">
After entering all data, including Approvals, proceed to the "</t>
        </r>
        <r>
          <rPr>
            <b/>
            <sz val="10"/>
            <color indexed="81"/>
            <rFont val="Tahoma"/>
            <family val="2"/>
          </rPr>
          <t>Orbit &amp; Frequency</t>
        </r>
        <r>
          <rPr>
            <sz val="10"/>
            <color indexed="81"/>
            <rFont val="Tahoma"/>
            <family val="2"/>
          </rPr>
          <t xml:space="preserve">" W/S.
</t>
        </r>
      </text>
    </comment>
  </commentList>
</comments>
</file>

<file path=xl/comments2.xml><?xml version="1.0" encoding="utf-8"?>
<comments xmlns="http://schemas.openxmlformats.org/spreadsheetml/2006/main">
  <authors>
    <author xml:space="preserve"> </author>
  </authors>
  <commentList>
    <comment ref="M1" authorId="0">
      <text>
        <r>
          <rPr>
            <b/>
            <sz val="8"/>
            <color indexed="81"/>
            <rFont val="Tahoma"/>
            <family val="2"/>
          </rPr>
          <t xml:space="preserve"> 
Link Model Operator must select the height of apogee, height of perigee and  the uplink and downlink user elevation angles.  
</t>
        </r>
        <r>
          <rPr>
            <sz val="8"/>
            <color indexed="81"/>
            <rFont val="Tahoma"/>
            <family val="2"/>
          </rPr>
          <t xml:space="preserve">
The other orbital elements in blue may also be provided, in which case the orbit period and orbit perturbation rates are computed.  These may be helpful to the operator for purposes other than link analysis.
For applicable orbits, the sun synchronous inclination is computed, assuming that all other orbital elements have provided in the table.</t>
        </r>
      </text>
    </comment>
  </commentList>
</comments>
</file>

<file path=xl/comments3.xml><?xml version="1.0" encoding="utf-8"?>
<comments xmlns="http://schemas.openxmlformats.org/spreadsheetml/2006/main">
  <authors>
    <author xml:space="preserve"> </author>
  </authors>
  <commentList>
    <comment ref="G3" authorId="0">
      <text>
        <r>
          <rPr>
            <b/>
            <sz val="8"/>
            <color indexed="81"/>
            <rFont val="Tahoma"/>
            <family val="2"/>
          </rPr>
          <t xml:space="preserve"> 
</t>
        </r>
        <r>
          <rPr>
            <b/>
            <sz val="10"/>
            <color indexed="81"/>
            <rFont val="Tahoma"/>
            <family val="2"/>
          </rPr>
          <t>Link Model Operator Must Select Transponder Uplink and Dowlink Center Frequencies.</t>
        </r>
        <r>
          <rPr>
            <sz val="10"/>
            <color indexed="81"/>
            <rFont val="Tahoma"/>
            <family val="2"/>
          </rPr>
          <t xml:space="preserve">
</t>
        </r>
      </text>
    </comment>
    <comment ref="G20" authorId="0">
      <text>
        <r>
          <rPr>
            <b/>
            <sz val="8"/>
            <color indexed="81"/>
            <rFont val="Tahoma"/>
            <family val="2"/>
          </rPr>
          <t xml:space="preserve">
</t>
        </r>
        <r>
          <rPr>
            <b/>
            <sz val="9"/>
            <color indexed="81"/>
            <rFont val="Tahoma"/>
            <family val="2"/>
          </rPr>
          <t xml:space="preserve"> </t>
        </r>
        <r>
          <rPr>
            <sz val="9"/>
            <color indexed="81"/>
            <rFont val="Tahoma"/>
            <family val="2"/>
          </rPr>
          <t>After selecting the uplink and downlink frequencies, proceed to W/S-4, the "</t>
        </r>
        <r>
          <rPr>
            <b/>
            <sz val="9"/>
            <color indexed="81"/>
            <rFont val="Tahoma"/>
            <family val="2"/>
          </rPr>
          <t>Transponder Set-Up</t>
        </r>
        <r>
          <rPr>
            <sz val="9"/>
            <color indexed="81"/>
            <rFont val="Tahoma"/>
            <family val="2"/>
          </rPr>
          <t>."</t>
        </r>
        <r>
          <rPr>
            <sz val="8"/>
            <color indexed="81"/>
            <rFont val="Tahoma"/>
            <family val="2"/>
          </rPr>
          <t xml:space="preserve">
</t>
        </r>
      </text>
    </comment>
  </commentList>
</comments>
</file>

<file path=xl/comments4.xml><?xml version="1.0" encoding="utf-8"?>
<comments xmlns="http://schemas.openxmlformats.org/spreadsheetml/2006/main">
  <authors>
    <author xml:space="preserve"> </author>
  </authors>
  <commentList>
    <comment ref="C2" authorId="0">
      <text>
        <r>
          <rPr>
            <b/>
            <sz val="8"/>
            <color indexed="81"/>
            <rFont val="Tahoma"/>
            <family val="2"/>
          </rPr>
          <t xml:space="preserve"> 
</t>
        </r>
        <r>
          <rPr>
            <sz val="9"/>
            <color indexed="81"/>
            <rFont val="Tahoma"/>
            <family val="2"/>
          </rPr>
          <t xml:space="preserve">After selecting the paremeters in "blue" text  and in "blue cells" in </t>
        </r>
        <r>
          <rPr>
            <b/>
            <sz val="9"/>
            <color indexed="81"/>
            <rFont val="Tahoma"/>
            <family val="2"/>
          </rPr>
          <t>Sections A and B</t>
        </r>
        <r>
          <rPr>
            <sz val="9"/>
            <color indexed="81"/>
            <rFont val="Tahoma"/>
            <family val="2"/>
          </rPr>
          <t>, proceed to W/S-5 "User Set-Up" W/S.</t>
        </r>
        <r>
          <rPr>
            <sz val="8"/>
            <color indexed="81"/>
            <rFont val="Tahoma"/>
            <family val="2"/>
          </rPr>
          <t xml:space="preserve">
</t>
        </r>
      </text>
    </comment>
    <comment ref="B5" authorId="0">
      <text>
        <r>
          <rPr>
            <b/>
            <sz val="8"/>
            <color indexed="81"/>
            <rFont val="Tahoma"/>
            <family val="2"/>
          </rPr>
          <t xml:space="preserve"> 
</t>
        </r>
        <r>
          <rPr>
            <sz val="10"/>
            <color indexed="81"/>
            <rFont val="Tahoma"/>
            <family val="2"/>
          </rPr>
          <t>Transponder Uplink Center Frequency</t>
        </r>
        <r>
          <rPr>
            <sz val="8"/>
            <color indexed="81"/>
            <rFont val="Tahoma"/>
            <family val="2"/>
          </rPr>
          <t xml:space="preserve">
</t>
        </r>
      </text>
    </comment>
    <comment ref="B7" authorId="0">
      <text>
        <r>
          <rPr>
            <b/>
            <sz val="8"/>
            <color indexed="81"/>
            <rFont val="Tahoma"/>
            <family val="2"/>
          </rPr>
          <t xml:space="preserve"> 
</t>
        </r>
        <r>
          <rPr>
            <sz val="10"/>
            <color indexed="81"/>
            <rFont val="Tahoma"/>
            <family val="2"/>
          </rPr>
          <t>Transponder Downlink Center Frequency</t>
        </r>
        <r>
          <rPr>
            <sz val="8"/>
            <color indexed="81"/>
            <rFont val="Tahoma"/>
            <family val="2"/>
          </rPr>
          <t xml:space="preserve">
</t>
        </r>
      </text>
    </comment>
    <comment ref="B13" authorId="0">
      <text>
        <r>
          <rPr>
            <b/>
            <sz val="10"/>
            <color indexed="81"/>
            <rFont val="Tahoma"/>
            <family val="2"/>
          </rPr>
          <t xml:space="preserve"> 
</t>
        </r>
        <r>
          <rPr>
            <sz val="10"/>
            <color indexed="81"/>
            <rFont val="Tahoma"/>
            <family val="2"/>
          </rPr>
          <t xml:space="preserve">This is the RF power to support N users in N channels including the transponded uplink noise power and the power generated by intermodulation products.
</t>
        </r>
      </text>
    </comment>
    <comment ref="H13" authorId="0">
      <text>
        <r>
          <rPr>
            <b/>
            <sz val="8"/>
            <color indexed="81"/>
            <rFont val="Tahoma"/>
            <family val="2"/>
          </rPr>
          <t xml:space="preserve"> 
</t>
        </r>
        <r>
          <rPr>
            <sz val="10"/>
            <color indexed="81"/>
            <rFont val="Tahoma"/>
            <family val="2"/>
          </rPr>
          <t>This parameter doesn't do anything.  It's intended to assist the Link Model Operator in documenting his/her system.</t>
        </r>
        <r>
          <rPr>
            <sz val="8"/>
            <color indexed="81"/>
            <rFont val="Tahoma"/>
            <family val="2"/>
          </rPr>
          <t xml:space="preserve">
</t>
        </r>
      </text>
    </comment>
    <comment ref="B15" authorId="0">
      <text>
        <r>
          <rPr>
            <b/>
            <sz val="8"/>
            <color indexed="81"/>
            <rFont val="Tahoma"/>
            <family val="2"/>
          </rPr>
          <t xml:space="preserve"> </t>
        </r>
        <r>
          <rPr>
            <sz val="8"/>
            <color indexed="81"/>
            <rFont val="Tahoma"/>
            <family val="2"/>
          </rPr>
          <t xml:space="preserve">
</t>
        </r>
        <r>
          <rPr>
            <sz val="10"/>
            <color indexed="81"/>
            <rFont val="Tahoma"/>
            <family val="2"/>
          </rPr>
          <t>This is the Rayleigh Weighted Average Efficiency IF the transponder is a multicarrier system.  See K. Meinzer HELAPS material and papers.</t>
        </r>
      </text>
    </comment>
    <comment ref="H15" authorId="0">
      <text>
        <r>
          <rPr>
            <b/>
            <sz val="8"/>
            <color indexed="81"/>
            <rFont val="Tahoma"/>
            <family val="2"/>
          </rPr>
          <t xml:space="preserve"> </t>
        </r>
        <r>
          <rPr>
            <sz val="10"/>
            <color indexed="81"/>
            <rFont val="Tahoma"/>
            <family val="2"/>
          </rPr>
          <t xml:space="preserve">
This is 2.7-3.0 kHz for SSB, 12-15 kHz for FM and 1 kHz for CW.   You must estimate this value for a digital signal.  </t>
        </r>
        <r>
          <rPr>
            <sz val="8"/>
            <color indexed="81"/>
            <rFont val="Tahoma"/>
            <family val="2"/>
          </rPr>
          <t xml:space="preserve">
</t>
        </r>
      </text>
    </comment>
    <comment ref="B17" authorId="0">
      <text>
        <r>
          <rPr>
            <b/>
            <sz val="8"/>
            <color indexed="81"/>
            <rFont val="Tahoma"/>
            <family val="2"/>
          </rPr>
          <t xml:space="preserve"> 
</t>
        </r>
        <r>
          <rPr>
            <sz val="10"/>
            <color indexed="81"/>
            <rFont val="Tahoma"/>
            <family val="2"/>
          </rPr>
          <t>For a multicarrier (FDMA) system this should be equivalent to the value obtained if the Noise Power Ratio (NPR) Method of measurement is used.  See J. King presentation, "Everything you Wanted to Know About Link Budgets…"</t>
        </r>
        <r>
          <rPr>
            <sz val="8"/>
            <color indexed="81"/>
            <rFont val="Tahoma"/>
            <family val="2"/>
          </rPr>
          <t xml:space="preserve">
</t>
        </r>
      </text>
    </comment>
    <comment ref="H21" authorId="0">
      <text>
        <r>
          <rPr>
            <b/>
            <sz val="8"/>
            <color indexed="81"/>
            <rFont val="Tahoma"/>
            <family val="2"/>
          </rPr>
          <t xml:space="preserve"> 
This Guardband Exists on Either Side of Each Channel</t>
        </r>
        <r>
          <rPr>
            <sz val="8"/>
            <color indexed="81"/>
            <rFont val="Tahoma"/>
            <family val="2"/>
          </rPr>
          <t xml:space="preserve">
</t>
        </r>
      </text>
    </comment>
    <comment ref="C31" authorId="0">
      <text>
        <r>
          <rPr>
            <b/>
            <sz val="8"/>
            <color indexed="81"/>
            <rFont val="Tahoma"/>
            <charset val="1"/>
          </rPr>
          <t xml:space="preserve"> 
Enter all losses as positive values.  The losses will be subtracted appropriately in the link budgets.  </t>
        </r>
        <r>
          <rPr>
            <sz val="8"/>
            <color indexed="81"/>
            <rFont val="Tahoma"/>
            <charset val="1"/>
          </rPr>
          <t xml:space="preserve">
</t>
        </r>
      </text>
    </comment>
    <comment ref="D91" authorId="0">
      <text>
        <r>
          <rPr>
            <b/>
            <sz val="8"/>
            <color indexed="81"/>
            <rFont val="Tahoma"/>
            <family val="2"/>
          </rPr>
          <t xml:space="preserve"> 
</t>
        </r>
        <r>
          <rPr>
            <sz val="9"/>
            <color indexed="81"/>
            <rFont val="Tahoma"/>
            <family val="2"/>
          </rPr>
          <t>After selecting the paremeters in "blue" text  in "blue cells", proceed to W/S-5 "User Set-Up" W/S.</t>
        </r>
        <r>
          <rPr>
            <sz val="8"/>
            <color indexed="81"/>
            <rFont val="Tahoma"/>
            <family val="2"/>
          </rPr>
          <t xml:space="preserve">
</t>
        </r>
      </text>
    </comment>
  </commentList>
</comments>
</file>

<file path=xl/comments5.xml><?xml version="1.0" encoding="utf-8"?>
<comments xmlns="http://schemas.openxmlformats.org/spreadsheetml/2006/main">
  <authors>
    <author xml:space="preserve"> </author>
  </authors>
  <commentList>
    <comment ref="F4" authorId="0">
      <text>
        <r>
          <rPr>
            <b/>
            <sz val="8"/>
            <color indexed="81"/>
            <rFont val="Tahoma"/>
            <family val="2"/>
          </rPr>
          <t xml:space="preserve"> 
The Link Model Operator must supply the information in blue text (in the highlighted blue cells).   The data provided in the yellow cells are the sytem level results for the station you have specified.
Once this information is completed, proceed to WS-6, the "Uplink Budget."</t>
        </r>
        <r>
          <rPr>
            <sz val="8"/>
            <color indexed="81"/>
            <rFont val="Tahoma"/>
            <family val="2"/>
          </rPr>
          <t xml:space="preserve">
</t>
        </r>
      </text>
    </comment>
  </commentList>
</comments>
</file>

<file path=xl/comments6.xml><?xml version="1.0" encoding="utf-8"?>
<comments xmlns="http://schemas.openxmlformats.org/spreadsheetml/2006/main">
  <authors>
    <author xml:space="preserve"> </author>
  </authors>
  <commentList>
    <comment ref="B2" authorId="0">
      <text>
        <r>
          <rPr>
            <b/>
            <sz val="8"/>
            <color indexed="81"/>
            <rFont val="Tahoma"/>
            <family val="2"/>
          </rPr>
          <t xml:space="preserve"> </t>
        </r>
        <r>
          <rPr>
            <b/>
            <sz val="9"/>
            <color indexed="81"/>
            <rFont val="Tahoma"/>
            <family val="2"/>
          </rPr>
          <t xml:space="preserve">
</t>
        </r>
        <r>
          <rPr>
            <sz val="9"/>
            <color indexed="81"/>
            <rFont val="Tahoma"/>
            <family val="2"/>
          </rPr>
          <t>The Link Model Operator should provide the values in "blue" text associated with the uplink path characteristics.  The parameters highlighted in blue cells are most critical.  After these parameters have been selected, proceed to W/S-7, the "</t>
        </r>
        <r>
          <rPr>
            <b/>
            <sz val="9"/>
            <color indexed="81"/>
            <rFont val="Tahoma"/>
            <family val="2"/>
          </rPr>
          <t>Downlink Budget</t>
        </r>
        <r>
          <rPr>
            <sz val="9"/>
            <color indexed="81"/>
            <rFont val="Tahoma"/>
            <family val="2"/>
          </rPr>
          <t>."</t>
        </r>
        <r>
          <rPr>
            <sz val="8"/>
            <color indexed="81"/>
            <rFont val="Tahoma"/>
            <family val="2"/>
          </rPr>
          <t xml:space="preserve">
</t>
        </r>
      </text>
    </comment>
    <comment ref="A36" authorId="0">
      <text>
        <r>
          <rPr>
            <sz val="8"/>
            <color indexed="81"/>
            <rFont val="Tahoma"/>
            <family val="2"/>
          </rPr>
          <t xml:space="preserve">
</t>
        </r>
        <r>
          <rPr>
            <sz val="10"/>
            <color indexed="81"/>
            <rFont val="Tahoma"/>
            <family val="2"/>
          </rPr>
          <t>You may not know this value or you may not know how to determine it.  If this term can be ignored you may set the value at say, -250 dBm/Hz.  In this way it will have no effect on the overall result.
This is the noise seen by the satellite from other sources outside the satellite network or other noise generated by the network.  It is NOT the receiver's white noise.</t>
        </r>
      </text>
    </comment>
    <comment ref="A43" authorId="0">
      <text>
        <r>
          <rPr>
            <sz val="10"/>
            <color indexed="81"/>
            <rFont val="Tahoma"/>
            <family val="2"/>
          </rPr>
          <t xml:space="preserve">
This result is what you would obtain at the spacecraft making a measurement within the IF filter bandwidth with a receiver equal in bandwidth to that given by Cell [B40]</t>
        </r>
        <r>
          <rPr>
            <sz val="8"/>
            <color indexed="81"/>
            <rFont val="Tahoma"/>
            <family val="2"/>
          </rPr>
          <t xml:space="preserve">
</t>
        </r>
      </text>
    </comment>
  </commentList>
</comments>
</file>

<file path=xl/comments7.xml><?xml version="1.0" encoding="utf-8"?>
<comments xmlns="http://schemas.openxmlformats.org/spreadsheetml/2006/main">
  <authors>
    <author xml:space="preserve"> </author>
  </authors>
  <commentList>
    <comment ref="B2" authorId="0">
      <text>
        <r>
          <rPr>
            <b/>
            <sz val="8"/>
            <color indexed="81"/>
            <rFont val="Tahoma"/>
            <family val="2"/>
          </rPr>
          <t xml:space="preserve"> 
</t>
        </r>
        <r>
          <rPr>
            <sz val="9"/>
            <color indexed="81"/>
            <rFont val="Tahoma"/>
            <family val="2"/>
          </rPr>
          <t>The Link Model Operator should provide the values in "blue" text associated with the downlink path characteristics.  After these parameters have been selected, proceed to W/S-8, the "</t>
        </r>
        <r>
          <rPr>
            <b/>
            <sz val="9"/>
            <color indexed="81"/>
            <rFont val="Tahoma"/>
            <family val="2"/>
          </rPr>
          <t>Transponder Link Results</t>
        </r>
        <r>
          <rPr>
            <sz val="9"/>
            <color indexed="81"/>
            <rFont val="Tahoma"/>
            <family val="2"/>
          </rPr>
          <t>."</t>
        </r>
        <r>
          <rPr>
            <sz val="8"/>
            <color indexed="81"/>
            <rFont val="Tahoma"/>
            <family val="2"/>
          </rPr>
          <t xml:space="preserve">
</t>
        </r>
      </text>
    </comment>
    <comment ref="A40" authorId="0">
      <text>
        <r>
          <rPr>
            <b/>
            <sz val="8"/>
            <color indexed="81"/>
            <rFont val="Tahoma"/>
            <family val="2"/>
          </rPr>
          <t xml:space="preserve"> 
</t>
        </r>
        <r>
          <rPr>
            <sz val="10"/>
            <color indexed="81"/>
            <rFont val="Tahoma"/>
            <family val="2"/>
          </rPr>
          <t xml:space="preserve">This is the result you would obtain listening to the spacecaft downlink transponding an uplink signal with a very high (in fact, an infinite) S/N.
</t>
        </r>
      </text>
    </comment>
  </commentList>
</comments>
</file>

<file path=xl/comments8.xml><?xml version="1.0" encoding="utf-8"?>
<comments xmlns="http://schemas.openxmlformats.org/spreadsheetml/2006/main">
  <authors>
    <author xml:space="preserve"> </author>
  </authors>
  <commentList>
    <comment ref="B27" authorId="0">
      <text>
        <r>
          <rPr>
            <sz val="8"/>
            <color indexed="81"/>
            <rFont val="Tahoma"/>
            <charset val="1"/>
          </rPr>
          <t xml:space="preserve">
This is the active gain required for the transponder including LNA gain, IF (all IFs) gain  and losses and HPA/SSPA gain and filter losses.
 </t>
        </r>
      </text>
    </comment>
    <comment ref="D34" authorId="0">
      <text>
        <r>
          <rPr>
            <b/>
            <sz val="8"/>
            <color indexed="81"/>
            <rFont val="Tahoma"/>
            <family val="2"/>
          </rPr>
          <t xml:space="preserve"> 
This W/S contains the results/specifications of the linear analog transponder cofigured by the Link Model Operator in the prior four worksheets.  No data entries are required in this W/S.</t>
        </r>
        <r>
          <rPr>
            <sz val="8"/>
            <color indexed="81"/>
            <rFont val="Tahoma"/>
            <family val="2"/>
          </rPr>
          <t xml:space="preserve">
</t>
        </r>
      </text>
    </comment>
  </commentList>
</comments>
</file>

<file path=xl/sharedStrings.xml><?xml version="1.0" encoding="utf-8"?>
<sst xmlns="http://schemas.openxmlformats.org/spreadsheetml/2006/main" count="562" uniqueCount="332">
  <si>
    <t>Orbit Type:</t>
  </si>
  <si>
    <t>Model/Case No./Rev No.:</t>
  </si>
  <si>
    <t>Date Data Last Modified:</t>
  </si>
  <si>
    <t xml:space="preserve"> </t>
  </si>
  <si>
    <t>Parameter:</t>
  </si>
  <si>
    <t>Value:</t>
  </si>
  <si>
    <t>Unit:</t>
  </si>
  <si>
    <t>Earth Radius:</t>
  </si>
  <si>
    <t>km</t>
  </si>
  <si>
    <t>Semi-Major Axis (a):</t>
  </si>
  <si>
    <t xml:space="preserve">Eccentricity (e): </t>
  </si>
  <si>
    <t>degrees</t>
  </si>
  <si>
    <r>
      <t>Argument of Perigee (</t>
    </r>
    <r>
      <rPr>
        <sz val="10"/>
        <rFont val="Symbol"/>
        <family val="1"/>
        <charset val="2"/>
      </rPr>
      <t>w):</t>
    </r>
  </si>
  <si>
    <r>
      <t>R.A.A.N. (</t>
    </r>
    <r>
      <rPr>
        <sz val="10"/>
        <rFont val="Symbol"/>
        <family val="1"/>
        <charset val="2"/>
      </rPr>
      <t>W):</t>
    </r>
  </si>
  <si>
    <t>Mean Anomaly (M):</t>
  </si>
  <si>
    <t>Period:</t>
  </si>
  <si>
    <t>minutes</t>
  </si>
  <si>
    <r>
      <t>d</t>
    </r>
    <r>
      <rPr>
        <sz val="10"/>
        <rFont val="Symbol"/>
        <family val="1"/>
        <charset val="2"/>
      </rPr>
      <t>w/</t>
    </r>
    <r>
      <rPr>
        <sz val="10"/>
        <rFont val="Arial"/>
        <family val="2"/>
      </rPr>
      <t>dt:</t>
    </r>
  </si>
  <si>
    <t>deg./day</t>
  </si>
  <si>
    <r>
      <t>d</t>
    </r>
    <r>
      <rPr>
        <sz val="10"/>
        <rFont val="Symbol"/>
        <family val="1"/>
        <charset val="2"/>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</si>
  <si>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</si>
  <si>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</si>
  <si>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</si>
  <si>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</si>
  <si>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</si>
  <si>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</si>
  <si>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</si>
  <si>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</si>
  <si>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</si>
  <si>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</si>
  <si>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</si>
  <si>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</si>
  <si>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</si>
  <si>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</si>
  <si>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t xml:space="preserve">      Slant Range to Spacecraft vs. Elevation Angle</t>
  </si>
  <si>
    <t>km.</t>
  </si>
  <si>
    <t>Mean Orbit Radius:</t>
  </si>
  <si>
    <t>Frequency:</t>
  </si>
  <si>
    <t>MHz</t>
  </si>
  <si>
    <t>meters</t>
  </si>
  <si>
    <t>Path Loss:</t>
  </si>
  <si>
    <t>dB</t>
  </si>
  <si>
    <t>Uplink:</t>
  </si>
  <si>
    <t>Downlink:</t>
  </si>
  <si>
    <t>Sun Synchronous Inclination:</t>
  </si>
  <si>
    <t>Units:</t>
  </si>
  <si>
    <t>Comments:</t>
  </si>
  <si>
    <t>Spacecraft:</t>
  </si>
  <si>
    <t>Transmission Line Losses:</t>
  </si>
  <si>
    <t>Connector, Filter or In-Line Switch Losses:</t>
  </si>
  <si>
    <t>Antenna Gain:</t>
  </si>
  <si>
    <t>Downlink Path:</t>
  </si>
  <si>
    <t>Antenna Polarization Losses:</t>
  </si>
  <si>
    <t>Atmospheric Losses:</t>
  </si>
  <si>
    <t>Ionospheric Losses:</t>
  </si>
  <si>
    <t>Rain Losses:</t>
  </si>
  <si>
    <t>Isotropic Signal Level at Ground Station:</t>
  </si>
  <si>
    <t>Ground Station:</t>
  </si>
  <si>
    <t>Ground Station Antenna Gain:</t>
  </si>
  <si>
    <t>Ground Station Transmission Line Losses:</t>
  </si>
  <si>
    <t>Ground Station LNA Noise Temperature:</t>
  </si>
  <si>
    <t>Ground Station Sky Temperature:</t>
  </si>
  <si>
    <t>Ground Station Effective Noise Temperature:</t>
  </si>
  <si>
    <t>G.S. Transmission Line Coefficient:</t>
  </si>
  <si>
    <t>Ground Station Figure of Merrit (G/T):</t>
  </si>
  <si>
    <t>G.S. Signal-to-Noise Power Density (S/No):</t>
  </si>
  <si>
    <t>watts</t>
  </si>
  <si>
    <t>dBW</t>
  </si>
  <si>
    <t>dBm</t>
  </si>
  <si>
    <t>dBiC</t>
  </si>
  <si>
    <t>Use Value Appropriate for Elevation Angle Selected in Orbit Performance W/S.  See Ippolito.</t>
  </si>
  <si>
    <t>K</t>
  </si>
  <si>
    <t>Ground Station Transmission Line Temp.:</t>
  </si>
  <si>
    <t>dB/K</t>
  </si>
  <si>
    <t>In dBW:</t>
  </si>
  <si>
    <t>In dBm:</t>
  </si>
  <si>
    <t>Boltzman's Constant:</t>
  </si>
  <si>
    <t>dBW/K/Hz</t>
  </si>
  <si>
    <t>dBHz</t>
  </si>
  <si>
    <t>Ground Station Antenna Pointing Loss:</t>
  </si>
  <si>
    <t>Uplink Path:</t>
  </si>
  <si>
    <t>Ground Station Effective Isotropic Radiated Power (EIRP) [EIRP=Pt x Ltl x Ga]</t>
  </si>
  <si>
    <t>Ground Station EIRP:</t>
  </si>
  <si>
    <t>Antenna Polarization Loss:</t>
  </si>
  <si>
    <t>Rain Loss:</t>
  </si>
  <si>
    <t>Atmospheric Loss:</t>
  </si>
  <si>
    <t>Ionospheric Loss:</t>
  </si>
  <si>
    <t>Spacecraft Transmission Line Losses:</t>
  </si>
  <si>
    <t>Spacecraft LNA Noise Temperature:</t>
  </si>
  <si>
    <t>Spacecraft Transmission Line Temp.:</t>
  </si>
  <si>
    <t>Spacecraft Sky Temperature:</t>
  </si>
  <si>
    <t>S/C Transmission Line Coefficient:</t>
  </si>
  <si>
    <t>Spacecraft Effective Noise Temperature:</t>
  </si>
  <si>
    <t>Spacecraft Figure of Merrit (G/T):</t>
  </si>
  <si>
    <t>S/C Signal-to-Noise Power Density (S/No):</t>
  </si>
  <si>
    <t>dM/dt:</t>
  </si>
  <si>
    <t xml:space="preserve"> Blue</t>
  </si>
  <si>
    <r>
      <t>NOTE:</t>
    </r>
    <r>
      <rPr>
        <sz val="10"/>
        <rFont val="Arial"/>
      </rPr>
      <t xml:space="preserve">  Cells Not Yet Protected</t>
    </r>
  </si>
  <si>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</si>
  <si>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</si>
  <si>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</si>
  <si>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</si>
  <si>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</si>
  <si>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</si>
  <si>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</si>
  <si>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</si>
  <si>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rPr>
      <t xml:space="preserve"> </t>
    </r>
    <r>
      <rPr>
        <b/>
        <sz val="10"/>
        <rFont val="Arial"/>
        <family val="2"/>
      </rPr>
      <t>Data Entry</t>
    </r>
    <r>
      <rPr>
        <sz val="10"/>
        <rFont val="Arial"/>
      </rPr>
      <t>)</t>
    </r>
  </si>
  <si>
    <t>Not Implemented</t>
  </si>
  <si>
    <t xml:space="preserve">Date W/S Formulas </t>
  </si>
  <si>
    <t xml:space="preserve">                    Approvals:</t>
  </si>
  <si>
    <t>NOTE #1:</t>
  </si>
  <si>
    <t>Enter Name of Communications Engineer:</t>
  </si>
  <si>
    <t>NOTE #7:</t>
  </si>
  <si>
    <t>Jan A. King</t>
  </si>
  <si>
    <t>Com. Eng.</t>
  </si>
  <si>
    <t>NOTE #2:</t>
  </si>
  <si>
    <t>Enter Name of Project Manager:</t>
  </si>
  <si>
    <t>P.M.</t>
  </si>
  <si>
    <t>NOTE #3:</t>
  </si>
  <si>
    <t>NOTE #4:</t>
  </si>
  <si>
    <t>NOTE #5:</t>
  </si>
  <si>
    <t>Config. Control</t>
  </si>
  <si>
    <t>LINK MODEL</t>
  </si>
  <si>
    <t>NOTE #6</t>
  </si>
  <si>
    <t>STATUS</t>
  </si>
  <si>
    <t>NOTE #8:</t>
  </si>
  <si>
    <t>Organization:</t>
  </si>
  <si>
    <t>Basic Analog Transponder Link Budget</t>
  </si>
  <si>
    <r>
      <t>Developed by:  Jan A. King, W3GEY/VK4GEY</t>
    </r>
    <r>
      <rPr>
        <b/>
        <sz val="10"/>
        <rFont val="Arial"/>
        <family val="2"/>
      </rPr>
      <t xml:space="preserve">
</t>
    </r>
  </si>
  <si>
    <t>Title Page</t>
  </si>
  <si>
    <t>Uplink Transponder Budget:</t>
  </si>
  <si>
    <t>User Uplink Transmitter Power Output:</t>
  </si>
  <si>
    <t>Isotropic Signal Level at the Spacecraft:</t>
  </si>
  <si>
    <t>Spacecraft Rcvr Antenna Pointing Loss:</t>
  </si>
  <si>
    <t>Spacecraft Rcvr Antenna Gain:</t>
  </si>
  <si>
    <t>This is the power associated with ONE uplinking user station.</t>
  </si>
  <si>
    <t>Transponder IF Bandwidth:</t>
  </si>
  <si>
    <t>kHz</t>
  </si>
  <si>
    <t>Transponder Uplink Interference Density:</t>
  </si>
  <si>
    <t>Transponder Uplink Total Interference Power:</t>
  </si>
  <si>
    <t>dBW/Hz</t>
  </si>
  <si>
    <t>Measured at Spacecraft Receiver Input</t>
  </si>
  <si>
    <t>Transponder Uplink S/I (Power Ratio):</t>
  </si>
  <si>
    <t>This is the ratio of the User signal level compared to the Interference Noise in the entire Transponder Passband</t>
  </si>
  <si>
    <t xml:space="preserve">dB </t>
  </si>
  <si>
    <t>Single User S(N+I) in Transponder Bandwidth:</t>
  </si>
  <si>
    <t>This is the uplink performance measured in the ENTIRE transponder bandwidth (NOTE: This could be a negative number)</t>
  </si>
  <si>
    <t>Single User Signal Bandwidth:</t>
  </si>
  <si>
    <t>THE BOTTOM LINE FOR THE UPLINK  (NOTE:  This is the average S/(N+I), not the peak value.  This matters for SSB</t>
  </si>
  <si>
    <t>Downlink Transponder Budget:</t>
  </si>
  <si>
    <t>Spacecraft Effective Isotropic Radiated Power (EIRP) [EIRP=Pt x Ltl x Ga] per User</t>
  </si>
  <si>
    <t>Single User Uplink S/N in Transponder Bandwidth:</t>
  </si>
  <si>
    <t>Transponder Intermodulation Ratio (S/IM or IMR):</t>
  </si>
  <si>
    <t>The ratio of the power in one user signal divided by the average intermodulation power level in one User channel</t>
  </si>
  <si>
    <t>Transponder Bandwidth:</t>
  </si>
  <si>
    <t>Transponder G/T:</t>
  </si>
  <si>
    <t>Transponder Intermodulation Ratio (IMR):</t>
  </si>
  <si>
    <t xml:space="preserve">Transponder Total DC Input Power:  </t>
  </si>
  <si>
    <t>Transponder Total RF Power Output:</t>
  </si>
  <si>
    <t>Transponder Uplink Frequency (Band):</t>
  </si>
  <si>
    <t>Transponder Downlink Frequency (Band):</t>
  </si>
  <si>
    <t>Watts</t>
  </si>
  <si>
    <t xml:space="preserve">Uplink Frequency Range:  </t>
  </si>
  <si>
    <t>Downlink Frequency Range:</t>
  </si>
  <si>
    <t>Center Frequency:</t>
  </si>
  <si>
    <t>Use Transponder Center Frequencies.</t>
  </si>
  <si>
    <t>to</t>
  </si>
  <si>
    <t>No. of Users and Channels:</t>
  </si>
  <si>
    <t>User Modulation Type:</t>
  </si>
  <si>
    <t>SSB</t>
  </si>
  <si>
    <t>Per User Channel Bandwidth:</t>
  </si>
  <si>
    <t>Transponder Minimum Bandwidth:</t>
  </si>
  <si>
    <t>Verify that this value is less</t>
  </si>
  <si>
    <t>Channels</t>
  </si>
  <si>
    <t xml:space="preserve"> or Users</t>
  </si>
  <si>
    <t>Choose SSB, FM, CW, Data (Bit Rate)</t>
  </si>
  <si>
    <t>Ideally, they should be matched.</t>
  </si>
  <si>
    <t>Transponder Uplink Input Noise Power</t>
  </si>
  <si>
    <t>k=</t>
  </si>
  <si>
    <t>Transponder Total Uplink Noise Power (N+I):</t>
  </si>
  <si>
    <t>This is the S/N for ONE user seen at the S/C Rcvr IF, measured after the BPF, in the bandwidth determined by that filter.</t>
  </si>
  <si>
    <r>
      <t>P</t>
    </r>
    <r>
      <rPr>
        <sz val="8"/>
        <rFont val="Arial"/>
        <family val="2"/>
      </rPr>
      <t>n</t>
    </r>
    <r>
      <rPr>
        <sz val="10"/>
        <rFont val="Arial"/>
        <family val="2"/>
      </rPr>
      <t xml:space="preserve"> = kTB;  Additive White Gaussian Noise (AWGN); The satellite receiver's White Noise.</t>
    </r>
  </si>
  <si>
    <t>This total noise multiplied by the tranponder's gain will produce wasted output noise power from the HPA.</t>
  </si>
  <si>
    <t>Single User Downlink S/N in User Terminal Bandwidth:</t>
  </si>
  <si>
    <t>Single User Uplink S(N+I) in User Terminal Bandwidth:</t>
  </si>
  <si>
    <t>Spacecraft EIRP per User:</t>
  </si>
  <si>
    <t>Spacecraft HPA Transponded Uplink Noise Power:</t>
  </si>
  <si>
    <t xml:space="preserve">Spacecraft Transponded Intermod Power: </t>
  </si>
  <si>
    <t>Spacecraft True HPA Power Output per User Channel</t>
  </si>
  <si>
    <t>Spacecraft Total HPA Power Allocated per User Channel:</t>
  </si>
  <si>
    <t>This is the HPA power wasted in generating intermodulation products</t>
  </si>
  <si>
    <t>Transponder Power Allocaton/User:</t>
  </si>
  <si>
    <t xml:space="preserve">Verify that this value eqauls </t>
  </si>
  <si>
    <r>
      <t>Wavelength (</t>
    </r>
    <r>
      <rPr>
        <b/>
        <u/>
        <sz val="12"/>
        <rFont val="Symbol"/>
        <family val="1"/>
        <charset val="2"/>
      </rPr>
      <t>l</t>
    </r>
    <r>
      <rPr>
        <u/>
        <sz val="12"/>
        <rFont val="Arial"/>
        <family val="2"/>
      </rPr>
      <t>):</t>
    </r>
  </si>
  <si>
    <r>
      <t>Path Loss = 22.0 + 20 log (S/</t>
    </r>
    <r>
      <rPr>
        <b/>
        <sz val="12"/>
        <rFont val="Symbol"/>
        <family val="1"/>
        <charset val="2"/>
      </rPr>
      <t>l)</t>
    </r>
  </si>
  <si>
    <t>This is the sum of the three power components from above.</t>
  </si>
  <si>
    <t xml:space="preserve">  </t>
  </si>
  <si>
    <t xml:space="preserve">G.S. Signal-to-Intermodulation Power Density (S/Io) </t>
  </si>
  <si>
    <t>G.S. S/ (No+Io):</t>
  </si>
  <si>
    <t>The Intermodulation Power Density</t>
  </si>
  <si>
    <t>It does not inlude the effects of the uplink noise.</t>
  </si>
  <si>
    <t xml:space="preserve">This is the S/N for ONE user due to downlink thermal noise (AWGN) plus Intermodulation Interference.  </t>
  </si>
  <si>
    <t>Transponder Link Results (Combining the Uplink and the Downlink):</t>
  </si>
  <si>
    <t>Transponder Available BW/Channel:</t>
  </si>
  <si>
    <t>Uplink S/N Achieved:</t>
  </si>
  <si>
    <t>Downlink S/N Achieved:</t>
  </si>
  <si>
    <t>Combined Uplink + Downlink S/N Achieved:</t>
  </si>
  <si>
    <t>SSB PEP S/N:</t>
  </si>
  <si>
    <t>Downlink Frequency:</t>
  </si>
  <si>
    <t>Uplink Frequency:</t>
  </si>
  <si>
    <t>S/C Uplink Antenna Gain:</t>
  </si>
  <si>
    <t>S/C Uplink G/T:</t>
  </si>
  <si>
    <t>S/C Downlink Total Xmtr Power:</t>
  </si>
  <si>
    <t>S/C Downlink RF Power/User Ch.:</t>
  </si>
  <si>
    <t>S/C Downlink Antenna Gain:</t>
  </si>
  <si>
    <t>User Ch.</t>
  </si>
  <si>
    <t>If Applicable</t>
  </si>
  <si>
    <t>Geostationary Orbit;  Orbit Slot is TBD</t>
  </si>
  <si>
    <t>This is the interference density seen at the S/C Receiver.  Assume Uniform Density Across Transponder Passband.</t>
  </si>
  <si>
    <t>This is the uplink noise power amplified and retransmitted by the transponder HPA</t>
  </si>
  <si>
    <t>Transponder End-to-End Gain:</t>
  </si>
  <si>
    <t>Spectrum Used:</t>
  </si>
  <si>
    <t>Downlink:  User Rcvr G/T:</t>
  </si>
  <si>
    <t>Downlink:  User Antenna Gain:</t>
  </si>
  <si>
    <t>Downlink:  User LNA Temperature:</t>
  </si>
  <si>
    <t>Budget" Worksheet.</t>
  </si>
  <si>
    <t xml:space="preserve">Cell [B11] of the "Downlink </t>
  </si>
  <si>
    <t>Transponder DC/RF Efficiency (Average):</t>
  </si>
  <si>
    <t>Transponder DC Power Consumed:</t>
  </si>
  <si>
    <t>&lt;---------------------------------------- Link Results: -------------------------------------&gt;</t>
  </si>
  <si>
    <t>&lt; -------------------------------Spacecraft Resources: ---------------------------------&gt;</t>
  </si>
  <si>
    <t>Users &amp; Channels Supported:</t>
  </si>
  <si>
    <t>kHz/Ch.</t>
  </si>
  <si>
    <t>Effective Guardband/Channel:</t>
  </si>
  <si>
    <t xml:space="preserve">   (Don't Change These Values!)</t>
  </si>
  <si>
    <t>than  or equal to the value in Cell [D9].</t>
  </si>
  <si>
    <t>Transponder Thermal Dissipation:</t>
  </si>
  <si>
    <t>Uplink:  User Transmitter Power:</t>
  </si>
  <si>
    <t>Uplink:  User Antenna Gain:</t>
  </si>
  <si>
    <t>S/C Downlink EIRP/User Ch.:</t>
  </si>
  <si>
    <t>S/C Downlink EIRP (Transponder):</t>
  </si>
  <si>
    <t>NOTE:</t>
  </si>
  <si>
    <t>2008, 87.50000</t>
  </si>
  <si>
    <t>- Per Channel</t>
  </si>
  <si>
    <r>
      <t>Inclination (</t>
    </r>
    <r>
      <rPr>
        <i/>
        <sz val="10"/>
        <rFont val="Arial"/>
        <family val="2"/>
      </rPr>
      <t>i</t>
    </r>
    <r>
      <rPr>
        <sz val="10"/>
        <rFont val="Arial"/>
      </rPr>
      <t>):</t>
    </r>
  </si>
  <si>
    <t>AMSAT-NA</t>
  </si>
  <si>
    <t>Reference U/V Transponder</t>
  </si>
  <si>
    <t>TBD</t>
  </si>
  <si>
    <t>As Required for Modulation Used</t>
  </si>
  <si>
    <t>Mode U/V (UHF Uplink/VHF Downlink) Reference Transponder</t>
  </si>
  <si>
    <t xml:space="preserve">Transponder Basic Set-Up Parameters and Characteristics:  </t>
  </si>
  <si>
    <t>Orbital Elements and Properties:</t>
  </si>
  <si>
    <t>Orbit Elements and Properties:</t>
  </si>
  <si>
    <t>User Ground Station Equipment Uplink and Downlink Set-Up</t>
  </si>
  <si>
    <t>User Uplink:</t>
  </si>
  <si>
    <t>OR</t>
  </si>
  <si>
    <t xml:space="preserve">Yagi, Helix, Spiral, Other </t>
  </si>
  <si>
    <t>Parabolic Reflector, Horn, Other</t>
  </si>
  <si>
    <t>Uplink Antenna Gain:</t>
  </si>
  <si>
    <t>Pointing Loss</t>
  </si>
  <si>
    <r>
      <t>a</t>
    </r>
    <r>
      <rPr>
        <sz val="10"/>
        <rFont val="Arial"/>
        <family val="2"/>
      </rPr>
      <t xml:space="preserve"> =</t>
    </r>
  </si>
  <si>
    <t>Cable Losses:</t>
  </si>
  <si>
    <t>Antenna Pointing Loss:</t>
  </si>
  <si>
    <t>Antenna Gain</t>
  </si>
  <si>
    <t>Filter/Switch Loss:</t>
  </si>
  <si>
    <t>Transmitter Power Output:</t>
  </si>
  <si>
    <t>Tx Power</t>
  </si>
  <si>
    <t>Filter, Switch &amp; Connector Losses</t>
  </si>
  <si>
    <t>User Downlink:</t>
  </si>
  <si>
    <t>To Receiver</t>
  </si>
  <si>
    <t>Input (Voice, Data, Video, Other)</t>
  </si>
  <si>
    <t>LNA Noise Temperature</t>
  </si>
  <si>
    <t>Transmission Line Losses</t>
  </si>
  <si>
    <t>Filter or Switch Loss</t>
  </si>
  <si>
    <t>Sky Temperature</t>
  </si>
  <si>
    <t>G.S Effective Noise Temperature:</t>
  </si>
  <si>
    <t>Downlink Antenna Gain:</t>
  </si>
  <si>
    <t>Parabolic Reflector, Horn, Phased Array, Other</t>
  </si>
  <si>
    <t>Transponder Total Active Gain:</t>
  </si>
  <si>
    <t>Spacecraft Input Filter Insertion Loss:</t>
  </si>
  <si>
    <t>S/C Connector, Filter and In-Line Switch Losses:</t>
  </si>
  <si>
    <t>S/C Connector, Filter, Switch Losses:</t>
  </si>
  <si>
    <t>Spacecraft Transmit Antenna Pointing Loss:</t>
  </si>
  <si>
    <t>Spacecraft Transmit Antenna Gain:</t>
  </si>
  <si>
    <t>S/C HPA Power Output:</t>
  </si>
  <si>
    <t>Spacecraft Xmit Antenna Gain:</t>
  </si>
  <si>
    <t>S/C Xmit Antenna Pointing Loss:</t>
  </si>
  <si>
    <t>S/C Transmit EIRP:</t>
  </si>
  <si>
    <t>S/C Rcvr G/T:</t>
  </si>
  <si>
    <t>A. Basic Transponder Set-Up Parameters:</t>
  </si>
  <si>
    <t>B.  Detailed Transponder RF Parameters:</t>
  </si>
  <si>
    <t>=</t>
  </si>
  <si>
    <t>Gnd. Stn. Figure of Merit (G/T):</t>
  </si>
  <si>
    <t>Noise Bandwidth</t>
  </si>
  <si>
    <t xml:space="preserve">This parameter Sets the Transponder </t>
  </si>
  <si>
    <t xml:space="preserve">This is the "True" RF Transponder Power Allocated to Each User.  The Intermod Power is NOT Included in this value.  </t>
  </si>
  <si>
    <t>Slant Range (S):</t>
  </si>
  <si>
    <t xml:space="preserve">km </t>
  </si>
  <si>
    <t>@ Elevation Angle</t>
  </si>
  <si>
    <t>°</t>
  </si>
  <si>
    <t>Uplink Earth Station:</t>
  </si>
  <si>
    <t>Downlink Earth Station:</t>
  </si>
  <si>
    <r>
      <t>Elevation Angle (</t>
    </r>
    <r>
      <rPr>
        <b/>
        <sz val="10"/>
        <rFont val="Symbol"/>
        <family val="1"/>
        <charset val="2"/>
      </rPr>
      <t>d1</t>
    </r>
    <r>
      <rPr>
        <sz val="10"/>
        <rFont val="Symbol"/>
        <family val="1"/>
        <charset val="2"/>
      </rPr>
      <t>):</t>
    </r>
  </si>
  <si>
    <r>
      <t>Elevation Angle (</t>
    </r>
    <r>
      <rPr>
        <b/>
        <sz val="10"/>
        <rFont val="Symbol"/>
        <family val="1"/>
        <charset val="2"/>
      </rPr>
      <t>d2</t>
    </r>
    <r>
      <rPr>
        <sz val="10"/>
        <rFont val="Symbol"/>
        <family val="1"/>
        <charset val="2"/>
      </rPr>
      <t>):</t>
    </r>
  </si>
  <si>
    <r>
      <t>Slant Range (</t>
    </r>
    <r>
      <rPr>
        <b/>
        <sz val="10"/>
        <rFont val="Arial"/>
        <family val="2"/>
      </rPr>
      <t>S</t>
    </r>
    <r>
      <rPr>
        <b/>
        <sz val="8"/>
        <rFont val="Arial"/>
        <family val="2"/>
      </rPr>
      <t>1</t>
    </r>
    <r>
      <rPr>
        <sz val="10"/>
        <rFont val="Arial"/>
      </rPr>
      <t>):</t>
    </r>
  </si>
  <si>
    <r>
      <t>Slant Range (</t>
    </r>
    <r>
      <rPr>
        <b/>
        <sz val="10"/>
        <rFont val="Arial"/>
        <family val="2"/>
      </rPr>
      <t>S</t>
    </r>
    <r>
      <rPr>
        <b/>
        <sz val="8"/>
        <rFont val="Arial"/>
        <family val="2"/>
      </rPr>
      <t>2</t>
    </r>
    <r>
      <rPr>
        <sz val="10"/>
        <rFont val="Arial"/>
      </rPr>
      <t>):</t>
    </r>
  </si>
  <si>
    <t>(@ Uplink Earth Station)</t>
  </si>
  <si>
    <t>(@ Downlink Earth Station)</t>
  </si>
  <si>
    <t>Uplink Center Frequency:</t>
  </si>
  <si>
    <t>Downlink Center Frequency:</t>
  </si>
  <si>
    <t>Place a Typical Uplink and Downlink, (End-to-End) Block Diagram Here.  Use GREY Background.  Add some performance and noise contribution graphics.</t>
  </si>
  <si>
    <r>
      <t xml:space="preserve">Earth and Orbit Shape for Figure in Orbit Performance W/S  </t>
    </r>
    <r>
      <rPr>
        <b/>
        <sz val="10"/>
        <color indexed="10"/>
        <rFont val="Arial"/>
        <family val="2"/>
      </rPr>
      <t>[NOTE:  DO NOT MODIFY THIS WORKSHEET]</t>
    </r>
  </si>
  <si>
    <t>2009 September 30</t>
  </si>
  <si>
    <t>Amendment Log</t>
  </si>
  <si>
    <t>Version</t>
  </si>
  <si>
    <t>Date</t>
  </si>
  <si>
    <t>Author</t>
  </si>
  <si>
    <t>Change</t>
  </si>
  <si>
    <t>Found error in original worksheet. 7-Downlink Budget Cells [B6],[B9] and [B10] were modified. Terms involving 6-Uplink Budget, Cell [B43] was changed to Cell [B40].  This corrects noise power calculation and terms driven by it.</t>
  </si>
  <si>
    <t>Ver. 1.4</t>
  </si>
  <si>
    <t>Ver. 1.5</t>
  </si>
  <si>
    <t>Ver. 1.6</t>
  </si>
  <si>
    <t>?</t>
  </si>
  <si>
    <t xml:space="preserve"> Version: 1.6</t>
  </si>
  <si>
    <t>2010 September 2</t>
  </si>
  <si>
    <t>Ref/U-V/1.6</t>
  </si>
  <si>
    <t>Found error in original worksheet. User downlink "Filter or Switch Loss" not transferred to 7-Downlink Budget.  Line 28 added to Downlink Budget. Amended Cells [B32] and [B34].</t>
  </si>
  <si>
    <t>Ground Station and/or Switch Losses:</t>
  </si>
  <si>
    <t>&lt;---------------------------------------User Uplink:-------------------------------------&gt;</t>
  </si>
  <si>
    <t>&lt;--------------------------------- User Downlink:-----------------------------------&gt;</t>
  </si>
  <si>
    <t>&lt;---------------------------------------Spacecraft:--------------------------------------&gt;</t>
  </si>
  <si>
    <t>GEO or Near-GEO AMSAT Payload</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</si>
</sst>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164" formatCode="_(* #,##0.00_);_(* \(#,##0.00\);_(* &quot;-&quot;??_);_(@_)"/>
    <numFmt numFmtId="165" formatCode="0.000000"/>
    <numFmt numFmtId="166" formatCode="0.00000"/>
    <numFmt numFmtId="167" formatCode="0.0000"/>
    <numFmt numFmtId="168" formatCode="0.000"/>
    <numFmt numFmtId="169" formatCode="0.0"/>
    <numFmt numFmtId="170" formatCode="0.0\ &quot;dB&quot;"/>
    <numFmt numFmtId="171" formatCode="0.0\ &quot;watts&quot;"/>
    <numFmt numFmtId="172" formatCode="0.0\ &quot;dB/K&quot;"/>
    <numFmt numFmtId="173" formatCode="0.0\ &quot;dBW&quot;"/>
    <numFmt numFmtId="174" formatCode="000.0\ &quot;dB Total Active Gain&quot;"/>
    <numFmt numFmtId="175" formatCode="0.0\ &quot;dBi&quot;"/>
    <numFmt numFmtId="176" formatCode="0\ &quot;watts&quot;"/>
    <numFmt numFmtId="177" formatCode="0\ &quot;K&quot;"/>
    <numFmt numFmtId="178" formatCode="0\ &quot;kHz IF BPF Bandwidth&quot;"/>
    <numFmt numFmtId="179" formatCode="#,##0.0_);\(#,##0.0\)"/>
  </numFmts>
  <fonts count="63" x14ac:knownFonts="1">
    <font>
      <sz val="10"/>
      <name val="Arial"/>
    </font>
    <font>
      <sz val="10"/>
      <name val="Arial"/>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charset val="2"/>
    </font>
    <font>
      <b/>
      <sz val="10"/>
      <name val="Symbol"/>
      <family val="1"/>
      <charset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sz val="10"/>
      <color indexed="10"/>
      <name val="Arial"/>
    </font>
    <font>
      <sz val="8"/>
      <name val="Arial"/>
    </font>
    <font>
      <sz val="8"/>
      <color indexed="81"/>
      <name val="Tahoma"/>
    </font>
    <font>
      <sz val="10"/>
      <color indexed="81"/>
      <name val="Tahoma"/>
      <family val="2"/>
    </font>
    <font>
      <sz val="10"/>
      <color indexed="10"/>
      <name val="Tahoma"/>
      <family val="2"/>
    </font>
    <font>
      <b/>
      <sz val="10"/>
      <color indexed="81"/>
      <name val="Tahoma"/>
      <family val="2"/>
    </font>
    <font>
      <sz val="10"/>
      <color indexed="12"/>
      <name val="Tahoma"/>
      <family val="2"/>
    </font>
    <font>
      <sz val="20"/>
      <name val="Symbol"/>
      <family val="1"/>
      <charset val="2"/>
    </font>
    <font>
      <b/>
      <sz val="14"/>
      <name val="Arial"/>
      <family val="2"/>
    </font>
    <font>
      <sz val="16"/>
      <name val="Arial"/>
      <family val="2"/>
    </font>
    <font>
      <sz val="14"/>
      <name val="Arial"/>
      <family val="2"/>
    </font>
    <font>
      <sz val="8"/>
      <color indexed="81"/>
      <name val="Tahoma"/>
      <family val="2"/>
    </font>
    <font>
      <b/>
      <sz val="8"/>
      <color indexed="81"/>
      <name val="Tahoma"/>
      <family val="2"/>
    </font>
    <font>
      <sz val="8"/>
      <name val="Arial"/>
      <family val="2"/>
    </font>
    <font>
      <b/>
      <u/>
      <sz val="14"/>
      <name val="Arial"/>
      <family val="2"/>
    </font>
    <font>
      <b/>
      <sz val="14"/>
      <color indexed="12"/>
      <name val="Arial"/>
      <family val="2"/>
    </font>
    <font>
      <u/>
      <sz val="12"/>
      <name val="Arial"/>
      <family val="2"/>
    </font>
    <font>
      <b/>
      <u/>
      <sz val="12"/>
      <name val="Symbol"/>
      <family val="1"/>
      <charset val="2"/>
    </font>
    <font>
      <b/>
      <sz val="12"/>
      <name val="Symbol"/>
      <family val="1"/>
      <charset val="2"/>
    </font>
    <font>
      <sz val="8"/>
      <color indexed="81"/>
      <name val="Tahoma"/>
      <charset val="1"/>
    </font>
    <font>
      <b/>
      <sz val="9"/>
      <color indexed="81"/>
      <name val="Tahoma"/>
      <family val="2"/>
    </font>
    <font>
      <sz val="9"/>
      <color indexed="81"/>
      <name val="Tahoma"/>
      <family val="2"/>
    </font>
    <font>
      <b/>
      <sz val="18"/>
      <name val="Arial"/>
      <family val="2"/>
    </font>
    <font>
      <sz val="9"/>
      <name val="Arial"/>
      <family val="2"/>
    </font>
    <font>
      <b/>
      <sz val="9"/>
      <name val="Arial"/>
      <family val="2"/>
    </font>
    <font>
      <b/>
      <sz val="8"/>
      <color indexed="81"/>
      <name val="Tahoma"/>
      <charset val="1"/>
    </font>
    <font>
      <sz val="12"/>
      <name val="Symbol"/>
      <family val="1"/>
      <charset val="2"/>
    </font>
    <font>
      <b/>
      <sz val="8"/>
      <name val="Arial"/>
      <family val="2"/>
    </font>
    <font>
      <b/>
      <sz val="10"/>
      <color indexed="10"/>
      <name val="Arial"/>
      <family val="2"/>
    </font>
    <font>
      <b/>
      <sz val="10"/>
      <color indexed="48"/>
      <name val="Arial"/>
      <family val="2"/>
    </font>
    <font>
      <sz val="10"/>
      <color indexed="10"/>
      <name val="Arial"/>
      <family val="2"/>
    </font>
    <font>
      <i/>
      <sz val="12"/>
      <color indexed="60"/>
      <name val="Arial"/>
      <family val="2"/>
    </font>
    <font>
      <sz val="10"/>
      <color indexed="12"/>
      <name val="Arial"/>
      <family val="2"/>
    </font>
    <font>
      <b/>
      <sz val="10"/>
      <color indexed="12"/>
      <name val="Arial"/>
      <family val="2"/>
    </font>
    <font>
      <b/>
      <sz val="10"/>
      <color indexed="10"/>
      <name val="Arial"/>
      <family val="2"/>
    </font>
    <font>
      <b/>
      <sz val="9"/>
      <color indexed="10"/>
      <name val="Arial"/>
      <family val="2"/>
    </font>
    <font>
      <b/>
      <sz val="16"/>
      <color indexed="10"/>
      <name val="Arial"/>
      <family val="2"/>
    </font>
    <font>
      <i/>
      <sz val="10"/>
      <color indexed="48"/>
      <name val="Arial"/>
      <family val="2"/>
    </font>
    <font>
      <i/>
      <sz val="10"/>
      <color indexed="10"/>
      <name val="Arial"/>
      <family val="2"/>
    </font>
    <font>
      <b/>
      <sz val="12"/>
      <color indexed="22"/>
      <name val="Arial"/>
      <family val="2"/>
    </font>
    <font>
      <b/>
      <sz val="10"/>
      <color indexed="22"/>
      <name val="Arial"/>
      <family val="2"/>
    </font>
    <font>
      <sz val="14"/>
      <name val="Arial"/>
    </font>
    <font>
      <sz val="14"/>
      <color indexed="12"/>
      <name val="Arial"/>
    </font>
    <font>
      <b/>
      <i/>
      <sz val="10"/>
      <color indexed="12"/>
      <name val="Arial"/>
      <family val="2"/>
    </font>
  </fonts>
  <fills count="11">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50"/>
        <bgColor indexed="64"/>
      </patternFill>
    </fill>
    <fill>
      <patternFill patternType="solid">
        <fgColor indexed="9"/>
        <bgColor indexed="64"/>
      </patternFill>
    </fill>
    <fill>
      <patternFill patternType="solid">
        <fgColor indexed="8"/>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24">
    <xf numFmtId="0" fontId="0" fillId="0" borderId="0" xfId="0"/>
    <xf numFmtId="0" fontId="0" fillId="2" borderId="0" xfId="0" applyFill="1"/>
    <xf numFmtId="0" fontId="0" fillId="3" borderId="0" xfId="0" applyFill="1"/>
    <xf numFmtId="0" fontId="5" fillId="3" borderId="0" xfId="0" applyFont="1" applyFill="1"/>
    <xf numFmtId="0" fontId="6" fillId="4" borderId="1" xfId="0" applyFont="1" applyFill="1" applyBorder="1" applyAlignment="1">
      <alignment horizontal="center"/>
    </xf>
    <xf numFmtId="0" fontId="6" fillId="3" borderId="0" xfId="0" applyFont="1" applyFill="1" applyAlignment="1">
      <alignment horizontal="center"/>
    </xf>
    <xf numFmtId="0" fontId="7" fillId="4" borderId="2" xfId="0" applyFont="1" applyFill="1" applyBorder="1" applyAlignment="1">
      <alignment horizontal="center"/>
    </xf>
    <xf numFmtId="0" fontId="6" fillId="4" borderId="3" xfId="0" applyFont="1" applyFill="1" applyBorder="1" applyAlignment="1">
      <alignment horizontal="center"/>
    </xf>
    <xf numFmtId="0" fontId="6" fillId="3" borderId="0" xfId="0" applyFont="1" applyFill="1" applyBorder="1" applyAlignment="1">
      <alignment horizontal="center"/>
    </xf>
    <xf numFmtId="0" fontId="8" fillId="3" borderId="0" xfId="0" applyFont="1" applyFill="1"/>
    <xf numFmtId="0" fontId="10" fillId="0" borderId="4" xfId="0" applyFont="1" applyBorder="1" applyAlignment="1">
      <alignment horizontal="center"/>
    </xf>
    <xf numFmtId="0" fontId="10" fillId="0" borderId="5" xfId="0" applyFont="1" applyBorder="1" applyAlignment="1">
      <alignment horizontal="center"/>
    </xf>
    <xf numFmtId="0" fontId="10" fillId="0" borderId="6" xfId="0" applyFont="1" applyBorder="1" applyAlignment="1">
      <alignment horizontal="center"/>
    </xf>
    <xf numFmtId="0" fontId="11" fillId="3" borderId="0" xfId="0" applyFont="1" applyFill="1" applyAlignment="1">
      <alignment horizontal="left"/>
    </xf>
    <xf numFmtId="39" fontId="11" fillId="3" borderId="0" xfId="1" applyNumberFormat="1" applyFont="1" applyFill="1" applyAlignment="1">
      <alignment horizontal="center"/>
    </xf>
    <xf numFmtId="165" fontId="0" fillId="3" borderId="0" xfId="0" applyNumberFormat="1" applyFill="1" applyAlignment="1">
      <alignment horizontal="center"/>
    </xf>
    <xf numFmtId="2" fontId="0" fillId="3" borderId="0" xfId="0" applyNumberFormat="1" applyFill="1" applyAlignment="1">
      <alignment horizontal="center"/>
    </xf>
    <xf numFmtId="167"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5" fontId="0" fillId="0" borderId="0" xfId="0" applyNumberFormat="1" applyAlignment="1">
      <alignment horizontal="center"/>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0"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8" fontId="0" fillId="3" borderId="0" xfId="0" applyNumberFormat="1" applyFill="1" applyAlignment="1">
      <alignment horizontal="center"/>
    </xf>
    <xf numFmtId="0" fontId="5" fillId="4" borderId="1" xfId="0" applyFont="1" applyFill="1" applyBorder="1" applyAlignment="1">
      <alignment horizontal="center"/>
    </xf>
    <xf numFmtId="39" fontId="15" fillId="6" borderId="1" xfId="0" applyNumberFormat="1" applyFont="1" applyFill="1" applyBorder="1" applyAlignment="1">
      <alignment horizontal="center"/>
    </xf>
    <xf numFmtId="0" fontId="17" fillId="5" borderId="0" xfId="0" applyFont="1" applyFill="1"/>
    <xf numFmtId="0" fontId="17" fillId="5" borderId="0" xfId="0" applyFont="1" applyFill="1" applyAlignment="1">
      <alignment horizontal="center"/>
    </xf>
    <xf numFmtId="0" fontId="0" fillId="4" borderId="0" xfId="0" applyFill="1"/>
    <xf numFmtId="169" fontId="0" fillId="0" borderId="0" xfId="0" applyNumberFormat="1"/>
    <xf numFmtId="169" fontId="0" fillId="4" borderId="9" xfId="0" applyNumberFormat="1" applyFill="1" applyBorder="1"/>
    <xf numFmtId="0" fontId="11" fillId="0" borderId="0" xfId="0" applyFont="1" applyFill="1" applyAlignment="1">
      <alignment horizontal="left"/>
    </xf>
    <xf numFmtId="167" fontId="0" fillId="0" borderId="0" xfId="0" applyNumberFormat="1"/>
    <xf numFmtId="1" fontId="0" fillId="0" borderId="0" xfId="0" applyNumberFormat="1"/>
    <xf numFmtId="0" fontId="0" fillId="5" borderId="4" xfId="0"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14" fillId="5" borderId="0" xfId="0" applyFont="1" applyFill="1"/>
    <xf numFmtId="0" fontId="5" fillId="0" borderId="0" xfId="0" applyFont="1"/>
    <xf numFmtId="0" fontId="16" fillId="7" borderId="0" xfId="0" applyFont="1" applyFill="1" applyAlignment="1">
      <alignment horizontal="center"/>
    </xf>
    <xf numFmtId="0" fontId="0" fillId="7" borderId="0" xfId="0" applyFill="1"/>
    <xf numFmtId="0" fontId="18" fillId="7" borderId="0" xfId="0" applyFont="1" applyFill="1"/>
    <xf numFmtId="0" fontId="15" fillId="5" borderId="0" xfId="0" applyFont="1" applyFill="1"/>
    <xf numFmtId="0" fontId="5" fillId="5" borderId="0" xfId="0" applyFont="1" applyFill="1"/>
    <xf numFmtId="0" fontId="8" fillId="7" borderId="10" xfId="0" applyFont="1" applyFill="1" applyBorder="1" applyAlignment="1">
      <alignment horizontal="center"/>
    </xf>
    <xf numFmtId="0" fontId="15" fillId="6" borderId="1" xfId="0" applyFont="1" applyFill="1" applyBorder="1" applyAlignment="1">
      <alignment horizontal="center"/>
    </xf>
    <xf numFmtId="0" fontId="0" fillId="3" borderId="9" xfId="0" applyFill="1" applyBorder="1" applyAlignment="1">
      <alignment horizontal="center"/>
    </xf>
    <xf numFmtId="169" fontId="7" fillId="7" borderId="9" xfId="0" applyNumberFormat="1" applyFont="1" applyFill="1" applyBorder="1" applyAlignment="1">
      <alignment horizontal="center"/>
    </xf>
    <xf numFmtId="0" fontId="8" fillId="3" borderId="0" xfId="0" quotePrefix="1" applyFont="1" applyFill="1" applyAlignment="1">
      <alignment horizontal="center"/>
    </xf>
    <xf numFmtId="0" fontId="5" fillId="4" borderId="7" xfId="0" applyFont="1" applyFill="1" applyBorder="1"/>
    <xf numFmtId="0" fontId="2" fillId="7" borderId="0" xfId="0" applyFont="1" applyFill="1" applyBorder="1"/>
    <xf numFmtId="0" fontId="3" fillId="7" borderId="0" xfId="0" applyFont="1" applyFill="1" applyBorder="1"/>
    <xf numFmtId="0" fontId="4" fillId="7" borderId="0" xfId="0" applyFont="1" applyFill="1" applyBorder="1" applyAlignment="1">
      <alignment horizontal="left"/>
    </xf>
    <xf numFmtId="0" fontId="0" fillId="7" borderId="0" xfId="0" applyFill="1" applyBorder="1"/>
    <xf numFmtId="0" fontId="2" fillId="7" borderId="0" xfId="0" applyFont="1" applyFill="1" applyBorder="1" applyAlignment="1">
      <alignment horizontal="center"/>
    </xf>
    <xf numFmtId="0" fontId="18" fillId="7" borderId="0" xfId="0" applyFont="1" applyFill="1" applyBorder="1"/>
    <xf numFmtId="0" fontId="5" fillId="7" borderId="0" xfId="0" applyFont="1" applyFill="1"/>
    <xf numFmtId="0" fontId="5" fillId="7" borderId="0" xfId="0" applyFont="1" applyFill="1" applyAlignment="1">
      <alignment horizontal="left"/>
    </xf>
    <xf numFmtId="2" fontId="8" fillId="0" borderId="11" xfId="0" applyNumberFormat="1" applyFont="1" applyFill="1" applyBorder="1" applyAlignment="1">
      <alignment horizontal="center"/>
    </xf>
    <xf numFmtId="169" fontId="8" fillId="0" borderId="12" xfId="0" applyNumberFormat="1" applyFont="1" applyFill="1" applyBorder="1" applyAlignment="1">
      <alignment horizontal="center"/>
    </xf>
    <xf numFmtId="166" fontId="8" fillId="0" borderId="12" xfId="0" applyNumberFormat="1" applyFont="1" applyFill="1" applyBorder="1" applyAlignment="1">
      <alignment horizontal="center"/>
    </xf>
    <xf numFmtId="2" fontId="8" fillId="0" borderId="10" xfId="0" applyNumberFormat="1" applyFont="1" applyFill="1" applyBorder="1" applyAlignment="1">
      <alignment horizontal="center"/>
    </xf>
    <xf numFmtId="0" fontId="0" fillId="3" borderId="9" xfId="0" applyFill="1" applyBorder="1" applyAlignment="1">
      <alignment horizontal="right"/>
    </xf>
    <xf numFmtId="169" fontId="0" fillId="5" borderId="0" xfId="0" applyNumberFormat="1" applyFill="1"/>
    <xf numFmtId="0" fontId="0" fillId="4" borderId="13" xfId="0" applyFill="1" applyBorder="1"/>
    <xf numFmtId="0" fontId="0" fillId="4" borderId="14" xfId="0" applyFill="1" applyBorder="1"/>
    <xf numFmtId="0" fontId="5" fillId="2" borderId="0" xfId="0" applyFont="1" applyFill="1" applyAlignment="1"/>
    <xf numFmtId="0" fontId="5" fillId="3" borderId="0" xfId="0" applyFont="1" applyFill="1" applyBorder="1" applyAlignment="1">
      <alignment horizontal="center"/>
    </xf>
    <xf numFmtId="0" fontId="14" fillId="6" borderId="9" xfId="0" applyFont="1" applyFill="1" applyBorder="1" applyAlignment="1"/>
    <xf numFmtId="0" fontId="19" fillId="6" borderId="9" xfId="0" applyFont="1" applyFill="1" applyBorder="1" applyAlignment="1">
      <alignment horizontal="center"/>
    </xf>
    <xf numFmtId="0" fontId="0" fillId="3" borderId="0" xfId="0" applyFill="1" applyAlignment="1">
      <alignment horizontal="left"/>
    </xf>
    <xf numFmtId="0" fontId="0" fillId="3" borderId="0" xfId="0" applyFill="1" applyBorder="1" applyAlignment="1">
      <alignment horizontal="left"/>
    </xf>
    <xf numFmtId="0" fontId="0" fillId="3" borderId="0" xfId="0" applyFill="1" applyBorder="1" applyAlignment="1">
      <alignment horizontal="right"/>
    </xf>
    <xf numFmtId="0" fontId="0" fillId="3" borderId="0" xfId="0" applyFill="1" applyBorder="1"/>
    <xf numFmtId="0" fontId="19" fillId="6" borderId="9" xfId="0" applyFont="1" applyFill="1" applyBorder="1"/>
    <xf numFmtId="0" fontId="20" fillId="3" borderId="1" xfId="0" applyFont="1" applyFill="1" applyBorder="1" applyAlignment="1">
      <alignment horizontal="left"/>
    </xf>
    <xf numFmtId="0" fontId="20" fillId="3" borderId="0" xfId="0" applyFont="1" applyFill="1" applyAlignment="1">
      <alignment horizontal="center"/>
    </xf>
    <xf numFmtId="0" fontId="19" fillId="3" borderId="0" xfId="0" applyFont="1" applyFill="1" applyBorder="1" applyAlignment="1">
      <alignment horizontal="center"/>
    </xf>
    <xf numFmtId="0" fontId="18" fillId="4" borderId="1" xfId="0" applyFont="1" applyFill="1" applyBorder="1" applyAlignment="1">
      <alignment horizontal="center"/>
    </xf>
    <xf numFmtId="0" fontId="26" fillId="4" borderId="7" xfId="0" applyFont="1" applyFill="1" applyBorder="1"/>
    <xf numFmtId="0" fontId="3" fillId="4" borderId="7" xfId="0" applyFont="1" applyFill="1" applyBorder="1"/>
    <xf numFmtId="0" fontId="3" fillId="4" borderId="7" xfId="0" applyFont="1" applyFill="1" applyBorder="1" applyAlignment="1">
      <alignment horizontal="center"/>
    </xf>
    <xf numFmtId="0" fontId="8" fillId="0" borderId="9" xfId="0" applyFont="1" applyFill="1" applyBorder="1" applyAlignment="1">
      <alignment horizontal="center"/>
    </xf>
    <xf numFmtId="0" fontId="29" fillId="4" borderId="7" xfId="0" applyFont="1" applyFill="1" applyBorder="1"/>
    <xf numFmtId="0" fontId="11" fillId="0" borderId="0" xfId="0" applyFont="1"/>
    <xf numFmtId="0" fontId="8" fillId="0" borderId="0" xfId="0" applyFont="1" applyFill="1" applyBorder="1"/>
    <xf numFmtId="169" fontId="0" fillId="0" borderId="0" xfId="0" applyNumberFormat="1" applyFill="1" applyBorder="1"/>
    <xf numFmtId="169" fontId="15" fillId="0" borderId="0" xfId="0" applyNumberFormat="1" applyFont="1" applyFill="1" applyBorder="1" applyAlignment="1">
      <alignment horizontal="center"/>
    </xf>
    <xf numFmtId="0" fontId="0" fillId="0" borderId="0" xfId="0" applyFill="1" applyBorder="1"/>
    <xf numFmtId="169" fontId="47" fillId="6" borderId="9" xfId="0" applyNumberFormat="1" applyFont="1" applyFill="1" applyBorder="1"/>
    <xf numFmtId="0" fontId="11" fillId="0" borderId="0" xfId="0" applyFont="1" applyAlignment="1">
      <alignment horizontal="left"/>
    </xf>
    <xf numFmtId="169" fontId="11" fillId="0" borderId="0" xfId="0" applyNumberFormat="1" applyFont="1" applyFill="1" applyBorder="1"/>
    <xf numFmtId="0" fontId="11" fillId="0" borderId="0" xfId="0" applyFont="1" applyFill="1" applyBorder="1"/>
    <xf numFmtId="169" fontId="11" fillId="0" borderId="0" xfId="0" applyNumberFormat="1" applyFont="1" applyFill="1" applyBorder="1" applyAlignment="1">
      <alignment horizontal="center"/>
    </xf>
    <xf numFmtId="0" fontId="0" fillId="0" borderId="0" xfId="0" applyBorder="1"/>
    <xf numFmtId="0" fontId="0" fillId="0" borderId="0" xfId="0" applyFont="1" applyFill="1" applyBorder="1"/>
    <xf numFmtId="2" fontId="0" fillId="0" borderId="0" xfId="0" applyNumberFormat="1"/>
    <xf numFmtId="169" fontId="48" fillId="7" borderId="9" xfId="0" applyNumberFormat="1" applyFont="1" applyFill="1" applyBorder="1" applyAlignment="1">
      <alignment horizontal="right"/>
    </xf>
    <xf numFmtId="169" fontId="0" fillId="0" borderId="0" xfId="0" applyNumberFormat="1" applyBorder="1"/>
    <xf numFmtId="2" fontId="47" fillId="6" borderId="9" xfId="0" applyNumberFormat="1" applyFont="1" applyFill="1" applyBorder="1"/>
    <xf numFmtId="0" fontId="11" fillId="2" borderId="0" xfId="0" applyFont="1" applyFill="1"/>
    <xf numFmtId="0" fontId="11" fillId="6" borderId="6" xfId="0" applyFont="1" applyFill="1" applyBorder="1"/>
    <xf numFmtId="168" fontId="0" fillId="6" borderId="4" xfId="0" applyNumberFormat="1" applyFill="1" applyBorder="1"/>
    <xf numFmtId="2" fontId="0" fillId="6" borderId="4" xfId="0" applyNumberFormat="1" applyFill="1" applyBorder="1"/>
    <xf numFmtId="169" fontId="0" fillId="6" borderId="4" xfId="0" applyNumberFormat="1" applyFill="1" applyBorder="1"/>
    <xf numFmtId="0" fontId="11" fillId="7" borderId="6" xfId="0" applyFont="1" applyFill="1" applyBorder="1"/>
    <xf numFmtId="0" fontId="11" fillId="8" borderId="6" xfId="0" applyFont="1" applyFill="1" applyBorder="1"/>
    <xf numFmtId="0" fontId="11" fillId="2" borderId="0" xfId="0" applyFont="1" applyFill="1" applyAlignment="1">
      <alignment horizontal="center"/>
    </xf>
    <xf numFmtId="0" fontId="0" fillId="4" borderId="4" xfId="0" applyFill="1" applyBorder="1"/>
    <xf numFmtId="0" fontId="11" fillId="4" borderId="6" xfId="0" applyFont="1" applyFill="1" applyBorder="1"/>
    <xf numFmtId="0" fontId="11" fillId="5" borderId="5" xfId="0" applyFont="1" applyFill="1" applyBorder="1" applyAlignment="1">
      <alignment horizontal="center"/>
    </xf>
    <xf numFmtId="0" fontId="11" fillId="0" borderId="0" xfId="0" applyFont="1" applyBorder="1"/>
    <xf numFmtId="2" fontId="47" fillId="6" borderId="1" xfId="0" applyNumberFormat="1" applyFont="1" applyFill="1" applyBorder="1" applyAlignment="1">
      <alignment horizontal="center"/>
    </xf>
    <xf numFmtId="168" fontId="0" fillId="4" borderId="4" xfId="0" applyNumberFormat="1" applyFill="1" applyBorder="1"/>
    <xf numFmtId="169" fontId="0" fillId="8" borderId="4" xfId="0" applyNumberFormat="1" applyFill="1" applyBorder="1"/>
    <xf numFmtId="2" fontId="0" fillId="4" borderId="4" xfId="0" applyNumberFormat="1" applyFill="1" applyBorder="1"/>
    <xf numFmtId="0" fontId="11" fillId="2" borderId="15" xfId="0" applyFont="1" applyFill="1" applyBorder="1"/>
    <xf numFmtId="0" fontId="0" fillId="2" borderId="16" xfId="0" applyFill="1" applyBorder="1"/>
    <xf numFmtId="0" fontId="0" fillId="2" borderId="17" xfId="0" applyFill="1" applyBorder="1"/>
    <xf numFmtId="0" fontId="11" fillId="2" borderId="18" xfId="0" applyFont="1" applyFill="1" applyBorder="1"/>
    <xf numFmtId="0" fontId="0" fillId="2" borderId="0" xfId="0" applyFill="1" applyBorder="1"/>
    <xf numFmtId="0" fontId="0" fillId="2" borderId="19" xfId="0" applyFill="1" applyBorder="1"/>
    <xf numFmtId="0" fontId="11" fillId="2" borderId="20" xfId="0" applyFont="1" applyFill="1" applyBorder="1"/>
    <xf numFmtId="0" fontId="0" fillId="2" borderId="21" xfId="0" applyFill="1" applyBorder="1"/>
    <xf numFmtId="0" fontId="0" fillId="2" borderId="22" xfId="0" applyFill="1" applyBorder="1"/>
    <xf numFmtId="0" fontId="35" fillId="3" borderId="0" xfId="0" applyFont="1" applyFill="1"/>
    <xf numFmtId="169" fontId="11" fillId="0" borderId="0" xfId="0" applyNumberFormat="1" applyFont="1" applyFill="1" applyBorder="1" applyAlignment="1">
      <alignment horizontal="right"/>
    </xf>
    <xf numFmtId="2" fontId="47" fillId="6" borderId="9" xfId="0" applyNumberFormat="1" applyFont="1" applyFill="1" applyBorder="1" applyAlignment="1">
      <alignment horizontal="right"/>
    </xf>
    <xf numFmtId="167" fontId="0" fillId="6" borderId="9" xfId="0" applyNumberFormat="1" applyFill="1" applyBorder="1"/>
    <xf numFmtId="167" fontId="11" fillId="6" borderId="9" xfId="0" applyNumberFormat="1" applyFont="1" applyFill="1" applyBorder="1"/>
    <xf numFmtId="0" fontId="11" fillId="9" borderId="9" xfId="0" applyFont="1" applyFill="1" applyBorder="1"/>
    <xf numFmtId="0" fontId="5" fillId="2" borderId="0" xfId="0" applyFont="1" applyFill="1"/>
    <xf numFmtId="2" fontId="11" fillId="6" borderId="4" xfId="0" applyNumberFormat="1" applyFont="1" applyFill="1" applyBorder="1"/>
    <xf numFmtId="2" fontId="11" fillId="4" borderId="4" xfId="0" applyNumberFormat="1" applyFont="1" applyFill="1" applyBorder="1"/>
    <xf numFmtId="169" fontId="0" fillId="4" borderId="4" xfId="0" applyNumberFormat="1" applyFill="1" applyBorder="1"/>
    <xf numFmtId="0" fontId="47" fillId="6" borderId="4" xfId="0" applyFont="1" applyFill="1" applyBorder="1"/>
    <xf numFmtId="0" fontId="27" fillId="4" borderId="14" xfId="0" applyFont="1" applyFill="1" applyBorder="1"/>
    <xf numFmtId="0" fontId="5" fillId="9" borderId="9" xfId="0" applyFont="1" applyFill="1" applyBorder="1" applyAlignment="1">
      <alignment horizontal="center" wrapText="1"/>
    </xf>
    <xf numFmtId="164" fontId="8" fillId="7" borderId="9" xfId="1" applyFont="1" applyFill="1" applyBorder="1" applyAlignment="1">
      <alignment horizontal="center"/>
    </xf>
    <xf numFmtId="0" fontId="0" fillId="9" borderId="9" xfId="0" applyFill="1" applyBorder="1"/>
    <xf numFmtId="0" fontId="0" fillId="8" borderId="6" xfId="0" applyFill="1" applyBorder="1"/>
    <xf numFmtId="2" fontId="0" fillId="8" borderId="4" xfId="0" applyNumberFormat="1" applyFill="1" applyBorder="1"/>
    <xf numFmtId="0" fontId="49" fillId="3" borderId="0" xfId="0" applyFont="1" applyFill="1"/>
    <xf numFmtId="0" fontId="11" fillId="4" borderId="5" xfId="0" applyFont="1" applyFill="1" applyBorder="1" applyAlignment="1">
      <alignment horizontal="right"/>
    </xf>
    <xf numFmtId="0" fontId="0" fillId="4" borderId="5" xfId="0" applyFill="1" applyBorder="1"/>
    <xf numFmtId="0" fontId="0" fillId="0" borderId="9" xfId="0" applyFill="1" applyBorder="1"/>
    <xf numFmtId="0" fontId="0" fillId="4" borderId="6" xfId="0" applyFill="1" applyBorder="1"/>
    <xf numFmtId="0" fontId="49" fillId="6" borderId="9" xfId="0" applyFont="1" applyFill="1" applyBorder="1" applyAlignment="1">
      <alignment horizontal="center"/>
    </xf>
    <xf numFmtId="0" fontId="5" fillId="0" borderId="0" xfId="0" quotePrefix="1" applyFont="1"/>
    <xf numFmtId="0" fontId="11" fillId="3" borderId="0" xfId="0" applyFont="1" applyFill="1"/>
    <xf numFmtId="169" fontId="0" fillId="4" borderId="9" xfId="0" applyNumberFormat="1" applyFill="1" applyBorder="1" applyAlignment="1">
      <alignment horizontal="center"/>
    </xf>
    <xf numFmtId="0" fontId="16" fillId="2" borderId="0" xfId="0" applyFont="1" applyFill="1" applyAlignment="1">
      <alignment horizontal="left"/>
    </xf>
    <xf numFmtId="0" fontId="11" fillId="9" borderId="9" xfId="0" applyFont="1" applyFill="1" applyBorder="1" applyAlignment="1">
      <alignment horizontal="left"/>
    </xf>
    <xf numFmtId="0" fontId="0" fillId="2" borderId="0" xfId="0" applyFill="1" applyAlignment="1">
      <alignment horizontal="left"/>
    </xf>
    <xf numFmtId="0" fontId="28" fillId="2" borderId="0" xfId="0" applyFont="1" applyFill="1" applyAlignment="1">
      <alignment horizontal="left"/>
    </xf>
    <xf numFmtId="0" fontId="50" fillId="2" borderId="0" xfId="0" applyFont="1" applyFill="1" applyAlignment="1">
      <alignment horizontal="left"/>
    </xf>
    <xf numFmtId="0" fontId="10" fillId="2" borderId="0" xfId="0" applyFont="1" applyFill="1" applyAlignment="1">
      <alignment horizontal="center"/>
    </xf>
    <xf numFmtId="0" fontId="34" fillId="2" borderId="0" xfId="0" applyFont="1" applyFill="1" applyBorder="1" applyAlignment="1">
      <alignment horizontal="center"/>
    </xf>
    <xf numFmtId="0" fontId="49" fillId="2" borderId="0" xfId="0" applyFont="1" applyFill="1" applyBorder="1" applyAlignment="1">
      <alignment horizontal="center"/>
    </xf>
    <xf numFmtId="0" fontId="27" fillId="3" borderId="0" xfId="0" applyFont="1" applyFill="1" applyBorder="1"/>
    <xf numFmtId="166" fontId="9" fillId="3" borderId="0" xfId="0" applyNumberFormat="1" applyFont="1" applyFill="1" applyBorder="1" applyAlignment="1">
      <alignment horizontal="center"/>
    </xf>
    <xf numFmtId="0" fontId="9" fillId="3" borderId="0" xfId="0" applyFont="1" applyFill="1" applyBorder="1"/>
    <xf numFmtId="169" fontId="9" fillId="3" borderId="0" xfId="0" applyNumberFormat="1" applyFont="1" applyFill="1" applyBorder="1" applyAlignment="1">
      <alignment horizontal="center"/>
    </xf>
    <xf numFmtId="0" fontId="4" fillId="3" borderId="0" xfId="0" applyFont="1" applyFill="1" applyBorder="1"/>
    <xf numFmtId="0" fontId="49" fillId="6" borderId="1" xfId="0" applyFont="1" applyFill="1" applyBorder="1" applyAlignment="1">
      <alignment horizontal="center" vertical="center"/>
    </xf>
    <xf numFmtId="0" fontId="0" fillId="4" borderId="23" xfId="0" applyFill="1" applyBorder="1"/>
    <xf numFmtId="0" fontId="50" fillId="4" borderId="7" xfId="0" applyFont="1" applyFill="1" applyBorder="1" applyAlignment="1">
      <alignment horizontal="left"/>
    </xf>
    <xf numFmtId="0" fontId="10" fillId="4" borderId="7" xfId="0" applyFont="1" applyFill="1" applyBorder="1" applyAlignment="1">
      <alignment horizontal="center"/>
    </xf>
    <xf numFmtId="0" fontId="10" fillId="4" borderId="8" xfId="0" applyFont="1" applyFill="1" applyBorder="1" applyAlignment="1">
      <alignment horizontal="center"/>
    </xf>
    <xf numFmtId="0" fontId="18" fillId="4" borderId="7" xfId="0" applyFont="1" applyFill="1" applyBorder="1" applyAlignment="1">
      <alignment horizontal="left"/>
    </xf>
    <xf numFmtId="0" fontId="41" fillId="4" borderId="23" xfId="0" applyFont="1" applyFill="1" applyBorder="1"/>
    <xf numFmtId="0" fontId="27" fillId="4" borderId="23" xfId="0" applyFont="1" applyFill="1" applyBorder="1"/>
    <xf numFmtId="0" fontId="5" fillId="2" borderId="0" xfId="0" applyFont="1" applyFill="1" applyAlignment="1">
      <alignment horizontal="center"/>
    </xf>
    <xf numFmtId="0" fontId="11" fillId="2" borderId="0" xfId="0" applyFont="1" applyFill="1" applyAlignment="1">
      <alignment horizontal="center" vertical="center"/>
    </xf>
    <xf numFmtId="0" fontId="42" fillId="2" borderId="0" xfId="0" applyFont="1" applyFill="1" applyAlignment="1">
      <alignment horizontal="center" vertical="center"/>
    </xf>
    <xf numFmtId="0" fontId="0" fillId="2" borderId="0" xfId="0" applyFill="1" applyAlignment="1">
      <alignment horizontal="center"/>
    </xf>
    <xf numFmtId="0" fontId="11" fillId="4" borderId="4" xfId="0" applyFont="1" applyFill="1" applyBorder="1"/>
    <xf numFmtId="0" fontId="12" fillId="2" borderId="0" xfId="0" quotePrefix="1" applyFont="1" applyFill="1" applyAlignment="1">
      <alignment horizontal="right"/>
    </xf>
    <xf numFmtId="0" fontId="4" fillId="2" borderId="0" xfId="0" applyFont="1" applyFill="1" applyAlignment="1">
      <alignment horizontal="center"/>
    </xf>
    <xf numFmtId="171" fontId="51" fillId="2" borderId="0" xfId="0" applyNumberFormat="1" applyFont="1" applyFill="1" applyBorder="1"/>
    <xf numFmtId="0" fontId="0" fillId="10" borderId="23" xfId="0" applyFill="1" applyBorder="1"/>
    <xf numFmtId="0" fontId="0" fillId="10" borderId="7" xfId="0" applyFill="1" applyBorder="1"/>
    <xf numFmtId="0" fontId="0" fillId="10" borderId="8" xfId="0" applyFill="1" applyBorder="1"/>
    <xf numFmtId="170" fontId="52" fillId="7" borderId="1" xfId="0" applyNumberFormat="1" applyFont="1" applyFill="1" applyBorder="1" applyAlignment="1">
      <alignment horizontal="center" vertical="center"/>
    </xf>
    <xf numFmtId="170" fontId="52" fillId="7" borderId="1" xfId="0" applyNumberFormat="1" applyFont="1" applyFill="1" applyBorder="1" applyAlignment="1">
      <alignment horizontal="center"/>
    </xf>
    <xf numFmtId="0" fontId="11" fillId="2" borderId="0" xfId="0" applyFont="1" applyFill="1" applyBorder="1"/>
    <xf numFmtId="0" fontId="11" fillId="2" borderId="0" xfId="0" applyFont="1" applyFill="1" applyAlignment="1">
      <alignment horizontal="right"/>
    </xf>
    <xf numFmtId="0" fontId="42" fillId="2" borderId="0" xfId="0" applyFont="1" applyFill="1"/>
    <xf numFmtId="167" fontId="0" fillId="6" borderId="9" xfId="0" applyNumberFormat="1" applyFill="1" applyBorder="1" applyAlignment="1">
      <alignment horizontal="center"/>
    </xf>
    <xf numFmtId="0" fontId="11" fillId="4" borderId="4" xfId="0" applyFont="1" applyFill="1" applyBorder="1" applyAlignment="1">
      <alignment horizontal="left"/>
    </xf>
    <xf numFmtId="0" fontId="0" fillId="4" borderId="5" xfId="0" applyFill="1" applyBorder="1" applyAlignment="1">
      <alignment horizontal="left"/>
    </xf>
    <xf numFmtId="0" fontId="0" fillId="4" borderId="6" xfId="0" applyFill="1" applyBorder="1" applyAlignment="1">
      <alignment horizontal="left"/>
    </xf>
    <xf numFmtId="169" fontId="11" fillId="0" borderId="0" xfId="0" applyNumberFormat="1" applyFont="1"/>
    <xf numFmtId="0" fontId="11" fillId="2" borderId="0" xfId="0" applyFont="1" applyFill="1" applyAlignment="1"/>
    <xf numFmtId="171" fontId="52" fillId="7" borderId="1" xfId="0" applyNumberFormat="1" applyFont="1" applyFill="1" applyBorder="1" applyAlignment="1">
      <alignment horizontal="center" vertical="center"/>
    </xf>
    <xf numFmtId="173" fontId="5" fillId="6" borderId="1" xfId="0" applyNumberFormat="1" applyFont="1" applyFill="1" applyBorder="1" applyAlignment="1">
      <alignment horizontal="center"/>
    </xf>
    <xf numFmtId="172" fontId="5" fillId="6" borderId="1" xfId="0" applyNumberFormat="1" applyFont="1" applyFill="1" applyBorder="1"/>
    <xf numFmtId="0" fontId="47" fillId="2" borderId="0" xfId="0" applyFont="1" applyFill="1" applyBorder="1" applyAlignment="1">
      <alignment horizontal="center"/>
    </xf>
    <xf numFmtId="0" fontId="47" fillId="6" borderId="1" xfId="0" applyFont="1" applyFill="1" applyBorder="1" applyAlignment="1">
      <alignment horizontal="center"/>
    </xf>
    <xf numFmtId="174" fontId="0" fillId="6" borderId="9" xfId="0" applyNumberFormat="1" applyFill="1" applyBorder="1" applyAlignment="1">
      <alignment horizontal="center"/>
    </xf>
    <xf numFmtId="169" fontId="0" fillId="4" borderId="11" xfId="0" applyNumberFormat="1" applyFill="1" applyBorder="1"/>
    <xf numFmtId="0" fontId="11" fillId="0" borderId="9" xfId="0" applyFont="1" applyFill="1" applyBorder="1" applyAlignment="1">
      <alignment horizontal="left"/>
    </xf>
    <xf numFmtId="0" fontId="11" fillId="0" borderId="9" xfId="0" applyFont="1" applyBorder="1"/>
    <xf numFmtId="0" fontId="0" fillId="0" borderId="9" xfId="0" applyBorder="1"/>
    <xf numFmtId="0" fontId="11" fillId="2" borderId="0" xfId="0" applyFont="1" applyFill="1" applyAlignment="1">
      <alignment horizontal="left"/>
    </xf>
    <xf numFmtId="0" fontId="53" fillId="2" borderId="0" xfId="0" applyFont="1" applyFill="1" applyAlignment="1">
      <alignment horizontal="center"/>
    </xf>
    <xf numFmtId="0" fontId="42" fillId="0" borderId="9" xfId="0" applyFont="1" applyFill="1" applyBorder="1" applyAlignment="1">
      <alignment horizontal="left"/>
    </xf>
    <xf numFmtId="175" fontId="52" fillId="7" borderId="1" xfId="0" applyNumberFormat="1" applyFont="1" applyFill="1" applyBorder="1" applyAlignment="1">
      <alignment horizontal="center"/>
    </xf>
    <xf numFmtId="0" fontId="42" fillId="0" borderId="9" xfId="0" applyFont="1" applyBorder="1"/>
    <xf numFmtId="171" fontId="0" fillId="2" borderId="0" xfId="0" applyNumberFormat="1" applyFill="1" applyBorder="1"/>
    <xf numFmtId="176" fontId="5" fillId="4" borderId="1" xfId="0" applyNumberFormat="1" applyFont="1" applyFill="1" applyBorder="1" applyAlignment="1">
      <alignment horizontal="center" vertical="center"/>
    </xf>
    <xf numFmtId="175" fontId="52" fillId="7" borderId="1" xfId="0" applyNumberFormat="1" applyFont="1" applyFill="1" applyBorder="1" applyAlignment="1">
      <alignment horizontal="center" vertical="center"/>
    </xf>
    <xf numFmtId="2" fontId="0" fillId="4" borderId="9" xfId="0" applyNumberFormat="1" applyFill="1" applyBorder="1"/>
    <xf numFmtId="173" fontId="47" fillId="6" borderId="1" xfId="0" applyNumberFormat="1" applyFont="1" applyFill="1" applyBorder="1" applyAlignment="1">
      <alignment horizontal="center" vertical="center"/>
    </xf>
    <xf numFmtId="172" fontId="54" fillId="6" borderId="1" xfId="0" applyNumberFormat="1" applyFont="1" applyFill="1" applyBorder="1" applyAlignment="1">
      <alignment horizontal="center" vertical="center"/>
    </xf>
    <xf numFmtId="177" fontId="52" fillId="7" borderId="1" xfId="0" applyNumberFormat="1" applyFont="1" applyFill="1" applyBorder="1" applyAlignment="1">
      <alignment horizontal="center" vertical="center"/>
    </xf>
    <xf numFmtId="0" fontId="0" fillId="4" borderId="24" xfId="0" applyFill="1" applyBorder="1"/>
    <xf numFmtId="0" fontId="29" fillId="4" borderId="25" xfId="0" applyFont="1" applyFill="1" applyBorder="1"/>
    <xf numFmtId="0" fontId="4" fillId="8" borderId="23" xfId="0" applyFont="1" applyFill="1" applyBorder="1"/>
    <xf numFmtId="0" fontId="0" fillId="8" borderId="8" xfId="0" applyFill="1" applyBorder="1"/>
    <xf numFmtId="0" fontId="4" fillId="8" borderId="8" xfId="0" applyFont="1" applyFill="1" applyBorder="1"/>
    <xf numFmtId="173" fontId="0" fillId="6" borderId="1" xfId="0" applyNumberFormat="1" applyFill="1" applyBorder="1"/>
    <xf numFmtId="172" fontId="0" fillId="6" borderId="1" xfId="0" applyNumberFormat="1" applyFill="1" applyBorder="1"/>
    <xf numFmtId="0" fontId="53" fillId="0" borderId="9" xfId="0" applyFont="1" applyFill="1" applyBorder="1" applyAlignment="1">
      <alignment horizontal="center"/>
    </xf>
    <xf numFmtId="0" fontId="47" fillId="6" borderId="9" xfId="0" applyFont="1" applyFill="1" applyBorder="1" applyAlignment="1">
      <alignment horizontal="center"/>
    </xf>
    <xf numFmtId="178" fontId="11" fillId="6" borderId="9" xfId="0" applyNumberFormat="1" applyFont="1" applyFill="1" applyBorder="1" applyAlignment="1">
      <alignment horizontal="center"/>
    </xf>
    <xf numFmtId="0" fontId="11" fillId="2" borderId="0" xfId="0" quotePrefix="1" applyFont="1" applyFill="1"/>
    <xf numFmtId="177" fontId="0" fillId="6" borderId="9" xfId="0" applyNumberFormat="1" applyFill="1" applyBorder="1" applyAlignment="1">
      <alignment horizontal="center"/>
    </xf>
    <xf numFmtId="177" fontId="52" fillId="7" borderId="1" xfId="0" applyNumberFormat="1" applyFont="1" applyFill="1" applyBorder="1" applyAlignment="1">
      <alignment horizontal="center"/>
    </xf>
    <xf numFmtId="173" fontId="0" fillId="2" borderId="0" xfId="0" applyNumberFormat="1" applyFill="1" applyBorder="1"/>
    <xf numFmtId="2" fontId="55" fillId="6" borderId="23" xfId="0" applyNumberFormat="1" applyFont="1" applyFill="1" applyBorder="1" applyAlignment="1">
      <alignment horizontal="right" vertical="center"/>
    </xf>
    <xf numFmtId="0" fontId="55" fillId="6" borderId="8" xfId="0" applyFont="1" applyFill="1" applyBorder="1" applyAlignment="1">
      <alignment horizontal="center" vertical="center"/>
    </xf>
    <xf numFmtId="0" fontId="0" fillId="0" borderId="0" xfId="0" applyFill="1" applyAlignment="1">
      <alignment horizontal="right"/>
    </xf>
    <xf numFmtId="169" fontId="7" fillId="2" borderId="0" xfId="0" applyNumberFormat="1" applyFont="1" applyFill="1" applyBorder="1" applyAlignment="1">
      <alignment horizontal="center"/>
    </xf>
    <xf numFmtId="0" fontId="11" fillId="3" borderId="0" xfId="0" applyFont="1" applyFill="1" applyBorder="1"/>
    <xf numFmtId="169" fontId="7" fillId="0" borderId="0" xfId="0" applyNumberFormat="1" applyFont="1" applyFill="1" applyBorder="1"/>
    <xf numFmtId="169" fontId="7" fillId="0" borderId="0" xfId="0" applyNumberFormat="1" applyFont="1"/>
    <xf numFmtId="2" fontId="7" fillId="0" borderId="0" xfId="0" applyNumberFormat="1" applyFont="1" applyFill="1" applyBorder="1"/>
    <xf numFmtId="165" fontId="0" fillId="0" borderId="0" xfId="0" applyNumberFormat="1" applyFill="1" applyAlignment="1">
      <alignment horizontal="right"/>
    </xf>
    <xf numFmtId="0" fontId="0" fillId="0" borderId="0" xfId="0" applyFill="1"/>
    <xf numFmtId="0" fontId="0" fillId="2" borderId="0" xfId="0" quotePrefix="1" applyFill="1"/>
    <xf numFmtId="0" fontId="5" fillId="4" borderId="14" xfId="0" applyFont="1" applyFill="1" applyBorder="1"/>
    <xf numFmtId="0" fontId="58" fillId="2" borderId="0" xfId="0" applyFont="1" applyFill="1" applyBorder="1"/>
    <xf numFmtId="0" fontId="59" fillId="2" borderId="0" xfId="0" applyFont="1" applyFill="1" applyBorder="1" applyAlignment="1">
      <alignment horizontal="center"/>
    </xf>
    <xf numFmtId="0" fontId="35" fillId="2" borderId="0" xfId="0" applyFont="1" applyFill="1" applyAlignment="1">
      <alignment horizontal="center"/>
    </xf>
    <xf numFmtId="0" fontId="35" fillId="2" borderId="0" xfId="0" applyFont="1" applyFill="1"/>
    <xf numFmtId="0" fontId="35" fillId="2" borderId="0" xfId="0" quotePrefix="1" applyFont="1" applyFill="1"/>
    <xf numFmtId="0" fontId="33" fillId="2" borderId="0" xfId="0" applyFont="1" applyFill="1"/>
    <xf numFmtId="0" fontId="27" fillId="2" borderId="0" xfId="0" applyFont="1" applyFill="1"/>
    <xf numFmtId="166" fontId="9" fillId="2" borderId="0" xfId="0" applyNumberFormat="1" applyFont="1" applyFill="1" applyAlignment="1">
      <alignment horizontal="center"/>
    </xf>
    <xf numFmtId="0" fontId="9" fillId="2" borderId="0" xfId="0" applyFont="1" applyFill="1"/>
    <xf numFmtId="169" fontId="9" fillId="2" borderId="0" xfId="0" applyNumberFormat="1" applyFont="1" applyFill="1" applyAlignment="1">
      <alignment horizontal="center"/>
    </xf>
    <xf numFmtId="39" fontId="9" fillId="2" borderId="0" xfId="0" applyNumberFormat="1" applyFont="1" applyFill="1"/>
    <xf numFmtId="169" fontId="9" fillId="2" borderId="0" xfId="0" applyNumberFormat="1" applyFont="1" applyFill="1"/>
    <xf numFmtId="0" fontId="45" fillId="2" borderId="0" xfId="0" applyFont="1" applyFill="1"/>
    <xf numFmtId="0" fontId="4" fillId="2" borderId="0" xfId="0" applyFont="1" applyFill="1"/>
    <xf numFmtId="179" fontId="9" fillId="2" borderId="0" xfId="0" applyNumberFormat="1" applyFont="1" applyFill="1"/>
    <xf numFmtId="0" fontId="34" fillId="5" borderId="9" xfId="0" applyFont="1" applyFill="1" applyBorder="1" applyAlignment="1">
      <alignment horizontal="center"/>
    </xf>
    <xf numFmtId="169" fontId="7" fillId="7" borderId="4" xfId="0" applyNumberFormat="1" applyFont="1" applyFill="1" applyBorder="1"/>
    <xf numFmtId="0" fontId="7" fillId="7" borderId="4" xfId="0" applyFont="1" applyFill="1" applyBorder="1"/>
    <xf numFmtId="2" fontId="7" fillId="7" borderId="4" xfId="0" applyNumberFormat="1" applyFont="1" applyFill="1" applyBorder="1"/>
    <xf numFmtId="0" fontId="60" fillId="4" borderId="14" xfId="0" applyFont="1" applyFill="1" applyBorder="1"/>
    <xf numFmtId="0" fontId="61" fillId="4" borderId="14" xfId="0" applyFont="1" applyFill="1" applyBorder="1"/>
    <xf numFmtId="0" fontId="60" fillId="3" borderId="0" xfId="0" applyFont="1" applyFill="1"/>
    <xf numFmtId="0" fontId="61" fillId="3" borderId="0" xfId="0" applyFont="1" applyFill="1"/>
    <xf numFmtId="0" fontId="0" fillId="0" borderId="9" xfId="0" applyBorder="1" applyAlignment="1">
      <alignment horizontal="center"/>
    </xf>
    <xf numFmtId="15" fontId="0" fillId="0" borderId="9" xfId="0" applyNumberFormat="1" applyBorder="1" applyAlignment="1">
      <alignment horizontal="center"/>
    </xf>
    <xf numFmtId="0" fontId="0" fillId="0" borderId="9" xfId="0" applyBorder="1" applyAlignment="1">
      <alignment horizontal="left" wrapText="1"/>
    </xf>
    <xf numFmtId="0" fontId="8" fillId="3" borderId="0" xfId="0" applyFont="1" applyFill="1" applyAlignment="1">
      <alignment horizontal="left"/>
    </xf>
    <xf numFmtId="0" fontId="5" fillId="3" borderId="2" xfId="0" applyFont="1" applyFill="1" applyBorder="1" applyAlignment="1">
      <alignment horizontal="center" vertical="top" wrapText="1"/>
    </xf>
    <xf numFmtId="0" fontId="5" fillId="3" borderId="26" xfId="0" applyFont="1" applyFill="1" applyBorder="1" applyAlignment="1">
      <alignment horizontal="center" wrapText="1"/>
    </xf>
    <xf numFmtId="0" fontId="5" fillId="3" borderId="26" xfId="0" applyFont="1" applyFill="1" applyBorder="1" applyAlignment="1">
      <alignment horizontal="center" vertical="top" wrapText="1"/>
    </xf>
    <xf numFmtId="0" fontId="5" fillId="0" borderId="9" xfId="0" applyFont="1" applyFill="1" applyBorder="1" applyAlignment="1">
      <alignment horizontal="center" vertical="top" wrapText="1"/>
    </xf>
    <xf numFmtId="0" fontId="5" fillId="0" borderId="9" xfId="0" applyFont="1" applyFill="1" applyBorder="1" applyAlignment="1">
      <alignment horizontal="center" wrapText="1"/>
    </xf>
    <xf numFmtId="0" fontId="11" fillId="0" borderId="9" xfId="0" applyFont="1" applyFill="1" applyBorder="1" applyAlignment="1">
      <alignment horizontal="center" vertical="top" wrapText="1"/>
    </xf>
    <xf numFmtId="15" fontId="11" fillId="0" borderId="9" xfId="0" applyNumberFormat="1" applyFont="1" applyFill="1" applyBorder="1" applyAlignment="1">
      <alignment horizontal="center" wrapText="1"/>
    </xf>
    <xf numFmtId="0" fontId="4" fillId="4" borderId="23" xfId="0" applyFont="1" applyFill="1" applyBorder="1" applyAlignment="1">
      <alignment horizontal="center"/>
    </xf>
    <xf numFmtId="0" fontId="4" fillId="4" borderId="8" xfId="0" applyFont="1" applyFill="1" applyBorder="1" applyAlignment="1">
      <alignment horizontal="center"/>
    </xf>
    <xf numFmtId="0" fontId="16" fillId="3" borderId="0" xfId="0" applyFont="1" applyFill="1" applyAlignment="1">
      <alignment horizontal="center"/>
    </xf>
    <xf numFmtId="0" fontId="4" fillId="2" borderId="0" xfId="0" applyFont="1" applyFill="1" applyAlignment="1">
      <alignment horizontal="center"/>
    </xf>
    <xf numFmtId="0" fontId="4" fillId="3" borderId="0" xfId="0" applyFont="1" applyFill="1" applyAlignment="1">
      <alignment horizontal="center"/>
    </xf>
    <xf numFmtId="0" fontId="9" fillId="2" borderId="0" xfId="0" applyFont="1" applyFill="1" applyAlignment="1">
      <alignment horizontal="center"/>
    </xf>
    <xf numFmtId="9" fontId="7" fillId="7" borderId="4" xfId="2" applyFont="1" applyFill="1" applyBorder="1" applyAlignment="1">
      <alignment horizontal="center"/>
    </xf>
    <xf numFmtId="9" fontId="7" fillId="7" borderId="6" xfId="2" applyFont="1" applyFill="1" applyBorder="1" applyAlignment="1">
      <alignment horizontal="center"/>
    </xf>
    <xf numFmtId="0" fontId="7" fillId="7" borderId="4" xfId="0" applyFont="1" applyFill="1" applyBorder="1" applyAlignment="1">
      <alignment horizontal="center"/>
    </xf>
    <xf numFmtId="0" fontId="7" fillId="7" borderId="6" xfId="0" applyFont="1" applyFill="1" applyBorder="1" applyAlignment="1">
      <alignment horizontal="center"/>
    </xf>
    <xf numFmtId="0" fontId="5" fillId="8" borderId="4" xfId="0" applyFont="1" applyFill="1" applyBorder="1" applyAlignment="1">
      <alignment horizontal="left"/>
    </xf>
    <xf numFmtId="0" fontId="5" fillId="8" borderId="5" xfId="0" applyFont="1" applyFill="1" applyBorder="1" applyAlignment="1">
      <alignment horizontal="left"/>
    </xf>
    <xf numFmtId="0" fontId="5" fillId="8" borderId="6" xfId="0" applyFont="1" applyFill="1" applyBorder="1" applyAlignment="1">
      <alignment horizontal="left"/>
    </xf>
    <xf numFmtId="0" fontId="42" fillId="4" borderId="4" xfId="0" applyFont="1" applyFill="1" applyBorder="1" applyAlignment="1">
      <alignment horizontal="center"/>
    </xf>
    <xf numFmtId="0" fontId="42" fillId="4" borderId="6" xfId="0" applyFont="1" applyFill="1" applyBorder="1" applyAlignment="1">
      <alignment horizontal="center"/>
    </xf>
    <xf numFmtId="0" fontId="4" fillId="2" borderId="0" xfId="0" applyFont="1" applyFill="1" applyBorder="1" applyAlignment="1">
      <alignment horizontal="center"/>
    </xf>
    <xf numFmtId="0" fontId="43" fillId="8" borderId="23" xfId="0" applyFont="1" applyFill="1" applyBorder="1" applyAlignment="1">
      <alignment horizontal="left"/>
    </xf>
    <xf numFmtId="0" fontId="43" fillId="8" borderId="7" xfId="0" applyFont="1" applyFill="1" applyBorder="1" applyAlignment="1">
      <alignment horizontal="left"/>
    </xf>
    <xf numFmtId="0" fontId="43" fillId="8" borderId="8" xfId="0" applyFont="1" applyFill="1" applyBorder="1" applyAlignment="1">
      <alignment horizontal="left"/>
    </xf>
    <xf numFmtId="0" fontId="43" fillId="8" borderId="4" xfId="0" applyFont="1" applyFill="1" applyBorder="1" applyAlignment="1">
      <alignment horizontal="center"/>
    </xf>
    <xf numFmtId="0" fontId="43" fillId="8" borderId="5" xfId="0" applyFont="1" applyFill="1" applyBorder="1" applyAlignment="1">
      <alignment horizontal="center"/>
    </xf>
    <xf numFmtId="0" fontId="43" fillId="8" borderId="6" xfId="0" applyFont="1" applyFill="1" applyBorder="1" applyAlignment="1">
      <alignment horizontal="center"/>
    </xf>
    <xf numFmtId="0" fontId="5" fillId="8" borderId="23" xfId="0" applyFont="1" applyFill="1" applyBorder="1" applyAlignment="1">
      <alignment horizontal="center"/>
    </xf>
    <xf numFmtId="0" fontId="5" fillId="8" borderId="7" xfId="0" applyFont="1" applyFill="1" applyBorder="1" applyAlignment="1">
      <alignment horizontal="center"/>
    </xf>
    <xf numFmtId="0" fontId="5" fillId="8" borderId="8" xfId="0" applyFont="1" applyFill="1" applyBorder="1" applyAlignment="1">
      <alignment horizontal="center"/>
    </xf>
    <xf numFmtId="0" fontId="11" fillId="4" borderId="4" xfId="0" applyFont="1" applyFill="1" applyBorder="1" applyAlignment="1">
      <alignment horizontal="center"/>
    </xf>
    <xf numFmtId="0" fontId="11" fillId="4" borderId="6" xfId="0" applyFont="1" applyFill="1" applyBorder="1" applyAlignment="1">
      <alignment horizontal="center"/>
    </xf>
    <xf numFmtId="0" fontId="11" fillId="2" borderId="0"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42" fillId="4" borderId="5" xfId="0" applyFont="1" applyFill="1" applyBorder="1" applyAlignment="1">
      <alignment horizontal="center"/>
    </xf>
    <xf numFmtId="0" fontId="4" fillId="8" borderId="23" xfId="0" applyFont="1" applyFill="1" applyBorder="1" applyAlignment="1">
      <alignment horizontal="center"/>
    </xf>
    <xf numFmtId="0" fontId="4" fillId="8" borderId="8" xfId="0" applyFont="1" applyFill="1" applyBorder="1" applyAlignment="1">
      <alignment horizontal="center"/>
    </xf>
    <xf numFmtId="0" fontId="11" fillId="4" borderId="5" xfId="0" applyFont="1" applyFill="1" applyBorder="1" applyAlignment="1">
      <alignment horizontal="center"/>
    </xf>
    <xf numFmtId="0" fontId="62" fillId="2" borderId="0" xfId="0" applyFont="1" applyFill="1" applyAlignment="1">
      <alignment horizontal="center"/>
    </xf>
    <xf numFmtId="0" fontId="56" fillId="2" borderId="0" xfId="0" applyFont="1" applyFill="1" applyAlignment="1">
      <alignment horizontal="center"/>
    </xf>
    <xf numFmtId="0" fontId="62" fillId="2" borderId="25" xfId="0" applyFont="1" applyFill="1" applyBorder="1" applyAlignment="1">
      <alignment horizontal="center"/>
    </xf>
    <xf numFmtId="0" fontId="8" fillId="2" borderId="25" xfId="0" applyFont="1" applyFill="1" applyBorder="1" applyAlignment="1">
      <alignment horizontal="center"/>
    </xf>
    <xf numFmtId="0" fontId="57" fillId="2" borderId="21" xfId="0" applyFont="1" applyFill="1" applyBorder="1" applyAlignment="1">
      <alignment horizontal="center"/>
    </xf>
  </cellXfs>
  <cellStyles count="3">
    <cellStyle name="Comma" xfId="1" builtinId="3"/>
    <cellStyle name="Normal" xfId="0" builtinId="0"/>
    <cellStyle name="Percent" xfId="2" builtinId="5"/>
  </cellStyles>
  <dxfs count="6">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785219399538105E-2"/>
          <c:y val="2.7500033569376935E-2"/>
          <c:w val="0.96535796766743653"/>
          <c:h val="0.9225011261000074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ser>
        <c:ser>
          <c:idx val="1"/>
          <c:order val="1"/>
          <c:spPr>
            <a:ln w="25400">
              <a:solidFill>
                <a:srgbClr val="0000FF"/>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ser>
        <c:dLbls>
          <c:showLegendKey val="0"/>
          <c:showVal val="0"/>
          <c:showCatName val="0"/>
          <c:showSerName val="0"/>
          <c:showPercent val="0"/>
          <c:showBubbleSize val="0"/>
        </c:dLbls>
        <c:axId val="111253376"/>
        <c:axId val="111254912"/>
      </c:scatterChart>
      <c:valAx>
        <c:axId val="111253376"/>
        <c:scaling>
          <c:orientation val="minMax"/>
          <c:max val="0.3000000000000001"/>
          <c:min val="-0.3000000000000001"/>
        </c:scaling>
        <c:delete val="1"/>
        <c:axPos val="b"/>
        <c:numFmt formatCode="General" sourceLinked="1"/>
        <c:majorTickMark val="out"/>
        <c:minorTickMark val="none"/>
        <c:tickLblPos val="none"/>
        <c:crossAx val="111254912"/>
        <c:crossesAt val="3.9499999999999997"/>
        <c:crossBetween val="midCat"/>
      </c:valAx>
      <c:valAx>
        <c:axId val="111254912"/>
        <c:scaling>
          <c:orientation val="minMax"/>
          <c:max val="4.03"/>
          <c:min val="3.98"/>
        </c:scaling>
        <c:delete val="1"/>
        <c:axPos val="l"/>
        <c:numFmt formatCode="General" sourceLinked="1"/>
        <c:majorTickMark val="out"/>
        <c:minorTickMark val="none"/>
        <c:tickLblPos val="none"/>
        <c:crossAx val="111253376"/>
        <c:crosses val="autoZero"/>
        <c:crossBetween val="midCat"/>
        <c:majorUnit val="1.0000000000000004E-2"/>
        <c:minorUnit val="2.0000000000000009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400050</xdr:colOff>
      <xdr:row>4</xdr:row>
      <xdr:rowOff>95250</xdr:rowOff>
    </xdr:from>
    <xdr:to>
      <xdr:col>8</xdr:col>
      <xdr:colOff>95250</xdr:colOff>
      <xdr:row>4</xdr:row>
      <xdr:rowOff>95250</xdr:rowOff>
    </xdr:to>
    <xdr:sp macro="" textlink="">
      <xdr:nvSpPr>
        <xdr:cNvPr id="8201" name="Line 3"/>
        <xdr:cNvSpPr>
          <a:spLocks noChangeShapeType="1"/>
        </xdr:cNvSpPr>
      </xdr:nvSpPr>
      <xdr:spPr bwMode="auto">
        <a:xfrm flipV="1">
          <a:off x="8782050" y="1266825"/>
          <a:ext cx="304800" cy="0"/>
        </a:xfrm>
        <a:prstGeom prst="line">
          <a:avLst/>
        </a:prstGeom>
        <a:noFill/>
        <a:ln w="9525">
          <a:solidFill>
            <a:srgbClr val="000000"/>
          </a:solidFill>
          <a:round/>
          <a:headEnd/>
          <a:tailEnd/>
        </a:ln>
      </xdr:spPr>
    </xdr:sp>
    <xdr:clientData/>
  </xdr:twoCellAnchor>
  <xdr:twoCellAnchor>
    <xdr:from>
      <xdr:col>8</xdr:col>
      <xdr:colOff>95250</xdr:colOff>
      <xdr:row>4</xdr:row>
      <xdr:rowOff>104775</xdr:rowOff>
    </xdr:from>
    <xdr:to>
      <xdr:col>8</xdr:col>
      <xdr:colOff>95250</xdr:colOff>
      <xdr:row>5</xdr:row>
      <xdr:rowOff>104775</xdr:rowOff>
    </xdr:to>
    <xdr:sp macro="" textlink="">
      <xdr:nvSpPr>
        <xdr:cNvPr id="8202" name="Line 4"/>
        <xdr:cNvSpPr>
          <a:spLocks noChangeShapeType="1"/>
        </xdr:cNvSpPr>
      </xdr:nvSpPr>
      <xdr:spPr bwMode="auto">
        <a:xfrm>
          <a:off x="9086850" y="1276350"/>
          <a:ext cx="0" cy="161925"/>
        </a:xfrm>
        <a:prstGeom prst="line">
          <a:avLst/>
        </a:prstGeom>
        <a:noFill/>
        <a:ln w="9525">
          <a:solidFill>
            <a:srgbClr val="000000"/>
          </a:solidFill>
          <a:round/>
          <a:headEnd/>
          <a:tailEnd type="triangle" w="med" len="med"/>
        </a:ln>
      </xdr:spPr>
    </xdr:sp>
    <xdr:clientData/>
  </xdr:twoCellAnchor>
  <xdr:twoCellAnchor>
    <xdr:from>
      <xdr:col>8</xdr:col>
      <xdr:colOff>123825</xdr:colOff>
      <xdr:row>7</xdr:row>
      <xdr:rowOff>66675</xdr:rowOff>
    </xdr:from>
    <xdr:to>
      <xdr:col>8</xdr:col>
      <xdr:colOff>123825</xdr:colOff>
      <xdr:row>8</xdr:row>
      <xdr:rowOff>142875</xdr:rowOff>
    </xdr:to>
    <xdr:sp macro="" textlink="">
      <xdr:nvSpPr>
        <xdr:cNvPr id="8203" name="Line 5"/>
        <xdr:cNvSpPr>
          <a:spLocks noChangeShapeType="1"/>
        </xdr:cNvSpPr>
      </xdr:nvSpPr>
      <xdr:spPr bwMode="auto">
        <a:xfrm>
          <a:off x="9115425" y="1781175"/>
          <a:ext cx="0" cy="276225"/>
        </a:xfrm>
        <a:prstGeom prst="line">
          <a:avLst/>
        </a:prstGeom>
        <a:noFill/>
        <a:ln w="9525">
          <a:solidFill>
            <a:srgbClr val="000000"/>
          </a:solidFill>
          <a:round/>
          <a:headEnd/>
          <a:tailEnd type="triangle" w="med" len="med"/>
        </a:ln>
      </xdr:spPr>
    </xdr:sp>
    <xdr:clientData/>
  </xdr:twoCellAnchor>
  <xdr:twoCellAnchor>
    <xdr:from>
      <xdr:col>8</xdr:col>
      <xdr:colOff>123825</xdr:colOff>
      <xdr:row>10</xdr:row>
      <xdr:rowOff>66675</xdr:rowOff>
    </xdr:from>
    <xdr:to>
      <xdr:col>8</xdr:col>
      <xdr:colOff>123825</xdr:colOff>
      <xdr:row>18</xdr:row>
      <xdr:rowOff>76200</xdr:rowOff>
    </xdr:to>
    <xdr:sp macro="" textlink="">
      <xdr:nvSpPr>
        <xdr:cNvPr id="8204" name="Line 6"/>
        <xdr:cNvSpPr>
          <a:spLocks noChangeShapeType="1"/>
        </xdr:cNvSpPr>
      </xdr:nvSpPr>
      <xdr:spPr bwMode="auto">
        <a:xfrm flipH="1">
          <a:off x="9115425" y="2362200"/>
          <a:ext cx="0" cy="1609725"/>
        </a:xfrm>
        <a:prstGeom prst="line">
          <a:avLst/>
        </a:prstGeom>
        <a:noFill/>
        <a:ln w="9525">
          <a:solidFill>
            <a:srgbClr val="000000"/>
          </a:solidFill>
          <a:round/>
          <a:headEnd/>
          <a:tailEnd type="triangle" w="med" len="med"/>
        </a:ln>
      </xdr:spPr>
    </xdr:sp>
    <xdr:clientData/>
  </xdr:twoCellAnchor>
  <xdr:twoCellAnchor>
    <xdr:from>
      <xdr:col>8</xdr:col>
      <xdr:colOff>133350</xdr:colOff>
      <xdr:row>20</xdr:row>
      <xdr:rowOff>57150</xdr:rowOff>
    </xdr:from>
    <xdr:to>
      <xdr:col>8</xdr:col>
      <xdr:colOff>133350</xdr:colOff>
      <xdr:row>21</xdr:row>
      <xdr:rowOff>171450</xdr:rowOff>
    </xdr:to>
    <xdr:sp macro="" textlink="">
      <xdr:nvSpPr>
        <xdr:cNvPr id="8205" name="Line 18"/>
        <xdr:cNvSpPr>
          <a:spLocks noChangeShapeType="1"/>
        </xdr:cNvSpPr>
      </xdr:nvSpPr>
      <xdr:spPr bwMode="auto">
        <a:xfrm>
          <a:off x="9124950" y="4371975"/>
          <a:ext cx="0" cy="314325"/>
        </a:xfrm>
        <a:prstGeom prst="line">
          <a:avLst/>
        </a:prstGeom>
        <a:noFill/>
        <a:ln w="9525">
          <a:solidFill>
            <a:srgbClr val="000000"/>
          </a:solidFill>
          <a:round/>
          <a:headEnd/>
          <a:tailEnd type="triangle" w="med" len="med"/>
        </a:ln>
      </xdr:spPr>
    </xdr:sp>
    <xdr:clientData/>
  </xdr:twoCellAnchor>
  <xdr:twoCellAnchor>
    <xdr:from>
      <xdr:col>6</xdr:col>
      <xdr:colOff>85725</xdr:colOff>
      <xdr:row>19</xdr:row>
      <xdr:rowOff>114300</xdr:rowOff>
    </xdr:from>
    <xdr:to>
      <xdr:col>7</xdr:col>
      <xdr:colOff>466725</xdr:colOff>
      <xdr:row>19</xdr:row>
      <xdr:rowOff>114300</xdr:rowOff>
    </xdr:to>
    <xdr:sp macro="" textlink="">
      <xdr:nvSpPr>
        <xdr:cNvPr id="8206" name="Line 19"/>
        <xdr:cNvSpPr>
          <a:spLocks noChangeShapeType="1"/>
        </xdr:cNvSpPr>
      </xdr:nvSpPr>
      <xdr:spPr bwMode="auto">
        <a:xfrm>
          <a:off x="7858125" y="4219575"/>
          <a:ext cx="990600" cy="0"/>
        </a:xfrm>
        <a:prstGeom prst="line">
          <a:avLst/>
        </a:prstGeom>
        <a:noFill/>
        <a:ln w="9525">
          <a:solidFill>
            <a:srgbClr val="000000"/>
          </a:solidFill>
          <a:round/>
          <a:headEnd/>
          <a:tailEnd type="triangle" w="med" len="med"/>
        </a:ln>
      </xdr:spPr>
    </xdr:sp>
    <xdr:clientData/>
  </xdr:twoCellAnchor>
  <xdr:twoCellAnchor>
    <xdr:from>
      <xdr:col>7</xdr:col>
      <xdr:colOff>266700</xdr:colOff>
      <xdr:row>21</xdr:row>
      <xdr:rowOff>57150</xdr:rowOff>
    </xdr:from>
    <xdr:to>
      <xdr:col>12</xdr:col>
      <xdr:colOff>142875</xdr:colOff>
      <xdr:row>24</xdr:row>
      <xdr:rowOff>142875</xdr:rowOff>
    </xdr:to>
    <xdr:sp macro="" textlink="">
      <xdr:nvSpPr>
        <xdr:cNvPr id="8207" name="Rectangle 22"/>
        <xdr:cNvSpPr>
          <a:spLocks noChangeArrowheads="1"/>
        </xdr:cNvSpPr>
      </xdr:nvSpPr>
      <xdr:spPr bwMode="auto">
        <a:xfrm>
          <a:off x="8648700" y="4572000"/>
          <a:ext cx="2085975" cy="666750"/>
        </a:xfrm>
        <a:prstGeom prst="rect">
          <a:avLst/>
        </a:prstGeom>
        <a:noFill/>
        <a:ln w="19050">
          <a:solidFill>
            <a:srgbClr val="339966"/>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20</xdr:row>
      <xdr:rowOff>76200</xdr:rowOff>
    </xdr:from>
    <xdr:to>
      <xdr:col>0</xdr:col>
      <xdr:colOff>228600</xdr:colOff>
      <xdr:row>21</xdr:row>
      <xdr:rowOff>123825</xdr:rowOff>
    </xdr:to>
    <xdr:sp macro="" textlink="">
      <xdr:nvSpPr>
        <xdr:cNvPr id="185173" name="Text Box 4"/>
        <xdr:cNvSpPr txBox="1">
          <a:spLocks noChangeArrowheads="1"/>
        </xdr:cNvSpPr>
      </xdr:nvSpPr>
      <xdr:spPr bwMode="auto">
        <a:xfrm>
          <a:off x="152400" y="3609975"/>
          <a:ext cx="76200" cy="209550"/>
        </a:xfrm>
        <a:prstGeom prst="rect">
          <a:avLst/>
        </a:prstGeom>
        <a:noFill/>
        <a:ln w="9525">
          <a:noFill/>
          <a:miter lim="800000"/>
          <a:headEnd/>
          <a:tailEnd/>
        </a:ln>
      </xdr:spPr>
    </xdr:sp>
    <xdr:clientData/>
  </xdr:twoCellAnchor>
  <xdr:twoCellAnchor>
    <xdr:from>
      <xdr:col>3</xdr:col>
      <xdr:colOff>9525</xdr:colOff>
      <xdr:row>5</xdr:row>
      <xdr:rowOff>0</xdr:rowOff>
    </xdr:from>
    <xdr:to>
      <xdr:col>16</xdr:col>
      <xdr:colOff>333375</xdr:colOff>
      <xdr:row>28</xdr:row>
      <xdr:rowOff>0</xdr:rowOff>
    </xdr:to>
    <xdr:graphicFrame macro="">
      <xdr:nvGraphicFramePr>
        <xdr:cNvPr id="18517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485775</xdr:colOff>
      <xdr:row>8</xdr:row>
      <xdr:rowOff>47625</xdr:rowOff>
    </xdr:from>
    <xdr:to>
      <xdr:col>9</xdr:col>
      <xdr:colOff>485775</xdr:colOff>
      <xdr:row>18</xdr:row>
      <xdr:rowOff>104775</xdr:rowOff>
    </xdr:to>
    <xdr:sp macro="" textlink="">
      <xdr:nvSpPr>
        <xdr:cNvPr id="185175" name="Line 11"/>
        <xdr:cNvSpPr>
          <a:spLocks noChangeShapeType="1"/>
        </xdr:cNvSpPr>
      </xdr:nvSpPr>
      <xdr:spPr bwMode="auto">
        <a:xfrm flipH="1">
          <a:off x="7553325" y="1638300"/>
          <a:ext cx="0" cy="1676400"/>
        </a:xfrm>
        <a:prstGeom prst="line">
          <a:avLst/>
        </a:prstGeom>
        <a:noFill/>
        <a:ln w="28575">
          <a:solidFill>
            <a:srgbClr val="000000"/>
          </a:solidFill>
          <a:round/>
          <a:headEnd type="triangle" w="med" len="med"/>
          <a:tailEnd type="triangle" w="med" len="med"/>
        </a:ln>
      </xdr:spPr>
    </xdr:sp>
    <xdr:clientData/>
  </xdr:twoCellAnchor>
  <xdr:twoCellAnchor>
    <xdr:from>
      <xdr:col>9</xdr:col>
      <xdr:colOff>485775</xdr:colOff>
      <xdr:row>6</xdr:row>
      <xdr:rowOff>9525</xdr:rowOff>
    </xdr:from>
    <xdr:to>
      <xdr:col>9</xdr:col>
      <xdr:colOff>485775</xdr:colOff>
      <xdr:row>26</xdr:row>
      <xdr:rowOff>114300</xdr:rowOff>
    </xdr:to>
    <xdr:sp macro="" textlink="">
      <xdr:nvSpPr>
        <xdr:cNvPr id="185176" name="Line 12"/>
        <xdr:cNvSpPr>
          <a:spLocks noChangeShapeType="1"/>
        </xdr:cNvSpPr>
      </xdr:nvSpPr>
      <xdr:spPr bwMode="auto">
        <a:xfrm>
          <a:off x="7553325" y="1276350"/>
          <a:ext cx="0" cy="3381375"/>
        </a:xfrm>
        <a:prstGeom prst="line">
          <a:avLst/>
        </a:prstGeom>
        <a:noFill/>
        <a:ln w="19050">
          <a:solidFill>
            <a:srgbClr val="000000"/>
          </a:solidFill>
          <a:round/>
          <a:headEnd/>
          <a:tailEnd type="triangle" w="med" len="med"/>
        </a:ln>
      </xdr:spPr>
    </xdr:sp>
    <xdr:clientData/>
  </xdr:twoCellAnchor>
  <xdr:twoCellAnchor>
    <xdr:from>
      <xdr:col>3</xdr:col>
      <xdr:colOff>238125</xdr:colOff>
      <xdr:row>7</xdr:row>
      <xdr:rowOff>57150</xdr:rowOff>
    </xdr:from>
    <xdr:to>
      <xdr:col>9</xdr:col>
      <xdr:colOff>485775</xdr:colOff>
      <xdr:row>22</xdr:row>
      <xdr:rowOff>133350</xdr:rowOff>
    </xdr:to>
    <xdr:sp macro="" textlink="">
      <xdr:nvSpPr>
        <xdr:cNvPr id="185177" name="Line 15"/>
        <xdr:cNvSpPr>
          <a:spLocks noChangeShapeType="1"/>
        </xdr:cNvSpPr>
      </xdr:nvSpPr>
      <xdr:spPr bwMode="auto">
        <a:xfrm flipV="1">
          <a:off x="3619500" y="1485900"/>
          <a:ext cx="3933825" cy="2505075"/>
        </a:xfrm>
        <a:prstGeom prst="line">
          <a:avLst/>
        </a:prstGeom>
        <a:noFill/>
        <a:ln w="9525">
          <a:solidFill>
            <a:srgbClr val="000000"/>
          </a:solidFill>
          <a:prstDash val="dash"/>
          <a:round/>
          <a:headEnd/>
          <a:tailEnd type="triangle" w="med" len="med"/>
        </a:ln>
      </xdr:spPr>
    </xdr:sp>
    <xdr:clientData/>
  </xdr:twoCellAnchor>
  <xdr:twoCellAnchor>
    <xdr:from>
      <xdr:col>3</xdr:col>
      <xdr:colOff>219075</xdr:colOff>
      <xdr:row>17</xdr:row>
      <xdr:rowOff>47625</xdr:rowOff>
    </xdr:from>
    <xdr:to>
      <xdr:col>7</xdr:col>
      <xdr:colOff>123825</xdr:colOff>
      <xdr:row>23</xdr:row>
      <xdr:rowOff>0</xdr:rowOff>
    </xdr:to>
    <xdr:sp macro="" textlink="">
      <xdr:nvSpPr>
        <xdr:cNvPr id="185178" name="Line 16"/>
        <xdr:cNvSpPr>
          <a:spLocks noChangeShapeType="1"/>
        </xdr:cNvSpPr>
      </xdr:nvSpPr>
      <xdr:spPr bwMode="auto">
        <a:xfrm flipV="1">
          <a:off x="3600450" y="3095625"/>
          <a:ext cx="2371725" cy="923925"/>
        </a:xfrm>
        <a:prstGeom prst="line">
          <a:avLst/>
        </a:prstGeom>
        <a:noFill/>
        <a:ln w="9525">
          <a:solidFill>
            <a:srgbClr val="FF0000"/>
          </a:solidFill>
          <a:round/>
          <a:headEnd/>
          <a:tailEnd/>
        </a:ln>
      </xdr:spPr>
    </xdr:sp>
    <xdr:clientData/>
  </xdr:twoCellAnchor>
  <xdr:twoCellAnchor>
    <xdr:from>
      <xdr:col>8</xdr:col>
      <xdr:colOff>352425</xdr:colOff>
      <xdr:row>7</xdr:row>
      <xdr:rowOff>57150</xdr:rowOff>
    </xdr:from>
    <xdr:to>
      <xdr:col>9</xdr:col>
      <xdr:colOff>485775</xdr:colOff>
      <xdr:row>7</xdr:row>
      <xdr:rowOff>57150</xdr:rowOff>
    </xdr:to>
    <xdr:sp macro="" textlink="">
      <xdr:nvSpPr>
        <xdr:cNvPr id="185179" name="Line 17"/>
        <xdr:cNvSpPr>
          <a:spLocks noChangeShapeType="1"/>
        </xdr:cNvSpPr>
      </xdr:nvSpPr>
      <xdr:spPr bwMode="auto">
        <a:xfrm flipH="1" flipV="1">
          <a:off x="6810375" y="1485900"/>
          <a:ext cx="742950" cy="0"/>
        </a:xfrm>
        <a:prstGeom prst="line">
          <a:avLst/>
        </a:prstGeom>
        <a:noFill/>
        <a:ln w="9525">
          <a:solidFill>
            <a:srgbClr val="000000"/>
          </a:solidFill>
          <a:round/>
          <a:headEnd/>
          <a:tailEnd type="triangle" w="med" len="med"/>
        </a:ln>
      </xdr:spPr>
    </xdr:sp>
    <xdr:clientData/>
  </xdr:twoCellAnchor>
  <xdr:twoCellAnchor>
    <xdr:from>
      <xdr:col>3</xdr:col>
      <xdr:colOff>238125</xdr:colOff>
      <xdr:row>23</xdr:row>
      <xdr:rowOff>19050</xdr:rowOff>
    </xdr:from>
    <xdr:to>
      <xdr:col>3</xdr:col>
      <xdr:colOff>533400</xdr:colOff>
      <xdr:row>27</xdr:row>
      <xdr:rowOff>76200</xdr:rowOff>
    </xdr:to>
    <xdr:sp macro="" textlink="">
      <xdr:nvSpPr>
        <xdr:cNvPr id="185180" name="Line 18"/>
        <xdr:cNvSpPr>
          <a:spLocks noChangeShapeType="1"/>
        </xdr:cNvSpPr>
      </xdr:nvSpPr>
      <xdr:spPr bwMode="auto">
        <a:xfrm>
          <a:off x="3619500" y="4038600"/>
          <a:ext cx="295275" cy="742950"/>
        </a:xfrm>
        <a:prstGeom prst="line">
          <a:avLst/>
        </a:prstGeom>
        <a:noFill/>
        <a:ln w="19050">
          <a:solidFill>
            <a:srgbClr val="000000"/>
          </a:solidFill>
          <a:round/>
          <a:headEnd/>
          <a:tailEnd type="triangle" w="med" len="med"/>
        </a:ln>
      </xdr:spPr>
    </xdr:sp>
    <xdr:clientData/>
  </xdr:twoCellAnchor>
  <xdr:twoCellAnchor>
    <xdr:from>
      <xdr:col>3</xdr:col>
      <xdr:colOff>257175</xdr:colOff>
      <xdr:row>22</xdr:row>
      <xdr:rowOff>133350</xdr:rowOff>
    </xdr:from>
    <xdr:to>
      <xdr:col>3</xdr:col>
      <xdr:colOff>485775</xdr:colOff>
      <xdr:row>23</xdr:row>
      <xdr:rowOff>142875</xdr:rowOff>
    </xdr:to>
    <xdr:sp macro="" textlink="">
      <xdr:nvSpPr>
        <xdr:cNvPr id="185181" name="Rectangle 19"/>
        <xdr:cNvSpPr>
          <a:spLocks noChangeArrowheads="1"/>
        </xdr:cNvSpPr>
      </xdr:nvSpPr>
      <xdr:spPr bwMode="auto">
        <a:xfrm rot="-1560000">
          <a:off x="3638550" y="3990975"/>
          <a:ext cx="228600" cy="171450"/>
        </a:xfrm>
        <a:prstGeom prst="rect">
          <a:avLst/>
        </a:prstGeom>
        <a:noFill/>
        <a:ln w="19050">
          <a:solidFill>
            <a:srgbClr val="000000"/>
          </a:solidFill>
          <a:miter lim="800000"/>
          <a:headEnd/>
          <a:tailEnd/>
        </a:ln>
      </xdr:spPr>
    </xdr:sp>
    <xdr:clientData/>
  </xdr:twoCellAnchor>
  <xdr:twoCellAnchor>
    <xdr:from>
      <xdr:col>3</xdr:col>
      <xdr:colOff>190500</xdr:colOff>
      <xdr:row>22</xdr:row>
      <xdr:rowOff>123825</xdr:rowOff>
    </xdr:from>
    <xdr:to>
      <xdr:col>3</xdr:col>
      <xdr:colOff>266700</xdr:colOff>
      <xdr:row>23</xdr:row>
      <xdr:rowOff>47625</xdr:rowOff>
    </xdr:to>
    <xdr:sp macro="" textlink="">
      <xdr:nvSpPr>
        <xdr:cNvPr id="185182" name="Oval 13"/>
        <xdr:cNvSpPr>
          <a:spLocks noChangeArrowheads="1"/>
        </xdr:cNvSpPr>
      </xdr:nvSpPr>
      <xdr:spPr bwMode="auto">
        <a:xfrm>
          <a:off x="3571875" y="3981450"/>
          <a:ext cx="76200" cy="85725"/>
        </a:xfrm>
        <a:prstGeom prst="ellipse">
          <a:avLst/>
        </a:prstGeom>
        <a:solidFill>
          <a:srgbClr val="FF9900"/>
        </a:solidFill>
        <a:ln w="9525">
          <a:solidFill>
            <a:srgbClr val="000000"/>
          </a:solidFill>
          <a:round/>
          <a:headEnd/>
          <a:tailEnd/>
        </a:ln>
      </xdr:spPr>
    </xdr:sp>
    <xdr:clientData/>
  </xdr:twoCellAnchor>
  <xdr:twoCellAnchor>
    <xdr:from>
      <xdr:col>9</xdr:col>
      <xdr:colOff>447675</xdr:colOff>
      <xdr:row>7</xdr:row>
      <xdr:rowOff>0</xdr:rowOff>
    </xdr:from>
    <xdr:to>
      <xdr:col>9</xdr:col>
      <xdr:colOff>523875</xdr:colOff>
      <xdr:row>7</xdr:row>
      <xdr:rowOff>85725</xdr:rowOff>
    </xdr:to>
    <xdr:sp macro="" textlink="">
      <xdr:nvSpPr>
        <xdr:cNvPr id="185183" name="Oval 10"/>
        <xdr:cNvSpPr>
          <a:spLocks noChangeArrowheads="1"/>
        </xdr:cNvSpPr>
      </xdr:nvSpPr>
      <xdr:spPr bwMode="auto">
        <a:xfrm>
          <a:off x="7515225" y="1428750"/>
          <a:ext cx="76200" cy="85725"/>
        </a:xfrm>
        <a:prstGeom prst="ellipse">
          <a:avLst/>
        </a:prstGeom>
        <a:solidFill>
          <a:srgbClr val="FF0000"/>
        </a:solidFill>
        <a:ln w="9525">
          <a:solidFill>
            <a:srgbClr val="000000"/>
          </a:solidFill>
          <a:round/>
          <a:headEnd/>
          <a:tailEnd/>
        </a:ln>
      </xdr:spPr>
    </xdr:sp>
    <xdr:clientData/>
  </xdr:twoCellAnchor>
  <xdr:oneCellAnchor>
    <xdr:from>
      <xdr:col>5</xdr:col>
      <xdr:colOff>485775</xdr:colOff>
      <xdr:row>25</xdr:row>
      <xdr:rowOff>76200</xdr:rowOff>
    </xdr:from>
    <xdr:ext cx="1018836" cy="179060"/>
    <xdr:sp macro="" textlink="">
      <xdr:nvSpPr>
        <xdr:cNvPr id="1044" name="Text Box 20"/>
        <xdr:cNvSpPr txBox="1">
          <a:spLocks noChangeArrowheads="1"/>
        </xdr:cNvSpPr>
      </xdr:nvSpPr>
      <xdr:spPr bwMode="auto">
        <a:xfrm>
          <a:off x="5086350" y="4419600"/>
          <a:ext cx="11239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542925</xdr:colOff>
      <xdr:row>26</xdr:row>
      <xdr:rowOff>9525</xdr:rowOff>
    </xdr:from>
    <xdr:to>
      <xdr:col>5</xdr:col>
      <xdr:colOff>409575</xdr:colOff>
      <xdr:row>26</xdr:row>
      <xdr:rowOff>152400</xdr:rowOff>
    </xdr:to>
    <xdr:sp macro="" textlink="">
      <xdr:nvSpPr>
        <xdr:cNvPr id="185185" name="Line 21"/>
        <xdr:cNvSpPr>
          <a:spLocks noChangeShapeType="1"/>
        </xdr:cNvSpPr>
      </xdr:nvSpPr>
      <xdr:spPr bwMode="auto">
        <a:xfrm flipH="1">
          <a:off x="3924300" y="4552950"/>
          <a:ext cx="1114425" cy="142875"/>
        </a:xfrm>
        <a:prstGeom prst="line">
          <a:avLst/>
        </a:prstGeom>
        <a:noFill/>
        <a:ln w="9525">
          <a:solidFill>
            <a:srgbClr val="000000"/>
          </a:solidFill>
          <a:round/>
          <a:headEnd/>
          <a:tailEnd type="arrow" w="med" len="med"/>
        </a:ln>
      </xdr:spPr>
    </xdr:sp>
    <xdr:clientData/>
  </xdr:twoCellAnchor>
  <xdr:twoCellAnchor>
    <xdr:from>
      <xdr:col>7</xdr:col>
      <xdr:colOff>333375</xdr:colOff>
      <xdr:row>26</xdr:row>
      <xdr:rowOff>9525</xdr:rowOff>
    </xdr:from>
    <xdr:to>
      <xdr:col>9</xdr:col>
      <xdr:colOff>314325</xdr:colOff>
      <xdr:row>26</xdr:row>
      <xdr:rowOff>66675</xdr:rowOff>
    </xdr:to>
    <xdr:sp macro="" textlink="">
      <xdr:nvSpPr>
        <xdr:cNvPr id="185186" name="Line 22"/>
        <xdr:cNvSpPr>
          <a:spLocks noChangeShapeType="1"/>
        </xdr:cNvSpPr>
      </xdr:nvSpPr>
      <xdr:spPr bwMode="auto">
        <a:xfrm>
          <a:off x="6181725" y="4552950"/>
          <a:ext cx="1200150" cy="57150"/>
        </a:xfrm>
        <a:prstGeom prst="line">
          <a:avLst/>
        </a:prstGeom>
        <a:noFill/>
        <a:ln w="9525">
          <a:solidFill>
            <a:srgbClr val="000000"/>
          </a:solidFill>
          <a:round/>
          <a:headEnd/>
          <a:tailEnd type="arrow" w="med" len="med"/>
        </a:ln>
      </xdr:spPr>
    </xdr:sp>
    <xdr:clientData/>
  </xdr:twoCellAnchor>
  <xdr:oneCellAnchor>
    <xdr:from>
      <xdr:col>10</xdr:col>
      <xdr:colOff>38100</xdr:colOff>
      <xdr:row>6</xdr:row>
      <xdr:rowOff>57150</xdr:rowOff>
    </xdr:from>
    <xdr:ext cx="613311" cy="178102"/>
    <xdr:sp macro="" textlink="">
      <xdr:nvSpPr>
        <xdr:cNvPr id="1047" name="Text Box 23"/>
        <xdr:cNvSpPr txBox="1">
          <a:spLocks noChangeArrowheads="1"/>
        </xdr:cNvSpPr>
      </xdr:nvSpPr>
      <xdr:spPr bwMode="auto">
        <a:xfrm>
          <a:off x="7686675" y="1323975"/>
          <a:ext cx="695325"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581025</xdr:colOff>
      <xdr:row>5</xdr:row>
      <xdr:rowOff>200025</xdr:rowOff>
    </xdr:from>
    <xdr:ext cx="771427" cy="181932"/>
    <xdr:sp macro="" textlink="">
      <xdr:nvSpPr>
        <xdr:cNvPr id="1048" name="Text Box 24"/>
        <xdr:cNvSpPr txBox="1">
          <a:spLocks noChangeArrowheads="1"/>
        </xdr:cNvSpPr>
      </xdr:nvSpPr>
      <xdr:spPr bwMode="auto">
        <a:xfrm>
          <a:off x="6400800" y="1238250"/>
          <a:ext cx="8191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504825</xdr:colOff>
      <xdr:row>20</xdr:row>
      <xdr:rowOff>133350</xdr:rowOff>
    </xdr:from>
    <xdr:ext cx="1050803" cy="180036"/>
    <xdr:sp macro="" textlink="">
      <xdr:nvSpPr>
        <xdr:cNvPr id="1049" name="Text Box 25"/>
        <xdr:cNvSpPr txBox="1">
          <a:spLocks noChangeArrowheads="1"/>
        </xdr:cNvSpPr>
      </xdr:nvSpPr>
      <xdr:spPr bwMode="auto">
        <a:xfrm>
          <a:off x="7572375" y="3667125"/>
          <a:ext cx="106990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66FF"/>
              </a:solidFill>
              <a:latin typeface="Arial"/>
              <a:cs typeface="Arial"/>
            </a:rPr>
            <a:t>Re</a:t>
          </a:r>
          <a:r>
            <a:rPr lang="en-US" sz="1000" b="0" i="0" strike="noStrike">
              <a:solidFill>
                <a:srgbClr val="0066FF"/>
              </a:solidFill>
              <a:latin typeface="Arial"/>
              <a:cs typeface="Arial"/>
            </a:rPr>
            <a:t> = 6378.136 km</a:t>
          </a:r>
        </a:p>
      </xdr:txBody>
    </xdr:sp>
    <xdr:clientData/>
  </xdr:oneCellAnchor>
  <xdr:oneCellAnchor>
    <xdr:from>
      <xdr:col>9</xdr:col>
      <xdr:colOff>533400</xdr:colOff>
      <xdr:row>12</xdr:row>
      <xdr:rowOff>38100</xdr:rowOff>
    </xdr:from>
    <xdr:ext cx="1713685" cy="180036"/>
    <xdr:sp macro="" textlink="">
      <xdr:nvSpPr>
        <xdr:cNvPr id="1050" name="Text Box 26"/>
        <xdr:cNvSpPr txBox="1">
          <a:spLocks noChangeArrowheads="1"/>
        </xdr:cNvSpPr>
      </xdr:nvSpPr>
      <xdr:spPr bwMode="auto">
        <a:xfrm>
          <a:off x="7600950" y="2276475"/>
          <a:ext cx="1789849"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66FF"/>
              </a:solidFill>
              <a:latin typeface="Arial"/>
              <a:cs typeface="Arial"/>
            </a:rPr>
            <a:t>h = </a:t>
          </a:r>
          <a:r>
            <a:rPr lang="en-US" sz="1000" b="0" i="0" strike="noStrike">
              <a:solidFill>
                <a:srgbClr val="0066FF"/>
              </a:solidFill>
              <a:latin typeface="Arial"/>
              <a:cs typeface="Arial"/>
            </a:rPr>
            <a:t>mean height above surface</a:t>
          </a:r>
        </a:p>
      </xdr:txBody>
    </xdr:sp>
    <xdr:clientData/>
  </xdr:oneCellAnchor>
  <xdr:oneCellAnchor>
    <xdr:from>
      <xdr:col>7</xdr:col>
      <xdr:colOff>19050</xdr:colOff>
      <xdr:row>15</xdr:row>
      <xdr:rowOff>47625</xdr:rowOff>
    </xdr:from>
    <xdr:ext cx="1525533" cy="180178"/>
    <xdr:sp macro="" textlink="">
      <xdr:nvSpPr>
        <xdr:cNvPr id="1051" name="Text Box 27"/>
        <xdr:cNvSpPr txBox="1">
          <a:spLocks noChangeArrowheads="1"/>
        </xdr:cNvSpPr>
      </xdr:nvSpPr>
      <xdr:spPr bwMode="auto">
        <a:xfrm>
          <a:off x="5867400" y="2771775"/>
          <a:ext cx="158274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800" b="1" i="0" strike="noStrike">
              <a:solidFill>
                <a:srgbClr val="000000"/>
              </a:solidFill>
              <a:latin typeface="Symbol"/>
            </a:rPr>
            <a:t>1</a:t>
          </a:r>
          <a:r>
            <a:rPr lang="en-US" sz="1000" b="0" i="0" strike="noStrike">
              <a:solidFill>
                <a:srgbClr val="000000"/>
              </a:solidFill>
              <a:latin typeface="Symbol"/>
            </a:rPr>
            <a:t>  = </a:t>
          </a:r>
          <a:r>
            <a:rPr lang="en-US" sz="1000" b="0" i="0" strike="noStrike">
              <a:solidFill>
                <a:srgbClr val="000000"/>
              </a:solidFill>
              <a:latin typeface="Arial" pitchFamily="34" charset="0"/>
              <a:cs typeface="Arial" pitchFamily="34" charset="0"/>
            </a:rPr>
            <a:t>Uplink </a:t>
          </a:r>
          <a:r>
            <a:rPr lang="en-US" sz="1000" b="0" i="0" strike="noStrike">
              <a:solidFill>
                <a:srgbClr val="000000"/>
              </a:solidFill>
              <a:latin typeface="Arial"/>
              <a:cs typeface="Arial"/>
            </a:rPr>
            <a:t>Elevation Angle</a:t>
          </a:r>
        </a:p>
      </xdr:txBody>
    </xdr:sp>
    <xdr:clientData/>
  </xdr:oneCellAnchor>
  <xdr:twoCellAnchor>
    <xdr:from>
      <xdr:col>6</xdr:col>
      <xdr:colOff>381712</xdr:colOff>
      <xdr:row>14</xdr:row>
      <xdr:rowOff>146784</xdr:rowOff>
    </xdr:from>
    <xdr:to>
      <xdr:col>6</xdr:col>
      <xdr:colOff>589837</xdr:colOff>
      <xdr:row>17</xdr:row>
      <xdr:rowOff>129438</xdr:rowOff>
    </xdr:to>
    <xdr:sp macro="" textlink="">
      <xdr:nvSpPr>
        <xdr:cNvPr id="94917" name="AutoShape 28"/>
        <xdr:cNvSpPr>
          <a:spLocks noChangeArrowheads="1"/>
        </xdr:cNvSpPr>
      </xdr:nvSpPr>
      <xdr:spPr bwMode="auto">
        <a:xfrm rot="3956580">
          <a:off x="5490310" y="2839161"/>
          <a:ext cx="468429" cy="208125"/>
        </a:xfrm>
        <a:prstGeom prst="circularArrow">
          <a:avLst/>
        </a:prstGeom>
        <a:solidFill>
          <a:srgbClr val="FFFFFF"/>
        </a:solidFill>
        <a:ln w="9525">
          <a:solidFill>
            <a:srgbClr val="000000"/>
          </a:solidFill>
          <a:miter lim="800000"/>
          <a:headEnd/>
          <a:tailEnd/>
        </a:ln>
      </xdr:spPr>
      <xdr:txBody>
        <a:bodyPr/>
        <a:lstStyle/>
        <a:p>
          <a:endParaRPr lang="en-US"/>
        </a:p>
      </xdr:txBody>
    </xdr:sp>
    <xdr:clientData/>
  </xdr:twoCellAnchor>
  <xdr:twoCellAnchor editAs="oneCell">
    <xdr:from>
      <xdr:col>3</xdr:col>
      <xdr:colOff>600075</xdr:colOff>
      <xdr:row>21</xdr:row>
      <xdr:rowOff>123825</xdr:rowOff>
    </xdr:from>
    <xdr:to>
      <xdr:col>6</xdr:col>
      <xdr:colOff>28575</xdr:colOff>
      <xdr:row>24</xdr:row>
      <xdr:rowOff>9525</xdr:rowOff>
    </xdr:to>
    <xdr:sp macro="" textlink="">
      <xdr:nvSpPr>
        <xdr:cNvPr id="1053" name="Text Box 29"/>
        <xdr:cNvSpPr txBox="1">
          <a:spLocks noChangeArrowheads="1"/>
        </xdr:cNvSpPr>
      </xdr:nvSpPr>
      <xdr:spPr bwMode="auto">
        <a:xfrm>
          <a:off x="3981450" y="3819525"/>
          <a:ext cx="1285875"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Uplink Earth Station</a:t>
          </a:r>
        </a:p>
      </xdr:txBody>
    </xdr:sp>
    <xdr:clientData/>
  </xdr:twoCellAnchor>
  <xdr:oneCellAnchor>
    <xdr:from>
      <xdr:col>7</xdr:col>
      <xdr:colOff>238125</xdr:colOff>
      <xdr:row>13</xdr:row>
      <xdr:rowOff>38100</xdr:rowOff>
    </xdr:from>
    <xdr:ext cx="1411903" cy="180036"/>
    <xdr:sp macro="" textlink="">
      <xdr:nvSpPr>
        <xdr:cNvPr id="1054" name="Text Box 30"/>
        <xdr:cNvSpPr txBox="1">
          <a:spLocks noChangeArrowheads="1"/>
        </xdr:cNvSpPr>
      </xdr:nvSpPr>
      <xdr:spPr bwMode="auto">
        <a:xfrm>
          <a:off x="6086475" y="2438400"/>
          <a:ext cx="1440523"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a:t>
          </a:r>
          <a:r>
            <a:rPr lang="en-US" sz="800" b="1" i="0" strike="noStrike">
              <a:solidFill>
                <a:srgbClr val="000000"/>
              </a:solidFill>
              <a:latin typeface="Arial"/>
              <a:cs typeface="Arial"/>
            </a:rPr>
            <a:t>1</a:t>
          </a:r>
          <a:r>
            <a:rPr lang="en-US" sz="1000" b="1" i="0" strike="noStrike">
              <a:solidFill>
                <a:srgbClr val="000000"/>
              </a:solidFill>
              <a:latin typeface="Arial"/>
              <a:cs typeface="Arial"/>
            </a:rPr>
            <a:t> </a:t>
          </a:r>
          <a:r>
            <a:rPr lang="en-US" sz="1000" b="0" i="0" strike="noStrike">
              <a:solidFill>
                <a:srgbClr val="000000"/>
              </a:solidFill>
              <a:latin typeface="Arial"/>
              <a:cs typeface="Arial"/>
            </a:rPr>
            <a:t>=  Uplink Slant Range</a:t>
          </a:r>
        </a:p>
      </xdr:txBody>
    </xdr:sp>
    <xdr:clientData/>
  </xdr:oneCellAnchor>
  <xdr:oneCellAnchor>
    <xdr:from>
      <xdr:col>10</xdr:col>
      <xdr:colOff>38100</xdr:colOff>
      <xdr:row>16</xdr:row>
      <xdr:rowOff>152400</xdr:rowOff>
    </xdr:from>
    <xdr:ext cx="537286" cy="183482"/>
    <xdr:sp macro="" textlink="">
      <xdr:nvSpPr>
        <xdr:cNvPr id="1055" name="Text Box 31"/>
        <xdr:cNvSpPr txBox="1">
          <a:spLocks noChangeArrowheads="1"/>
        </xdr:cNvSpPr>
      </xdr:nvSpPr>
      <xdr:spPr bwMode="auto">
        <a:xfrm>
          <a:off x="7686675" y="3038475"/>
          <a:ext cx="581025"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419100</xdr:colOff>
      <xdr:row>23</xdr:row>
      <xdr:rowOff>123825</xdr:rowOff>
    </xdr:from>
    <xdr:ext cx="2417892" cy="183388"/>
    <xdr:sp macro="" textlink="">
      <xdr:nvSpPr>
        <xdr:cNvPr id="1056" name="Text Box 32"/>
        <xdr:cNvSpPr txBox="1">
          <a:spLocks noChangeArrowheads="1"/>
        </xdr:cNvSpPr>
      </xdr:nvSpPr>
      <xdr:spPr bwMode="auto">
        <a:xfrm>
          <a:off x="8677275" y="4143375"/>
          <a:ext cx="2524125" cy="20955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14</xdr:col>
      <xdr:colOff>257175</xdr:colOff>
      <xdr:row>20</xdr:row>
      <xdr:rowOff>95250</xdr:rowOff>
    </xdr:from>
    <xdr:to>
      <xdr:col>14</xdr:col>
      <xdr:colOff>333375</xdr:colOff>
      <xdr:row>21</xdr:row>
      <xdr:rowOff>19050</xdr:rowOff>
    </xdr:to>
    <xdr:sp macro="" textlink="">
      <xdr:nvSpPr>
        <xdr:cNvPr id="185197" name="Oval 13"/>
        <xdr:cNvSpPr>
          <a:spLocks noChangeArrowheads="1"/>
        </xdr:cNvSpPr>
      </xdr:nvSpPr>
      <xdr:spPr bwMode="auto">
        <a:xfrm>
          <a:off x="10372725" y="3629025"/>
          <a:ext cx="76200" cy="85725"/>
        </a:xfrm>
        <a:prstGeom prst="ellipse">
          <a:avLst/>
        </a:prstGeom>
        <a:solidFill>
          <a:srgbClr val="FF9900"/>
        </a:solidFill>
        <a:ln w="9525">
          <a:solidFill>
            <a:srgbClr val="000000"/>
          </a:solidFill>
          <a:round/>
          <a:headEnd/>
          <a:tailEnd/>
        </a:ln>
      </xdr:spPr>
    </xdr:sp>
    <xdr:clientData/>
  </xdr:twoCellAnchor>
  <xdr:twoCellAnchor>
    <xdr:from>
      <xdr:col>9</xdr:col>
      <xdr:colOff>512716</xdr:colOff>
      <xdr:row>7</xdr:row>
      <xdr:rowOff>73171</xdr:rowOff>
    </xdr:from>
    <xdr:to>
      <xdr:col>14</xdr:col>
      <xdr:colOff>247650</xdr:colOff>
      <xdr:row>20</xdr:row>
      <xdr:rowOff>95250</xdr:rowOff>
    </xdr:to>
    <xdr:cxnSp macro="">
      <xdr:nvCxnSpPr>
        <xdr:cNvPr id="30" name="Straight Arrow Connector 29"/>
        <xdr:cNvCxnSpPr>
          <a:stCxn id="185183" idx="5"/>
        </xdr:cNvCxnSpPr>
      </xdr:nvCxnSpPr>
      <xdr:spPr bwMode="auto">
        <a:xfrm rot="16200000" flipH="1">
          <a:off x="7908181" y="1174006"/>
          <a:ext cx="2127104" cy="2782934"/>
        </a:xfrm>
        <a:prstGeom prst="straightConnector1">
          <a:avLst/>
        </a:prstGeom>
        <a:ln>
          <a:prstDash val="dash"/>
          <a:headEnd type="none"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47625</xdr:colOff>
      <xdr:row>17</xdr:row>
      <xdr:rowOff>66675</xdr:rowOff>
    </xdr:from>
    <xdr:to>
      <xdr:col>14</xdr:col>
      <xdr:colOff>295275</xdr:colOff>
      <xdr:row>20</xdr:row>
      <xdr:rowOff>142875</xdr:rowOff>
    </xdr:to>
    <xdr:sp macro="" textlink="">
      <xdr:nvSpPr>
        <xdr:cNvPr id="185199" name="Line 16"/>
        <xdr:cNvSpPr>
          <a:spLocks noChangeShapeType="1"/>
        </xdr:cNvSpPr>
      </xdr:nvSpPr>
      <xdr:spPr bwMode="auto">
        <a:xfrm>
          <a:off x="8334375" y="3114675"/>
          <a:ext cx="2076450" cy="561975"/>
        </a:xfrm>
        <a:prstGeom prst="line">
          <a:avLst/>
        </a:prstGeom>
        <a:noFill/>
        <a:ln w="9525">
          <a:solidFill>
            <a:srgbClr val="FF0000"/>
          </a:solidFill>
          <a:round/>
          <a:headEnd/>
          <a:tailEnd/>
        </a:ln>
      </xdr:spPr>
    </xdr:sp>
    <xdr:clientData/>
  </xdr:twoCellAnchor>
  <xdr:oneCellAnchor>
    <xdr:from>
      <xdr:col>11</xdr:col>
      <xdr:colOff>190500</xdr:colOff>
      <xdr:row>15</xdr:row>
      <xdr:rowOff>76201</xdr:rowOff>
    </xdr:from>
    <xdr:ext cx="1190626" cy="616515"/>
    <xdr:sp macro="" textlink="">
      <xdr:nvSpPr>
        <xdr:cNvPr id="33" name="TextBox 32"/>
        <xdr:cNvSpPr txBox="1"/>
      </xdr:nvSpPr>
      <xdr:spPr>
        <a:xfrm>
          <a:off x="8477250" y="2800351"/>
          <a:ext cx="1190626" cy="61651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en-US" sz="1100" b="1" i="0">
              <a:solidFill>
                <a:schemeClr val="tx1"/>
              </a:solidFill>
              <a:latin typeface="Symbol" pitchFamily="18" charset="2"/>
              <a:ea typeface="+mn-ea"/>
              <a:cs typeface="+mn-cs"/>
            </a:rPr>
            <a:t>d</a:t>
          </a:r>
          <a:r>
            <a:rPr lang="en-US" sz="800" b="1" i="0">
              <a:solidFill>
                <a:schemeClr val="tx1"/>
              </a:solidFill>
              <a:latin typeface="Symbol" pitchFamily="18" charset="2"/>
              <a:ea typeface="+mn-ea"/>
              <a:cs typeface="+mn-cs"/>
            </a:rPr>
            <a:t>2</a:t>
          </a:r>
          <a:r>
            <a:rPr lang="en-US" sz="1100" b="0" i="0">
              <a:solidFill>
                <a:schemeClr val="tx1"/>
              </a:solidFill>
              <a:latin typeface="+mn-lt"/>
              <a:ea typeface="+mn-ea"/>
              <a:cs typeface="+mn-cs"/>
            </a:rPr>
            <a:t>  = Downlink Elevation Angle</a:t>
          </a:r>
          <a:endParaRPr lang="en-US"/>
        </a:p>
        <a:p>
          <a:endParaRPr lang="en-US" sz="1100"/>
        </a:p>
      </xdr:txBody>
    </xdr:sp>
    <xdr:clientData/>
  </xdr:oneCellAnchor>
  <xdr:twoCellAnchor>
    <xdr:from>
      <xdr:col>11</xdr:col>
      <xdr:colOff>245769</xdr:colOff>
      <xdr:row>13</xdr:row>
      <xdr:rowOff>11386</xdr:rowOff>
    </xdr:from>
    <xdr:to>
      <xdr:col>11</xdr:col>
      <xdr:colOff>492317</xdr:colOff>
      <xdr:row>17</xdr:row>
      <xdr:rowOff>140215</xdr:rowOff>
    </xdr:to>
    <xdr:sp macro="" textlink="">
      <xdr:nvSpPr>
        <xdr:cNvPr id="34" name="AutoShape 28"/>
        <xdr:cNvSpPr>
          <a:spLocks noChangeArrowheads="1"/>
        </xdr:cNvSpPr>
      </xdr:nvSpPr>
      <xdr:spPr bwMode="auto">
        <a:xfrm rot="18025518">
          <a:off x="8267528" y="2676677"/>
          <a:ext cx="776529" cy="246548"/>
        </a:xfrm>
        <a:prstGeom prst="circularArrow">
          <a:avLst/>
        </a:prstGeom>
        <a:solidFill>
          <a:srgbClr val="FFFFFF"/>
        </a:solidFill>
        <a:ln w="9525">
          <a:solidFill>
            <a:srgbClr val="000000"/>
          </a:solidFill>
          <a:miter lim="800000"/>
          <a:headEnd/>
          <a:tailEnd/>
        </a:ln>
      </xdr:spPr>
      <xdr:txBody>
        <a:bodyPr/>
        <a:lstStyle/>
        <a:p>
          <a:endParaRPr lang="en-US"/>
        </a:p>
      </xdr:txBody>
    </xdr:sp>
    <xdr:clientData/>
  </xdr:twoCellAnchor>
  <xdr:oneCellAnchor>
    <xdr:from>
      <xdr:col>11</xdr:col>
      <xdr:colOff>142875</xdr:colOff>
      <xdr:row>9</xdr:row>
      <xdr:rowOff>114300</xdr:rowOff>
    </xdr:from>
    <xdr:ext cx="194454" cy="255111"/>
    <xdr:sp macro="" textlink="">
      <xdr:nvSpPr>
        <xdr:cNvPr id="35" name="TextBox 34"/>
        <xdr:cNvSpPr txBox="1"/>
      </xdr:nvSpPr>
      <xdr:spPr>
        <a:xfrm>
          <a:off x="8439150" y="186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10</xdr:col>
      <xdr:colOff>476250</xdr:colOff>
      <xdr:row>9</xdr:row>
      <xdr:rowOff>76200</xdr:rowOff>
    </xdr:from>
    <xdr:ext cx="1482523" cy="218702"/>
    <xdr:sp macro="" textlink="">
      <xdr:nvSpPr>
        <xdr:cNvPr id="37" name="TextBox 36"/>
        <xdr:cNvSpPr txBox="1"/>
      </xdr:nvSpPr>
      <xdr:spPr>
        <a:xfrm>
          <a:off x="8153400" y="1828800"/>
          <a:ext cx="1615570" cy="25673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050" b="1"/>
            <a:t>S</a:t>
          </a:r>
          <a:r>
            <a:rPr lang="en-US" sz="800" b="1"/>
            <a:t>2</a:t>
          </a:r>
          <a:r>
            <a:rPr lang="en-US" sz="1050" b="1" baseline="0"/>
            <a:t> = </a:t>
          </a:r>
          <a:r>
            <a:rPr lang="en-US" sz="1050" b="0" baseline="0"/>
            <a:t>Downlink Slant Range</a:t>
          </a:r>
          <a:endParaRPr lang="en-US" sz="1050" b="1"/>
        </a:p>
      </xdr:txBody>
    </xdr:sp>
    <xdr:clientData/>
  </xdr:oneCellAnchor>
  <xdr:oneCellAnchor>
    <xdr:from>
      <xdr:col>11</xdr:col>
      <xdr:colOff>571500</xdr:colOff>
      <xdr:row>20</xdr:row>
      <xdr:rowOff>38100</xdr:rowOff>
    </xdr:from>
    <xdr:ext cx="1416820" cy="226766"/>
    <xdr:sp macro="" textlink="">
      <xdr:nvSpPr>
        <xdr:cNvPr id="38" name="TextBox 37"/>
        <xdr:cNvSpPr txBox="1"/>
      </xdr:nvSpPr>
      <xdr:spPr>
        <a:xfrm>
          <a:off x="8858250" y="3571875"/>
          <a:ext cx="1502399"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Downlink Earth Station</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10</xdr:col>
      <xdr:colOff>600075</xdr:colOff>
      <xdr:row>16</xdr:row>
      <xdr:rowOff>85725</xdr:rowOff>
    </xdr:from>
    <xdr:to>
      <xdr:col>12</xdr:col>
      <xdr:colOff>0</xdr:colOff>
      <xdr:row>16</xdr:row>
      <xdr:rowOff>85725</xdr:rowOff>
    </xdr:to>
    <xdr:cxnSp macro="">
      <xdr:nvCxnSpPr>
        <xdr:cNvPr id="207475" name="Straight Arrow Connector 2"/>
        <xdr:cNvCxnSpPr>
          <a:cxnSpLocks noChangeShapeType="1"/>
        </xdr:cNvCxnSpPr>
      </xdr:nvCxnSpPr>
      <xdr:spPr bwMode="auto">
        <a:xfrm rot="10800000">
          <a:off x="9696450" y="2800350"/>
          <a:ext cx="638175" cy="0"/>
        </a:xfrm>
        <a:prstGeom prst="straightConnector1">
          <a:avLst/>
        </a:prstGeom>
        <a:noFill/>
        <a:ln w="9525" algn="ctr">
          <a:solidFill>
            <a:srgbClr val="000000"/>
          </a:solidFill>
          <a:round/>
          <a:headEnd/>
          <a:tailEnd type="triangle" w="med" len="med"/>
        </a:ln>
      </xdr:spPr>
    </xdr:cxnSp>
    <xdr:clientData/>
  </xdr:twoCellAnchor>
  <xdr:twoCellAnchor>
    <xdr:from>
      <xdr:col>11</xdr:col>
      <xdr:colOff>9525</xdr:colOff>
      <xdr:row>18</xdr:row>
      <xdr:rowOff>85725</xdr:rowOff>
    </xdr:from>
    <xdr:to>
      <xdr:col>11</xdr:col>
      <xdr:colOff>457200</xdr:colOff>
      <xdr:row>21</xdr:row>
      <xdr:rowOff>28575</xdr:rowOff>
    </xdr:to>
    <xdr:cxnSp macro="">
      <xdr:nvCxnSpPr>
        <xdr:cNvPr id="207476" name="Straight Arrow Connector 7"/>
        <xdr:cNvCxnSpPr>
          <a:cxnSpLocks noChangeShapeType="1"/>
        </xdr:cNvCxnSpPr>
      </xdr:nvCxnSpPr>
      <xdr:spPr bwMode="auto">
        <a:xfrm rot="10800000">
          <a:off x="9715500" y="3124200"/>
          <a:ext cx="447675" cy="428625"/>
        </a:xfrm>
        <a:prstGeom prst="straightConnector1">
          <a:avLst/>
        </a:prstGeom>
        <a:noFill/>
        <a:ln w="9525" algn="ctr">
          <a:solidFill>
            <a:srgbClr val="000000"/>
          </a:solidFill>
          <a:round/>
          <a:headEnd/>
          <a:tailEnd type="triangle" w="med" len="med"/>
        </a:ln>
      </xdr:spPr>
    </xdr:cxnSp>
    <xdr:clientData/>
  </xdr:twoCellAnchor>
  <xdr:twoCellAnchor>
    <xdr:from>
      <xdr:col>1</xdr:col>
      <xdr:colOff>28575</xdr:colOff>
      <xdr:row>44</xdr:row>
      <xdr:rowOff>85725</xdr:rowOff>
    </xdr:from>
    <xdr:to>
      <xdr:col>1</xdr:col>
      <xdr:colOff>647700</xdr:colOff>
      <xdr:row>47</xdr:row>
      <xdr:rowOff>47625</xdr:rowOff>
    </xdr:to>
    <xdr:sp macro="" textlink="">
      <xdr:nvSpPr>
        <xdr:cNvPr id="207477" name="Isosceles Triangle 4"/>
        <xdr:cNvSpPr>
          <a:spLocks noChangeArrowheads="1"/>
        </xdr:cNvSpPr>
      </xdr:nvSpPr>
      <xdr:spPr bwMode="auto">
        <a:xfrm rot="10800000">
          <a:off x="752475" y="7467600"/>
          <a:ext cx="619125" cy="447675"/>
        </a:xfrm>
        <a:prstGeom prst="triangle">
          <a:avLst>
            <a:gd name="adj" fmla="val 51537"/>
          </a:avLst>
        </a:prstGeom>
        <a:solidFill>
          <a:srgbClr val="FFFFFF"/>
        </a:solidFill>
        <a:ln w="9525" algn="ctr">
          <a:solidFill>
            <a:srgbClr val="000000"/>
          </a:solidFill>
          <a:round/>
          <a:headEnd/>
          <a:tailEnd/>
        </a:ln>
      </xdr:spPr>
    </xdr:sp>
    <xdr:clientData/>
  </xdr:twoCellAnchor>
  <xdr:twoCellAnchor>
    <xdr:from>
      <xdr:col>1</xdr:col>
      <xdr:colOff>323850</xdr:colOff>
      <xdr:row>44</xdr:row>
      <xdr:rowOff>85725</xdr:rowOff>
    </xdr:from>
    <xdr:to>
      <xdr:col>1</xdr:col>
      <xdr:colOff>323850</xdr:colOff>
      <xdr:row>51</xdr:row>
      <xdr:rowOff>57150</xdr:rowOff>
    </xdr:to>
    <xdr:cxnSp macro="">
      <xdr:nvCxnSpPr>
        <xdr:cNvPr id="207478" name="Straight Connector 6"/>
        <xdr:cNvCxnSpPr>
          <a:cxnSpLocks noChangeShapeType="1"/>
          <a:stCxn id="207477" idx="3"/>
        </xdr:cNvCxnSpPr>
      </xdr:nvCxnSpPr>
      <xdr:spPr bwMode="auto">
        <a:xfrm rot="-5400000" flipH="1" flipV="1">
          <a:off x="495300" y="8020050"/>
          <a:ext cx="1104900" cy="0"/>
        </a:xfrm>
        <a:prstGeom prst="line">
          <a:avLst/>
        </a:prstGeom>
        <a:noFill/>
        <a:ln w="19050" algn="ctr">
          <a:solidFill>
            <a:srgbClr val="000000"/>
          </a:solidFill>
          <a:round/>
          <a:headEnd/>
          <a:tailEnd/>
        </a:ln>
      </xdr:spPr>
    </xdr:cxnSp>
    <xdr:clientData/>
  </xdr:twoCellAnchor>
  <xdr:twoCellAnchor>
    <xdr:from>
      <xdr:col>1</xdr:col>
      <xdr:colOff>314325</xdr:colOff>
      <xdr:row>51</xdr:row>
      <xdr:rowOff>57150</xdr:rowOff>
    </xdr:from>
    <xdr:to>
      <xdr:col>1</xdr:col>
      <xdr:colOff>1371600</xdr:colOff>
      <xdr:row>51</xdr:row>
      <xdr:rowOff>57150</xdr:rowOff>
    </xdr:to>
    <xdr:cxnSp macro="">
      <xdr:nvCxnSpPr>
        <xdr:cNvPr id="207479" name="Straight Connector 14"/>
        <xdr:cNvCxnSpPr>
          <a:cxnSpLocks noChangeShapeType="1"/>
        </xdr:cNvCxnSpPr>
      </xdr:nvCxnSpPr>
      <xdr:spPr bwMode="auto">
        <a:xfrm>
          <a:off x="1038225" y="8572500"/>
          <a:ext cx="1057275" cy="0"/>
        </a:xfrm>
        <a:prstGeom prst="line">
          <a:avLst/>
        </a:prstGeom>
        <a:noFill/>
        <a:ln w="19050" algn="ctr">
          <a:solidFill>
            <a:srgbClr val="000000"/>
          </a:solidFill>
          <a:round/>
          <a:headEnd/>
          <a:tailEnd/>
        </a:ln>
      </xdr:spPr>
    </xdr:cxnSp>
    <xdr:clientData/>
  </xdr:twoCellAnchor>
  <xdr:twoCellAnchor>
    <xdr:from>
      <xdr:col>1</xdr:col>
      <xdr:colOff>1362075</xdr:colOff>
      <xdr:row>49</xdr:row>
      <xdr:rowOff>133350</xdr:rowOff>
    </xdr:from>
    <xdr:to>
      <xdr:col>1</xdr:col>
      <xdr:colOff>2190750</xdr:colOff>
      <xdr:row>52</xdr:row>
      <xdr:rowOff>142875</xdr:rowOff>
    </xdr:to>
    <xdr:sp macro="" textlink="">
      <xdr:nvSpPr>
        <xdr:cNvPr id="207480" name="Rectangle 20"/>
        <xdr:cNvSpPr>
          <a:spLocks noChangeArrowheads="1"/>
        </xdr:cNvSpPr>
      </xdr:nvSpPr>
      <xdr:spPr bwMode="auto">
        <a:xfrm>
          <a:off x="2085975" y="8324850"/>
          <a:ext cx="828675" cy="495300"/>
        </a:xfrm>
        <a:prstGeom prst="rect">
          <a:avLst/>
        </a:prstGeom>
        <a:solidFill>
          <a:srgbClr val="FFFFFF"/>
        </a:solidFill>
        <a:ln w="9525" algn="ctr">
          <a:solidFill>
            <a:srgbClr val="000000"/>
          </a:solidFill>
          <a:round/>
          <a:headEnd/>
          <a:tailEnd/>
        </a:ln>
      </xdr:spPr>
    </xdr:sp>
    <xdr:clientData/>
  </xdr:twoCellAnchor>
  <xdr:twoCellAnchor>
    <xdr:from>
      <xdr:col>12</xdr:col>
      <xdr:colOff>28575</xdr:colOff>
      <xdr:row>50</xdr:row>
      <xdr:rowOff>66675</xdr:rowOff>
    </xdr:from>
    <xdr:to>
      <xdr:col>13</xdr:col>
      <xdr:colOff>247650</xdr:colOff>
      <xdr:row>53</xdr:row>
      <xdr:rowOff>76200</xdr:rowOff>
    </xdr:to>
    <xdr:sp macro="" textlink="">
      <xdr:nvSpPr>
        <xdr:cNvPr id="207481" name="Rectangle 25"/>
        <xdr:cNvSpPr>
          <a:spLocks noChangeArrowheads="1"/>
        </xdr:cNvSpPr>
      </xdr:nvSpPr>
      <xdr:spPr bwMode="auto">
        <a:xfrm>
          <a:off x="10363200" y="8420100"/>
          <a:ext cx="828675" cy="495300"/>
        </a:xfrm>
        <a:prstGeom prst="rect">
          <a:avLst/>
        </a:prstGeom>
        <a:solidFill>
          <a:srgbClr val="FFFFFF"/>
        </a:solidFill>
        <a:ln w="9525" algn="ctr">
          <a:solidFill>
            <a:srgbClr val="000000"/>
          </a:solidFill>
          <a:round/>
          <a:headEnd/>
          <a:tailEnd/>
        </a:ln>
      </xdr:spPr>
    </xdr:sp>
    <xdr:clientData/>
  </xdr:twoCellAnchor>
  <xdr:twoCellAnchor>
    <xdr:from>
      <xdr:col>14</xdr:col>
      <xdr:colOff>123825</xdr:colOff>
      <xdr:row>44</xdr:row>
      <xdr:rowOff>133350</xdr:rowOff>
    </xdr:from>
    <xdr:to>
      <xdr:col>15</xdr:col>
      <xdr:colOff>133350</xdr:colOff>
      <xdr:row>47</xdr:row>
      <xdr:rowOff>95250</xdr:rowOff>
    </xdr:to>
    <xdr:sp macro="" textlink="">
      <xdr:nvSpPr>
        <xdr:cNvPr id="207482" name="Isosceles Triangle 26"/>
        <xdr:cNvSpPr>
          <a:spLocks noChangeArrowheads="1"/>
        </xdr:cNvSpPr>
      </xdr:nvSpPr>
      <xdr:spPr bwMode="auto">
        <a:xfrm rot="10800000">
          <a:off x="11677650" y="7515225"/>
          <a:ext cx="628650" cy="447675"/>
        </a:xfrm>
        <a:prstGeom prst="triangle">
          <a:avLst>
            <a:gd name="adj" fmla="val 51537"/>
          </a:avLst>
        </a:prstGeom>
        <a:solidFill>
          <a:srgbClr val="FFFFFF"/>
        </a:solidFill>
        <a:ln w="9525" algn="ctr">
          <a:solidFill>
            <a:srgbClr val="000000"/>
          </a:solidFill>
          <a:round/>
          <a:headEnd/>
          <a:tailEnd/>
        </a:ln>
      </xdr:spPr>
    </xdr:sp>
    <xdr:clientData/>
  </xdr:twoCellAnchor>
  <xdr:twoCellAnchor>
    <xdr:from>
      <xdr:col>14</xdr:col>
      <xdr:colOff>419100</xdr:colOff>
      <xdr:row>44</xdr:row>
      <xdr:rowOff>133350</xdr:rowOff>
    </xdr:from>
    <xdr:to>
      <xdr:col>14</xdr:col>
      <xdr:colOff>428625</xdr:colOff>
      <xdr:row>51</xdr:row>
      <xdr:rowOff>142875</xdr:rowOff>
    </xdr:to>
    <xdr:cxnSp macro="">
      <xdr:nvCxnSpPr>
        <xdr:cNvPr id="207483" name="Straight Connector 27"/>
        <xdr:cNvCxnSpPr>
          <a:cxnSpLocks noChangeShapeType="1"/>
          <a:stCxn id="207482" idx="3"/>
        </xdr:cNvCxnSpPr>
      </xdr:nvCxnSpPr>
      <xdr:spPr bwMode="auto">
        <a:xfrm rot="16200000" flipH="1">
          <a:off x="11406188" y="8081962"/>
          <a:ext cx="1143000" cy="9525"/>
        </a:xfrm>
        <a:prstGeom prst="line">
          <a:avLst/>
        </a:prstGeom>
        <a:noFill/>
        <a:ln w="19050" algn="ctr">
          <a:solidFill>
            <a:srgbClr val="000000"/>
          </a:solidFill>
          <a:round/>
          <a:headEnd/>
          <a:tailEnd/>
        </a:ln>
      </xdr:spPr>
    </xdr:cxnSp>
    <xdr:clientData/>
  </xdr:twoCellAnchor>
  <xdr:twoCellAnchor>
    <xdr:from>
      <xdr:col>13</xdr:col>
      <xdr:colOff>238125</xdr:colOff>
      <xdr:row>51</xdr:row>
      <xdr:rowOff>152400</xdr:rowOff>
    </xdr:from>
    <xdr:to>
      <xdr:col>14</xdr:col>
      <xdr:colOff>438150</xdr:colOff>
      <xdr:row>51</xdr:row>
      <xdr:rowOff>152400</xdr:rowOff>
    </xdr:to>
    <xdr:cxnSp macro="">
      <xdr:nvCxnSpPr>
        <xdr:cNvPr id="207484" name="Straight Connector 28"/>
        <xdr:cNvCxnSpPr>
          <a:cxnSpLocks noChangeShapeType="1"/>
        </xdr:cNvCxnSpPr>
      </xdr:nvCxnSpPr>
      <xdr:spPr bwMode="auto">
        <a:xfrm>
          <a:off x="11182350" y="8667750"/>
          <a:ext cx="809625" cy="0"/>
        </a:xfrm>
        <a:prstGeom prst="line">
          <a:avLst/>
        </a:prstGeom>
        <a:noFill/>
        <a:ln w="19050" algn="ctr">
          <a:solidFill>
            <a:srgbClr val="000000"/>
          </a:solidFill>
          <a:round/>
          <a:headEnd/>
          <a:tailEnd/>
        </a:ln>
      </xdr:spPr>
    </xdr:cxnSp>
    <xdr:clientData/>
  </xdr:twoCellAnchor>
  <xdr:twoCellAnchor>
    <xdr:from>
      <xdr:col>1</xdr:col>
      <xdr:colOff>2190750</xdr:colOff>
      <xdr:row>51</xdr:row>
      <xdr:rowOff>57150</xdr:rowOff>
    </xdr:from>
    <xdr:to>
      <xdr:col>12</xdr:col>
      <xdr:colOff>28575</xdr:colOff>
      <xdr:row>51</xdr:row>
      <xdr:rowOff>152400</xdr:rowOff>
    </xdr:to>
    <xdr:cxnSp macro="">
      <xdr:nvCxnSpPr>
        <xdr:cNvPr id="207485" name="Straight Connector 35"/>
        <xdr:cNvCxnSpPr>
          <a:cxnSpLocks noChangeShapeType="1"/>
          <a:stCxn id="207480" idx="3"/>
          <a:endCxn id="207481" idx="1"/>
        </xdr:cNvCxnSpPr>
      </xdr:nvCxnSpPr>
      <xdr:spPr bwMode="auto">
        <a:xfrm>
          <a:off x="2914650" y="8572500"/>
          <a:ext cx="7448550" cy="95250"/>
        </a:xfrm>
        <a:prstGeom prst="line">
          <a:avLst/>
        </a:prstGeom>
        <a:noFill/>
        <a:ln w="19050" algn="ctr">
          <a:solidFill>
            <a:srgbClr val="000000"/>
          </a:solidFill>
          <a:round/>
          <a:headEnd/>
          <a:tailEnd/>
        </a:ln>
      </xdr:spPr>
    </xdr:cxnSp>
    <xdr:clientData/>
  </xdr:twoCellAnchor>
  <xdr:twoCellAnchor>
    <xdr:from>
      <xdr:col>2</xdr:col>
      <xdr:colOff>161924</xdr:colOff>
      <xdr:row>49</xdr:row>
      <xdr:rowOff>71441</xdr:rowOff>
    </xdr:from>
    <xdr:to>
      <xdr:col>3</xdr:col>
      <xdr:colOff>128587</xdr:colOff>
      <xdr:row>53</xdr:row>
      <xdr:rowOff>66681</xdr:rowOff>
    </xdr:to>
    <xdr:sp macro="" textlink="">
      <xdr:nvSpPr>
        <xdr:cNvPr id="17" name="Isosceles Triangle 16"/>
        <xdr:cNvSpPr/>
      </xdr:nvSpPr>
      <xdr:spPr bwMode="auto">
        <a:xfrm rot="5400000">
          <a:off x="3119436" y="7953379"/>
          <a:ext cx="642940" cy="576263"/>
        </a:xfrm>
        <a:prstGeom prst="triangl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lang="en-US" sz="1100"/>
            <a:t>  LNA</a:t>
          </a:r>
        </a:p>
      </xdr:txBody>
    </xdr:sp>
    <xdr:clientData/>
  </xdr:twoCellAnchor>
  <xdr:twoCellAnchor>
    <xdr:from>
      <xdr:col>3</xdr:col>
      <xdr:colOff>409575</xdr:colOff>
      <xdr:row>50</xdr:row>
      <xdr:rowOff>9525</xdr:rowOff>
    </xdr:from>
    <xdr:to>
      <xdr:col>4</xdr:col>
      <xdr:colOff>219075</xdr:colOff>
      <xdr:row>53</xdr:row>
      <xdr:rowOff>0</xdr:rowOff>
    </xdr:to>
    <xdr:sp macro="" textlink="">
      <xdr:nvSpPr>
        <xdr:cNvPr id="207487" name="Isosceles Triangle 17"/>
        <xdr:cNvSpPr>
          <a:spLocks noChangeArrowheads="1"/>
        </xdr:cNvSpPr>
      </xdr:nvSpPr>
      <xdr:spPr bwMode="auto">
        <a:xfrm rot="5400000">
          <a:off x="4143375" y="8391525"/>
          <a:ext cx="476250" cy="419100"/>
        </a:xfrm>
        <a:prstGeom prst="triangle">
          <a:avLst>
            <a:gd name="adj" fmla="val 50000"/>
          </a:avLst>
        </a:prstGeom>
        <a:solidFill>
          <a:srgbClr val="FFFFFF"/>
        </a:solidFill>
        <a:ln w="9525" algn="ctr">
          <a:solidFill>
            <a:srgbClr val="000000"/>
          </a:solidFill>
          <a:round/>
          <a:headEnd/>
          <a:tailEnd/>
        </a:ln>
      </xdr:spPr>
    </xdr:sp>
    <xdr:clientData/>
  </xdr:twoCellAnchor>
  <xdr:twoCellAnchor>
    <xdr:from>
      <xdr:col>4</xdr:col>
      <xdr:colOff>514350</xdr:colOff>
      <xdr:row>50</xdr:row>
      <xdr:rowOff>19050</xdr:rowOff>
    </xdr:from>
    <xdr:to>
      <xdr:col>5</xdr:col>
      <xdr:colOff>352425</xdr:colOff>
      <xdr:row>52</xdr:row>
      <xdr:rowOff>142875</xdr:rowOff>
    </xdr:to>
    <xdr:sp macro="" textlink="">
      <xdr:nvSpPr>
        <xdr:cNvPr id="207488" name="Oval 18"/>
        <xdr:cNvSpPr>
          <a:spLocks noChangeArrowheads="1"/>
        </xdr:cNvSpPr>
      </xdr:nvSpPr>
      <xdr:spPr bwMode="auto">
        <a:xfrm>
          <a:off x="4886325" y="8372475"/>
          <a:ext cx="447675" cy="447675"/>
        </a:xfrm>
        <a:prstGeom prst="ellipse">
          <a:avLst/>
        </a:prstGeom>
        <a:solidFill>
          <a:srgbClr val="FFFFFF"/>
        </a:solidFill>
        <a:ln w="9525" algn="ctr">
          <a:solidFill>
            <a:srgbClr val="000000"/>
          </a:solidFill>
          <a:round/>
          <a:headEnd/>
          <a:tailEnd/>
        </a:ln>
      </xdr:spPr>
    </xdr:sp>
    <xdr:clientData/>
  </xdr:twoCellAnchor>
  <xdr:twoCellAnchor>
    <xdr:from>
      <xdr:col>6</xdr:col>
      <xdr:colOff>114300</xdr:colOff>
      <xdr:row>50</xdr:row>
      <xdr:rowOff>19050</xdr:rowOff>
    </xdr:from>
    <xdr:to>
      <xdr:col>6</xdr:col>
      <xdr:colOff>533400</xdr:colOff>
      <xdr:row>53</xdr:row>
      <xdr:rowOff>9525</xdr:rowOff>
    </xdr:to>
    <xdr:sp macro="" textlink="">
      <xdr:nvSpPr>
        <xdr:cNvPr id="207489" name="Isosceles Triangle 19"/>
        <xdr:cNvSpPr>
          <a:spLocks noChangeArrowheads="1"/>
        </xdr:cNvSpPr>
      </xdr:nvSpPr>
      <xdr:spPr bwMode="auto">
        <a:xfrm rot="5400000">
          <a:off x="5676900" y="8401050"/>
          <a:ext cx="476250" cy="419100"/>
        </a:xfrm>
        <a:prstGeom prst="triangle">
          <a:avLst>
            <a:gd name="adj" fmla="val 50000"/>
          </a:avLst>
        </a:prstGeom>
        <a:solidFill>
          <a:srgbClr val="FFFFFF"/>
        </a:solidFill>
        <a:ln w="9525" algn="ctr">
          <a:solidFill>
            <a:srgbClr val="000000"/>
          </a:solidFill>
          <a:round/>
          <a:headEnd/>
          <a:tailEnd/>
        </a:ln>
      </xdr:spPr>
    </xdr:sp>
    <xdr:clientData/>
  </xdr:twoCellAnchor>
  <xdr:twoCellAnchor>
    <xdr:from>
      <xdr:col>7</xdr:col>
      <xdr:colOff>152400</xdr:colOff>
      <xdr:row>50</xdr:row>
      <xdr:rowOff>19050</xdr:rowOff>
    </xdr:from>
    <xdr:to>
      <xdr:col>7</xdr:col>
      <xdr:colOff>981075</xdr:colOff>
      <xdr:row>53</xdr:row>
      <xdr:rowOff>28575</xdr:rowOff>
    </xdr:to>
    <xdr:sp macro="" textlink="">
      <xdr:nvSpPr>
        <xdr:cNvPr id="207490" name="Rectangle 15"/>
        <xdr:cNvSpPr>
          <a:spLocks noChangeArrowheads="1"/>
        </xdr:cNvSpPr>
      </xdr:nvSpPr>
      <xdr:spPr bwMode="auto">
        <a:xfrm>
          <a:off x="6353175" y="8372475"/>
          <a:ext cx="828675" cy="495300"/>
        </a:xfrm>
        <a:prstGeom prst="rect">
          <a:avLst/>
        </a:prstGeom>
        <a:solidFill>
          <a:srgbClr val="FFFFFF"/>
        </a:solidFill>
        <a:ln w="9525" algn="ctr">
          <a:solidFill>
            <a:srgbClr val="000000"/>
          </a:solidFill>
          <a:round/>
          <a:headEnd/>
          <a:tailEnd/>
        </a:ln>
      </xdr:spPr>
    </xdr:sp>
    <xdr:clientData/>
  </xdr:twoCellAnchor>
  <xdr:twoCellAnchor>
    <xdr:from>
      <xdr:col>7</xdr:col>
      <xdr:colOff>1304925</xdr:colOff>
      <xdr:row>50</xdr:row>
      <xdr:rowOff>38100</xdr:rowOff>
    </xdr:from>
    <xdr:to>
      <xdr:col>7</xdr:col>
      <xdr:colOff>1724025</xdr:colOff>
      <xdr:row>53</xdr:row>
      <xdr:rowOff>28575</xdr:rowOff>
    </xdr:to>
    <xdr:sp macro="" textlink="">
      <xdr:nvSpPr>
        <xdr:cNvPr id="207491" name="Isosceles Triangle 21"/>
        <xdr:cNvSpPr>
          <a:spLocks noChangeArrowheads="1"/>
        </xdr:cNvSpPr>
      </xdr:nvSpPr>
      <xdr:spPr bwMode="auto">
        <a:xfrm rot="5400000">
          <a:off x="7477125" y="8420100"/>
          <a:ext cx="476250" cy="419100"/>
        </a:xfrm>
        <a:prstGeom prst="triangle">
          <a:avLst>
            <a:gd name="adj" fmla="val 50000"/>
          </a:avLst>
        </a:prstGeom>
        <a:solidFill>
          <a:srgbClr val="FFFFFF"/>
        </a:solidFill>
        <a:ln w="9525" algn="ctr">
          <a:solidFill>
            <a:srgbClr val="000000"/>
          </a:solidFill>
          <a:round/>
          <a:headEnd/>
          <a:tailEnd/>
        </a:ln>
      </xdr:spPr>
    </xdr:sp>
    <xdr:clientData/>
  </xdr:twoCellAnchor>
  <xdr:twoCellAnchor>
    <xdr:from>
      <xdr:col>7</xdr:col>
      <xdr:colOff>1933575</xdr:colOff>
      <xdr:row>50</xdr:row>
      <xdr:rowOff>66675</xdr:rowOff>
    </xdr:from>
    <xdr:to>
      <xdr:col>9</xdr:col>
      <xdr:colOff>95250</xdr:colOff>
      <xdr:row>53</xdr:row>
      <xdr:rowOff>28575</xdr:rowOff>
    </xdr:to>
    <xdr:sp macro="" textlink="">
      <xdr:nvSpPr>
        <xdr:cNvPr id="207492" name="Oval 22"/>
        <xdr:cNvSpPr>
          <a:spLocks noChangeArrowheads="1"/>
        </xdr:cNvSpPr>
      </xdr:nvSpPr>
      <xdr:spPr bwMode="auto">
        <a:xfrm>
          <a:off x="8134350" y="8420100"/>
          <a:ext cx="447675" cy="447675"/>
        </a:xfrm>
        <a:prstGeom prst="ellipse">
          <a:avLst/>
        </a:prstGeom>
        <a:solidFill>
          <a:srgbClr val="FFFFFF"/>
        </a:solidFill>
        <a:ln w="9525" algn="ctr">
          <a:solidFill>
            <a:srgbClr val="000000"/>
          </a:solidFill>
          <a:round/>
          <a:headEnd/>
          <a:tailEnd/>
        </a:ln>
      </xdr:spPr>
    </xdr:sp>
    <xdr:clientData/>
  </xdr:twoCellAnchor>
  <xdr:twoCellAnchor>
    <xdr:from>
      <xdr:col>9</xdr:col>
      <xdr:colOff>295275</xdr:colOff>
      <xdr:row>50</xdr:row>
      <xdr:rowOff>57157</xdr:rowOff>
    </xdr:from>
    <xdr:to>
      <xdr:col>10</xdr:col>
      <xdr:colOff>104775</xdr:colOff>
      <xdr:row>53</xdr:row>
      <xdr:rowOff>47633</xdr:rowOff>
    </xdr:to>
    <xdr:sp macro="" textlink="">
      <xdr:nvSpPr>
        <xdr:cNvPr id="24" name="Isosceles Triangle 23"/>
        <xdr:cNvSpPr/>
      </xdr:nvSpPr>
      <xdr:spPr bwMode="auto">
        <a:xfrm rot="5400000">
          <a:off x="8591549" y="8096258"/>
          <a:ext cx="476251" cy="419100"/>
        </a:xfrm>
        <a:prstGeom prst="triangl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a:t>  A</a:t>
          </a:r>
        </a:p>
      </xdr:txBody>
    </xdr:sp>
    <xdr:clientData/>
  </xdr:twoCellAnchor>
  <xdr:twoCellAnchor>
    <xdr:from>
      <xdr:col>10</xdr:col>
      <xdr:colOff>314325</xdr:colOff>
      <xdr:row>49</xdr:row>
      <xdr:rowOff>142875</xdr:rowOff>
    </xdr:from>
    <xdr:to>
      <xdr:col>11</xdr:col>
      <xdr:colOff>276225</xdr:colOff>
      <xdr:row>53</xdr:row>
      <xdr:rowOff>133350</xdr:rowOff>
    </xdr:to>
    <xdr:sp macro="" textlink="">
      <xdr:nvSpPr>
        <xdr:cNvPr id="207494" name="Isosceles Triangle 24"/>
        <xdr:cNvSpPr>
          <a:spLocks noChangeArrowheads="1"/>
        </xdr:cNvSpPr>
      </xdr:nvSpPr>
      <xdr:spPr bwMode="auto">
        <a:xfrm rot="5400000">
          <a:off x="9377362" y="8367713"/>
          <a:ext cx="638175" cy="571500"/>
        </a:xfrm>
        <a:prstGeom prst="triangle">
          <a:avLst>
            <a:gd name="adj" fmla="val 50000"/>
          </a:avLst>
        </a:prstGeom>
        <a:solidFill>
          <a:srgbClr val="FFFFFF"/>
        </a:solidFill>
        <a:ln w="9525" algn="ctr">
          <a:solidFill>
            <a:srgbClr val="000000"/>
          </a:solidFill>
          <a:round/>
          <a:headEnd/>
          <a:tailEnd/>
        </a:ln>
      </xdr:spPr>
    </xdr:sp>
    <xdr:clientData/>
  </xdr:twoCellAnchor>
  <xdr:twoCellAnchor>
    <xdr:from>
      <xdr:col>4</xdr:col>
      <xdr:colOff>457200</xdr:colOff>
      <xdr:row>57</xdr:row>
      <xdr:rowOff>19050</xdr:rowOff>
    </xdr:from>
    <xdr:to>
      <xdr:col>5</xdr:col>
      <xdr:colOff>390525</xdr:colOff>
      <xdr:row>60</xdr:row>
      <xdr:rowOff>28575</xdr:rowOff>
    </xdr:to>
    <xdr:sp macro="" textlink="">
      <xdr:nvSpPr>
        <xdr:cNvPr id="38" name="Rectangle 37"/>
        <xdr:cNvSpPr/>
      </xdr:nvSpPr>
      <xdr:spPr bwMode="auto">
        <a:xfrm>
          <a:off x="4667250" y="9163050"/>
          <a:ext cx="542925" cy="4953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a:t>LO</a:t>
          </a:r>
        </a:p>
      </xdr:txBody>
    </xdr:sp>
    <xdr:clientData/>
  </xdr:twoCellAnchor>
  <xdr:twoCellAnchor>
    <xdr:from>
      <xdr:col>7</xdr:col>
      <xdr:colOff>1866900</xdr:colOff>
      <xdr:row>57</xdr:row>
      <xdr:rowOff>57150</xdr:rowOff>
    </xdr:from>
    <xdr:to>
      <xdr:col>9</xdr:col>
      <xdr:colOff>123825</xdr:colOff>
      <xdr:row>60</xdr:row>
      <xdr:rowOff>66675</xdr:rowOff>
    </xdr:to>
    <xdr:sp macro="" textlink="">
      <xdr:nvSpPr>
        <xdr:cNvPr id="39" name="Rectangle 38"/>
        <xdr:cNvSpPr/>
      </xdr:nvSpPr>
      <xdr:spPr bwMode="auto">
        <a:xfrm>
          <a:off x="7905750" y="9201150"/>
          <a:ext cx="542925" cy="4953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a:t>LO</a:t>
          </a:r>
        </a:p>
      </xdr:txBody>
    </xdr:sp>
    <xdr:clientData/>
  </xdr:twoCellAnchor>
  <xdr:twoCellAnchor>
    <xdr:from>
      <xdr:col>4</xdr:col>
      <xdr:colOff>581025</xdr:colOff>
      <xdr:row>50</xdr:row>
      <xdr:rowOff>85725</xdr:rowOff>
    </xdr:from>
    <xdr:to>
      <xdr:col>5</xdr:col>
      <xdr:colOff>285750</xdr:colOff>
      <xdr:row>52</xdr:row>
      <xdr:rowOff>76200</xdr:rowOff>
    </xdr:to>
    <xdr:cxnSp macro="">
      <xdr:nvCxnSpPr>
        <xdr:cNvPr id="207497" name="Straight Connector 40"/>
        <xdr:cNvCxnSpPr>
          <a:cxnSpLocks noChangeShapeType="1"/>
          <a:stCxn id="207488" idx="3"/>
          <a:endCxn id="207488" idx="7"/>
        </xdr:cNvCxnSpPr>
      </xdr:nvCxnSpPr>
      <xdr:spPr bwMode="auto">
        <a:xfrm rot="5400000" flipH="1" flipV="1">
          <a:off x="4953000" y="8439150"/>
          <a:ext cx="314325" cy="314325"/>
        </a:xfrm>
        <a:prstGeom prst="line">
          <a:avLst/>
        </a:prstGeom>
        <a:noFill/>
        <a:ln w="12700" algn="ctr">
          <a:solidFill>
            <a:srgbClr val="000000"/>
          </a:solidFill>
          <a:round/>
          <a:headEnd/>
          <a:tailEnd/>
        </a:ln>
      </xdr:spPr>
    </xdr:cxnSp>
    <xdr:clientData/>
  </xdr:twoCellAnchor>
  <xdr:twoCellAnchor>
    <xdr:from>
      <xdr:col>4</xdr:col>
      <xdr:colOff>581025</xdr:colOff>
      <xdr:row>50</xdr:row>
      <xdr:rowOff>85725</xdr:rowOff>
    </xdr:from>
    <xdr:to>
      <xdr:col>5</xdr:col>
      <xdr:colOff>285750</xdr:colOff>
      <xdr:row>52</xdr:row>
      <xdr:rowOff>76200</xdr:rowOff>
    </xdr:to>
    <xdr:cxnSp macro="">
      <xdr:nvCxnSpPr>
        <xdr:cNvPr id="207498" name="Straight Connector 42"/>
        <xdr:cNvCxnSpPr>
          <a:cxnSpLocks noChangeShapeType="1"/>
          <a:stCxn id="207488" idx="1"/>
          <a:endCxn id="207488" idx="5"/>
        </xdr:cNvCxnSpPr>
      </xdr:nvCxnSpPr>
      <xdr:spPr bwMode="auto">
        <a:xfrm rot="16200000" flipH="1">
          <a:off x="4953000" y="8439150"/>
          <a:ext cx="314325" cy="314325"/>
        </a:xfrm>
        <a:prstGeom prst="line">
          <a:avLst/>
        </a:prstGeom>
        <a:noFill/>
        <a:ln w="12700" algn="ctr">
          <a:solidFill>
            <a:srgbClr val="000000"/>
          </a:solidFill>
          <a:round/>
          <a:headEnd/>
          <a:tailEnd/>
        </a:ln>
      </xdr:spPr>
    </xdr:cxnSp>
    <xdr:clientData/>
  </xdr:twoCellAnchor>
  <xdr:twoCellAnchor>
    <xdr:from>
      <xdr:col>5</xdr:col>
      <xdr:colOff>123825</xdr:colOff>
      <xdr:row>52</xdr:row>
      <xdr:rowOff>142875</xdr:rowOff>
    </xdr:from>
    <xdr:to>
      <xdr:col>5</xdr:col>
      <xdr:colOff>133350</xdr:colOff>
      <xdr:row>57</xdr:row>
      <xdr:rowOff>19050</xdr:rowOff>
    </xdr:to>
    <xdr:cxnSp macro="">
      <xdr:nvCxnSpPr>
        <xdr:cNvPr id="207499" name="Straight Connector 44"/>
        <xdr:cNvCxnSpPr>
          <a:cxnSpLocks noChangeShapeType="1"/>
          <a:stCxn id="207488" idx="4"/>
          <a:endCxn id="38" idx="0"/>
        </xdr:cNvCxnSpPr>
      </xdr:nvCxnSpPr>
      <xdr:spPr bwMode="auto">
        <a:xfrm rot="5400000">
          <a:off x="4767263" y="9158287"/>
          <a:ext cx="685800" cy="9525"/>
        </a:xfrm>
        <a:prstGeom prst="line">
          <a:avLst/>
        </a:prstGeom>
        <a:noFill/>
        <a:ln w="19050" algn="ctr">
          <a:solidFill>
            <a:srgbClr val="000000"/>
          </a:solidFill>
          <a:round/>
          <a:headEnd/>
          <a:tailEnd/>
        </a:ln>
      </xdr:spPr>
    </xdr:cxnSp>
    <xdr:clientData/>
  </xdr:twoCellAnchor>
  <xdr:twoCellAnchor>
    <xdr:from>
      <xdr:col>8</xdr:col>
      <xdr:colOff>133350</xdr:colOff>
      <xdr:row>53</xdr:row>
      <xdr:rowOff>28575</xdr:rowOff>
    </xdr:from>
    <xdr:to>
      <xdr:col>8</xdr:col>
      <xdr:colOff>142875</xdr:colOff>
      <xdr:row>57</xdr:row>
      <xdr:rowOff>66675</xdr:rowOff>
    </xdr:to>
    <xdr:cxnSp macro="">
      <xdr:nvCxnSpPr>
        <xdr:cNvPr id="207500" name="Straight Connector 45"/>
        <xdr:cNvCxnSpPr>
          <a:cxnSpLocks noChangeShapeType="1"/>
        </xdr:cNvCxnSpPr>
      </xdr:nvCxnSpPr>
      <xdr:spPr bwMode="auto">
        <a:xfrm rot="5400000">
          <a:off x="8005763" y="9205912"/>
          <a:ext cx="685800" cy="9525"/>
        </a:xfrm>
        <a:prstGeom prst="line">
          <a:avLst/>
        </a:prstGeom>
        <a:noFill/>
        <a:ln w="19050" algn="ctr">
          <a:solidFill>
            <a:srgbClr val="000000"/>
          </a:solidFill>
          <a:round/>
          <a:headEnd/>
          <a:tailEnd/>
        </a:ln>
      </xdr:spPr>
    </xdr:cxnSp>
    <xdr:clientData/>
  </xdr:twoCellAnchor>
  <xdr:twoCellAnchor>
    <xdr:from>
      <xdr:col>7</xdr:col>
      <xdr:colOff>2000250</xdr:colOff>
      <xdr:row>50</xdr:row>
      <xdr:rowOff>133350</xdr:rowOff>
    </xdr:from>
    <xdr:to>
      <xdr:col>9</xdr:col>
      <xdr:colOff>28575</xdr:colOff>
      <xdr:row>52</xdr:row>
      <xdr:rowOff>123825</xdr:rowOff>
    </xdr:to>
    <xdr:cxnSp macro="">
      <xdr:nvCxnSpPr>
        <xdr:cNvPr id="207501" name="Straight Connector 47"/>
        <xdr:cNvCxnSpPr>
          <a:cxnSpLocks noChangeShapeType="1"/>
          <a:stCxn id="207492" idx="1"/>
          <a:endCxn id="207492" idx="5"/>
        </xdr:cNvCxnSpPr>
      </xdr:nvCxnSpPr>
      <xdr:spPr bwMode="auto">
        <a:xfrm rot="16200000" flipH="1">
          <a:off x="8201025" y="8486775"/>
          <a:ext cx="314325" cy="314325"/>
        </a:xfrm>
        <a:prstGeom prst="line">
          <a:avLst/>
        </a:prstGeom>
        <a:noFill/>
        <a:ln w="9525" algn="ctr">
          <a:solidFill>
            <a:srgbClr val="000000"/>
          </a:solidFill>
          <a:round/>
          <a:headEnd/>
          <a:tailEnd/>
        </a:ln>
      </xdr:spPr>
    </xdr:cxnSp>
    <xdr:clientData/>
  </xdr:twoCellAnchor>
  <xdr:twoCellAnchor>
    <xdr:from>
      <xdr:col>7</xdr:col>
      <xdr:colOff>2000250</xdr:colOff>
      <xdr:row>50</xdr:row>
      <xdr:rowOff>133350</xdr:rowOff>
    </xdr:from>
    <xdr:to>
      <xdr:col>9</xdr:col>
      <xdr:colOff>28575</xdr:colOff>
      <xdr:row>52</xdr:row>
      <xdr:rowOff>123825</xdr:rowOff>
    </xdr:to>
    <xdr:cxnSp macro="">
      <xdr:nvCxnSpPr>
        <xdr:cNvPr id="207502" name="Straight Connector 49"/>
        <xdr:cNvCxnSpPr>
          <a:cxnSpLocks noChangeShapeType="1"/>
          <a:stCxn id="207492" idx="7"/>
          <a:endCxn id="207492" idx="3"/>
        </xdr:cNvCxnSpPr>
      </xdr:nvCxnSpPr>
      <xdr:spPr bwMode="auto">
        <a:xfrm rot="-5400000" flipH="1" flipV="1">
          <a:off x="8201025" y="8486775"/>
          <a:ext cx="314325" cy="314325"/>
        </a:xfrm>
        <a:prstGeom prst="line">
          <a:avLst/>
        </a:prstGeom>
        <a:noFill/>
        <a:ln w="9525" algn="ctr">
          <a:solidFill>
            <a:srgbClr val="000000"/>
          </a:solidFill>
          <a:round/>
          <a:headEnd/>
          <a:tailEnd/>
        </a:ln>
      </xdr:spPr>
    </xdr:cxnSp>
    <xdr:clientData/>
  </xdr:twoCellAnchor>
  <xdr:twoCellAnchor>
    <xdr:from>
      <xdr:col>1</xdr:col>
      <xdr:colOff>1704975</xdr:colOff>
      <xdr:row>50</xdr:row>
      <xdr:rowOff>19050</xdr:rowOff>
    </xdr:from>
    <xdr:to>
      <xdr:col>1</xdr:col>
      <xdr:colOff>1866900</xdr:colOff>
      <xdr:row>51</xdr:row>
      <xdr:rowOff>9525</xdr:rowOff>
    </xdr:to>
    <xdr:cxnSp macro="">
      <xdr:nvCxnSpPr>
        <xdr:cNvPr id="207503" name="Curved Connector 52"/>
        <xdr:cNvCxnSpPr>
          <a:cxnSpLocks noChangeShapeType="1"/>
        </xdr:cNvCxnSpPr>
      </xdr:nvCxnSpPr>
      <xdr:spPr bwMode="auto">
        <a:xfrm rot="8280000">
          <a:off x="2428875" y="8372475"/>
          <a:ext cx="161925" cy="152400"/>
        </a:xfrm>
        <a:prstGeom prst="curvedConnector3">
          <a:avLst>
            <a:gd name="adj1" fmla="val 50000"/>
          </a:avLst>
        </a:prstGeom>
        <a:noFill/>
        <a:ln w="9525" algn="ctr">
          <a:solidFill>
            <a:srgbClr val="000000"/>
          </a:solidFill>
          <a:round/>
          <a:headEnd/>
          <a:tailEnd/>
        </a:ln>
      </xdr:spPr>
    </xdr:cxnSp>
    <xdr:clientData/>
  </xdr:twoCellAnchor>
  <xdr:twoCellAnchor>
    <xdr:from>
      <xdr:col>1</xdr:col>
      <xdr:colOff>1695450</xdr:colOff>
      <xdr:row>50</xdr:row>
      <xdr:rowOff>152400</xdr:rowOff>
    </xdr:from>
    <xdr:to>
      <xdr:col>1</xdr:col>
      <xdr:colOff>1857375</xdr:colOff>
      <xdr:row>51</xdr:row>
      <xdr:rowOff>142875</xdr:rowOff>
    </xdr:to>
    <xdr:cxnSp macro="">
      <xdr:nvCxnSpPr>
        <xdr:cNvPr id="207504" name="Curved Connector 53"/>
        <xdr:cNvCxnSpPr>
          <a:cxnSpLocks noChangeShapeType="1"/>
        </xdr:cNvCxnSpPr>
      </xdr:nvCxnSpPr>
      <xdr:spPr bwMode="auto">
        <a:xfrm rot="8280000">
          <a:off x="2419350" y="8505825"/>
          <a:ext cx="161925" cy="152400"/>
        </a:xfrm>
        <a:prstGeom prst="curvedConnector3">
          <a:avLst>
            <a:gd name="adj1" fmla="val 50000"/>
          </a:avLst>
        </a:prstGeom>
        <a:noFill/>
        <a:ln w="9525" algn="ctr">
          <a:solidFill>
            <a:srgbClr val="000000"/>
          </a:solidFill>
          <a:round/>
          <a:headEnd/>
          <a:tailEnd/>
        </a:ln>
      </xdr:spPr>
    </xdr:cxnSp>
    <xdr:clientData/>
  </xdr:twoCellAnchor>
  <xdr:twoCellAnchor>
    <xdr:from>
      <xdr:col>1</xdr:col>
      <xdr:colOff>1704975</xdr:colOff>
      <xdr:row>51</xdr:row>
      <xdr:rowOff>114300</xdr:rowOff>
    </xdr:from>
    <xdr:to>
      <xdr:col>1</xdr:col>
      <xdr:colOff>1866900</xdr:colOff>
      <xdr:row>52</xdr:row>
      <xdr:rowOff>104775</xdr:rowOff>
    </xdr:to>
    <xdr:cxnSp macro="">
      <xdr:nvCxnSpPr>
        <xdr:cNvPr id="207505" name="Curved Connector 54"/>
        <xdr:cNvCxnSpPr>
          <a:cxnSpLocks noChangeShapeType="1"/>
        </xdr:cNvCxnSpPr>
      </xdr:nvCxnSpPr>
      <xdr:spPr bwMode="auto">
        <a:xfrm rot="8280000">
          <a:off x="2428875" y="8629650"/>
          <a:ext cx="161925" cy="152400"/>
        </a:xfrm>
        <a:prstGeom prst="curvedConnector3">
          <a:avLst>
            <a:gd name="adj1" fmla="val 50000"/>
          </a:avLst>
        </a:prstGeom>
        <a:noFill/>
        <a:ln w="9525" algn="ctr">
          <a:solidFill>
            <a:srgbClr val="000000"/>
          </a:solidFill>
          <a:round/>
          <a:headEnd/>
          <a:tailEnd/>
        </a:ln>
      </xdr:spPr>
    </xdr:cxnSp>
    <xdr:clientData/>
  </xdr:twoCellAnchor>
  <xdr:twoCellAnchor>
    <xdr:from>
      <xdr:col>12</xdr:col>
      <xdr:colOff>342900</xdr:colOff>
      <xdr:row>50</xdr:row>
      <xdr:rowOff>104775</xdr:rowOff>
    </xdr:from>
    <xdr:to>
      <xdr:col>12</xdr:col>
      <xdr:colOff>504825</xdr:colOff>
      <xdr:row>51</xdr:row>
      <xdr:rowOff>95250</xdr:rowOff>
    </xdr:to>
    <xdr:cxnSp macro="">
      <xdr:nvCxnSpPr>
        <xdr:cNvPr id="207506" name="Curved Connector 55"/>
        <xdr:cNvCxnSpPr>
          <a:cxnSpLocks noChangeShapeType="1"/>
        </xdr:cNvCxnSpPr>
      </xdr:nvCxnSpPr>
      <xdr:spPr bwMode="auto">
        <a:xfrm rot="8280000">
          <a:off x="10677525" y="8458200"/>
          <a:ext cx="161925" cy="152400"/>
        </a:xfrm>
        <a:prstGeom prst="curvedConnector3">
          <a:avLst>
            <a:gd name="adj1" fmla="val 50000"/>
          </a:avLst>
        </a:prstGeom>
        <a:noFill/>
        <a:ln w="9525" algn="ctr">
          <a:solidFill>
            <a:srgbClr val="000000"/>
          </a:solidFill>
          <a:round/>
          <a:headEnd/>
          <a:tailEnd/>
        </a:ln>
      </xdr:spPr>
    </xdr:cxnSp>
    <xdr:clientData/>
  </xdr:twoCellAnchor>
  <xdr:twoCellAnchor>
    <xdr:from>
      <xdr:col>12</xdr:col>
      <xdr:colOff>342900</xdr:colOff>
      <xdr:row>51</xdr:row>
      <xdr:rowOff>76200</xdr:rowOff>
    </xdr:from>
    <xdr:to>
      <xdr:col>12</xdr:col>
      <xdr:colOff>504825</xdr:colOff>
      <xdr:row>52</xdr:row>
      <xdr:rowOff>66675</xdr:rowOff>
    </xdr:to>
    <xdr:cxnSp macro="">
      <xdr:nvCxnSpPr>
        <xdr:cNvPr id="207507" name="Curved Connector 56"/>
        <xdr:cNvCxnSpPr>
          <a:cxnSpLocks noChangeShapeType="1"/>
        </xdr:cNvCxnSpPr>
      </xdr:nvCxnSpPr>
      <xdr:spPr bwMode="auto">
        <a:xfrm rot="8280000">
          <a:off x="10677525" y="8591550"/>
          <a:ext cx="161925" cy="152400"/>
        </a:xfrm>
        <a:prstGeom prst="curvedConnector3">
          <a:avLst>
            <a:gd name="adj1" fmla="val 50000"/>
          </a:avLst>
        </a:prstGeom>
        <a:noFill/>
        <a:ln w="9525" algn="ctr">
          <a:solidFill>
            <a:srgbClr val="000000"/>
          </a:solidFill>
          <a:round/>
          <a:headEnd/>
          <a:tailEnd/>
        </a:ln>
      </xdr:spPr>
    </xdr:cxnSp>
    <xdr:clientData/>
  </xdr:twoCellAnchor>
  <xdr:twoCellAnchor>
    <xdr:from>
      <xdr:col>12</xdr:col>
      <xdr:colOff>333375</xdr:colOff>
      <xdr:row>52</xdr:row>
      <xdr:rowOff>38100</xdr:rowOff>
    </xdr:from>
    <xdr:to>
      <xdr:col>12</xdr:col>
      <xdr:colOff>495300</xdr:colOff>
      <xdr:row>53</xdr:row>
      <xdr:rowOff>28575</xdr:rowOff>
    </xdr:to>
    <xdr:cxnSp macro="">
      <xdr:nvCxnSpPr>
        <xdr:cNvPr id="207508" name="Curved Connector 57"/>
        <xdr:cNvCxnSpPr>
          <a:cxnSpLocks noChangeShapeType="1"/>
        </xdr:cNvCxnSpPr>
      </xdr:nvCxnSpPr>
      <xdr:spPr bwMode="auto">
        <a:xfrm rot="8280000">
          <a:off x="10668000" y="8715375"/>
          <a:ext cx="161925" cy="152400"/>
        </a:xfrm>
        <a:prstGeom prst="curvedConnector3">
          <a:avLst>
            <a:gd name="adj1" fmla="val 50000"/>
          </a:avLst>
        </a:prstGeom>
        <a:noFill/>
        <a:ln w="9525" algn="ctr">
          <a:solidFill>
            <a:srgbClr val="000000"/>
          </a:solidFill>
          <a:round/>
          <a:headEnd/>
          <a:tailEnd/>
        </a:ln>
      </xdr:spPr>
    </xdr:cxnSp>
    <xdr:clientData/>
  </xdr:twoCellAnchor>
  <xdr:twoCellAnchor>
    <xdr:from>
      <xdr:col>12</xdr:col>
      <xdr:colOff>400050</xdr:colOff>
      <xdr:row>50</xdr:row>
      <xdr:rowOff>123825</xdr:rowOff>
    </xdr:from>
    <xdr:to>
      <xdr:col>12</xdr:col>
      <xdr:colOff>457200</xdr:colOff>
      <xdr:row>51</xdr:row>
      <xdr:rowOff>66675</xdr:rowOff>
    </xdr:to>
    <xdr:cxnSp macro="">
      <xdr:nvCxnSpPr>
        <xdr:cNvPr id="207509" name="Straight Connector 60"/>
        <xdr:cNvCxnSpPr>
          <a:cxnSpLocks noChangeShapeType="1"/>
        </xdr:cNvCxnSpPr>
      </xdr:nvCxnSpPr>
      <xdr:spPr bwMode="auto">
        <a:xfrm rot="5400000">
          <a:off x="10710862" y="8501063"/>
          <a:ext cx="104775" cy="57150"/>
        </a:xfrm>
        <a:prstGeom prst="line">
          <a:avLst/>
        </a:prstGeom>
        <a:noFill/>
        <a:ln w="9525" algn="ctr">
          <a:solidFill>
            <a:srgbClr val="000000"/>
          </a:solidFill>
          <a:round/>
          <a:headEnd/>
          <a:tailEnd/>
        </a:ln>
      </xdr:spPr>
    </xdr:cxnSp>
    <xdr:clientData/>
  </xdr:twoCellAnchor>
  <xdr:twoCellAnchor>
    <xdr:from>
      <xdr:col>12</xdr:col>
      <xdr:colOff>390525</xdr:colOff>
      <xdr:row>52</xdr:row>
      <xdr:rowOff>66675</xdr:rowOff>
    </xdr:from>
    <xdr:to>
      <xdr:col>12</xdr:col>
      <xdr:colOff>447675</xdr:colOff>
      <xdr:row>53</xdr:row>
      <xdr:rowOff>9525</xdr:rowOff>
    </xdr:to>
    <xdr:cxnSp macro="">
      <xdr:nvCxnSpPr>
        <xdr:cNvPr id="207510" name="Straight Connector 61"/>
        <xdr:cNvCxnSpPr>
          <a:cxnSpLocks noChangeShapeType="1"/>
        </xdr:cNvCxnSpPr>
      </xdr:nvCxnSpPr>
      <xdr:spPr bwMode="auto">
        <a:xfrm rot="5400000">
          <a:off x="10701337" y="8767763"/>
          <a:ext cx="104775" cy="57150"/>
        </a:xfrm>
        <a:prstGeom prst="line">
          <a:avLst/>
        </a:prstGeom>
        <a:noFill/>
        <a:ln w="9525" algn="ctr">
          <a:solidFill>
            <a:srgbClr val="000000"/>
          </a:solidFill>
          <a:round/>
          <a:headEnd/>
          <a:tailEnd/>
        </a:ln>
      </xdr:spPr>
    </xdr:cxnSp>
    <xdr:clientData/>
  </xdr:twoCellAnchor>
  <xdr:twoCellAnchor>
    <xdr:from>
      <xdr:col>7</xdr:col>
      <xdr:colOff>514350</xdr:colOff>
      <xdr:row>50</xdr:row>
      <xdr:rowOff>104775</xdr:rowOff>
    </xdr:from>
    <xdr:to>
      <xdr:col>7</xdr:col>
      <xdr:colOff>676275</xdr:colOff>
      <xdr:row>51</xdr:row>
      <xdr:rowOff>95250</xdr:rowOff>
    </xdr:to>
    <xdr:cxnSp macro="">
      <xdr:nvCxnSpPr>
        <xdr:cNvPr id="207511" name="Curved Connector 62"/>
        <xdr:cNvCxnSpPr>
          <a:cxnSpLocks noChangeShapeType="1"/>
        </xdr:cNvCxnSpPr>
      </xdr:nvCxnSpPr>
      <xdr:spPr bwMode="auto">
        <a:xfrm rot="8280000">
          <a:off x="6715125" y="8458200"/>
          <a:ext cx="161925" cy="152400"/>
        </a:xfrm>
        <a:prstGeom prst="curvedConnector3">
          <a:avLst>
            <a:gd name="adj1" fmla="val 50000"/>
          </a:avLst>
        </a:prstGeom>
        <a:noFill/>
        <a:ln w="9525" algn="ctr">
          <a:solidFill>
            <a:srgbClr val="000000"/>
          </a:solidFill>
          <a:round/>
          <a:headEnd/>
          <a:tailEnd/>
        </a:ln>
      </xdr:spPr>
    </xdr:cxnSp>
    <xdr:clientData/>
  </xdr:twoCellAnchor>
  <xdr:twoCellAnchor>
    <xdr:from>
      <xdr:col>7</xdr:col>
      <xdr:colOff>514350</xdr:colOff>
      <xdr:row>51</xdr:row>
      <xdr:rowOff>38100</xdr:rowOff>
    </xdr:from>
    <xdr:to>
      <xdr:col>7</xdr:col>
      <xdr:colOff>676275</xdr:colOff>
      <xdr:row>52</xdr:row>
      <xdr:rowOff>28575</xdr:rowOff>
    </xdr:to>
    <xdr:cxnSp macro="">
      <xdr:nvCxnSpPr>
        <xdr:cNvPr id="207512" name="Curved Connector 63"/>
        <xdr:cNvCxnSpPr>
          <a:cxnSpLocks noChangeShapeType="1"/>
        </xdr:cNvCxnSpPr>
      </xdr:nvCxnSpPr>
      <xdr:spPr bwMode="auto">
        <a:xfrm rot="8280000">
          <a:off x="6715125" y="8553450"/>
          <a:ext cx="161925" cy="152400"/>
        </a:xfrm>
        <a:prstGeom prst="curvedConnector3">
          <a:avLst>
            <a:gd name="adj1" fmla="val 50000"/>
          </a:avLst>
        </a:prstGeom>
        <a:noFill/>
        <a:ln w="9525" algn="ctr">
          <a:solidFill>
            <a:srgbClr val="000000"/>
          </a:solidFill>
          <a:round/>
          <a:headEnd/>
          <a:tailEnd/>
        </a:ln>
      </xdr:spPr>
    </xdr:cxnSp>
    <xdr:clientData/>
  </xdr:twoCellAnchor>
  <xdr:twoCellAnchor>
    <xdr:from>
      <xdr:col>7</xdr:col>
      <xdr:colOff>504825</xdr:colOff>
      <xdr:row>51</xdr:row>
      <xdr:rowOff>133350</xdr:rowOff>
    </xdr:from>
    <xdr:to>
      <xdr:col>7</xdr:col>
      <xdr:colOff>666750</xdr:colOff>
      <xdr:row>52</xdr:row>
      <xdr:rowOff>123825</xdr:rowOff>
    </xdr:to>
    <xdr:cxnSp macro="">
      <xdr:nvCxnSpPr>
        <xdr:cNvPr id="207513" name="Curved Connector 64"/>
        <xdr:cNvCxnSpPr>
          <a:cxnSpLocks noChangeShapeType="1"/>
        </xdr:cNvCxnSpPr>
      </xdr:nvCxnSpPr>
      <xdr:spPr bwMode="auto">
        <a:xfrm rot="8280000">
          <a:off x="6705600" y="8648700"/>
          <a:ext cx="161925" cy="152400"/>
        </a:xfrm>
        <a:prstGeom prst="curvedConnector3">
          <a:avLst>
            <a:gd name="adj1" fmla="val 50000"/>
          </a:avLst>
        </a:prstGeom>
        <a:noFill/>
        <a:ln w="9525" algn="ctr">
          <a:solidFill>
            <a:srgbClr val="000000"/>
          </a:solidFill>
          <a:round/>
          <a:headEnd/>
          <a:tailEnd/>
        </a:ln>
      </xdr:spPr>
    </xdr:cxnSp>
    <xdr:clientData/>
  </xdr:twoCellAnchor>
  <xdr:twoCellAnchor>
    <xdr:from>
      <xdr:col>1</xdr:col>
      <xdr:colOff>1743075</xdr:colOff>
      <xdr:row>50</xdr:row>
      <xdr:rowOff>38100</xdr:rowOff>
    </xdr:from>
    <xdr:to>
      <xdr:col>1</xdr:col>
      <xdr:colOff>1800225</xdr:colOff>
      <xdr:row>50</xdr:row>
      <xdr:rowOff>142875</xdr:rowOff>
    </xdr:to>
    <xdr:cxnSp macro="">
      <xdr:nvCxnSpPr>
        <xdr:cNvPr id="207514" name="Straight Connector 65"/>
        <xdr:cNvCxnSpPr>
          <a:cxnSpLocks noChangeShapeType="1"/>
        </xdr:cNvCxnSpPr>
      </xdr:nvCxnSpPr>
      <xdr:spPr bwMode="auto">
        <a:xfrm rot="5400000">
          <a:off x="2443162" y="8415338"/>
          <a:ext cx="104775" cy="57150"/>
        </a:xfrm>
        <a:prstGeom prst="line">
          <a:avLst/>
        </a:prstGeom>
        <a:noFill/>
        <a:ln w="9525" algn="ctr">
          <a:solidFill>
            <a:srgbClr val="000000"/>
          </a:solidFill>
          <a:round/>
          <a:headEnd/>
          <a:tailEnd/>
        </a:ln>
      </xdr:spPr>
    </xdr:cxnSp>
    <xdr:clientData/>
  </xdr:twoCellAnchor>
  <xdr:twoCellAnchor>
    <xdr:from>
      <xdr:col>1</xdr:col>
      <xdr:colOff>1733550</xdr:colOff>
      <xdr:row>51</xdr:row>
      <xdr:rowOff>133350</xdr:rowOff>
    </xdr:from>
    <xdr:to>
      <xdr:col>1</xdr:col>
      <xdr:colOff>1790700</xdr:colOff>
      <xdr:row>52</xdr:row>
      <xdr:rowOff>76200</xdr:rowOff>
    </xdr:to>
    <xdr:cxnSp macro="">
      <xdr:nvCxnSpPr>
        <xdr:cNvPr id="207515" name="Straight Connector 66"/>
        <xdr:cNvCxnSpPr>
          <a:cxnSpLocks noChangeShapeType="1"/>
        </xdr:cNvCxnSpPr>
      </xdr:nvCxnSpPr>
      <xdr:spPr bwMode="auto">
        <a:xfrm rot="5400000">
          <a:off x="2433637" y="8672513"/>
          <a:ext cx="104775" cy="57150"/>
        </a:xfrm>
        <a:prstGeom prst="line">
          <a:avLst/>
        </a:prstGeom>
        <a:noFill/>
        <a:ln w="9525" algn="ctr">
          <a:solidFill>
            <a:srgbClr val="000000"/>
          </a:solidFill>
          <a:round/>
          <a:headEnd/>
          <a:tailEnd/>
        </a:ln>
      </xdr:spPr>
    </xdr:cxnSp>
    <xdr:clientData/>
  </xdr:twoCellAnchor>
  <xdr:twoCellAnchor>
    <xdr:from>
      <xdr:col>7</xdr:col>
      <xdr:colOff>542925</xdr:colOff>
      <xdr:row>52</xdr:row>
      <xdr:rowOff>0</xdr:rowOff>
    </xdr:from>
    <xdr:to>
      <xdr:col>7</xdr:col>
      <xdr:colOff>600075</xdr:colOff>
      <xdr:row>52</xdr:row>
      <xdr:rowOff>104775</xdr:rowOff>
    </xdr:to>
    <xdr:cxnSp macro="">
      <xdr:nvCxnSpPr>
        <xdr:cNvPr id="207516" name="Straight Connector 67"/>
        <xdr:cNvCxnSpPr>
          <a:cxnSpLocks noChangeShapeType="1"/>
        </xdr:cNvCxnSpPr>
      </xdr:nvCxnSpPr>
      <xdr:spPr bwMode="auto">
        <a:xfrm rot="5400000">
          <a:off x="6719887" y="8701088"/>
          <a:ext cx="104775" cy="57150"/>
        </a:xfrm>
        <a:prstGeom prst="line">
          <a:avLst/>
        </a:prstGeom>
        <a:noFill/>
        <a:ln w="9525" algn="ctr">
          <a:solidFill>
            <a:srgbClr val="000000"/>
          </a:solidFill>
          <a:round/>
          <a:headEnd/>
          <a:tailEnd/>
        </a:ln>
      </xdr:spPr>
    </xdr:cxnSp>
    <xdr:clientData/>
  </xdr:twoCellAnchor>
  <xdr:twoCellAnchor>
    <xdr:from>
      <xdr:col>7</xdr:col>
      <xdr:colOff>581025</xdr:colOff>
      <xdr:row>50</xdr:row>
      <xdr:rowOff>123825</xdr:rowOff>
    </xdr:from>
    <xdr:to>
      <xdr:col>7</xdr:col>
      <xdr:colOff>638175</xdr:colOff>
      <xdr:row>51</xdr:row>
      <xdr:rowOff>66675</xdr:rowOff>
    </xdr:to>
    <xdr:cxnSp macro="">
      <xdr:nvCxnSpPr>
        <xdr:cNvPr id="207517" name="Straight Connector 68"/>
        <xdr:cNvCxnSpPr>
          <a:cxnSpLocks noChangeShapeType="1"/>
        </xdr:cNvCxnSpPr>
      </xdr:nvCxnSpPr>
      <xdr:spPr bwMode="auto">
        <a:xfrm rot="5400000">
          <a:off x="6757987" y="8501063"/>
          <a:ext cx="104775" cy="57150"/>
        </a:xfrm>
        <a:prstGeom prst="line">
          <a:avLst/>
        </a:prstGeom>
        <a:noFill/>
        <a:ln w="9525" algn="ctr">
          <a:solidFill>
            <a:srgbClr val="000000"/>
          </a:solidFill>
          <a:round/>
          <a:headEnd/>
          <a:tailEnd/>
        </a:ln>
      </xdr:spPr>
    </xdr:cxnSp>
    <xdr:clientData/>
  </xdr:twoCellAnchor>
  <xdr:oneCellAnchor>
    <xdr:from>
      <xdr:col>2</xdr:col>
      <xdr:colOff>161925</xdr:colOff>
      <xdr:row>50</xdr:row>
      <xdr:rowOff>95250</xdr:rowOff>
    </xdr:from>
    <xdr:ext cx="194454" cy="255111"/>
    <xdr:sp macro="" textlink="">
      <xdr:nvSpPr>
        <xdr:cNvPr id="70" name="TextBox 69"/>
        <xdr:cNvSpPr txBox="1"/>
      </xdr:nvSpPr>
      <xdr:spPr>
        <a:xfrm>
          <a:off x="3276600" y="822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3</xdr:col>
      <xdr:colOff>409575</xdr:colOff>
      <xdr:row>50</xdr:row>
      <xdr:rowOff>85725</xdr:rowOff>
    </xdr:from>
    <xdr:ext cx="161676" cy="226766"/>
    <xdr:sp macro="" textlink="">
      <xdr:nvSpPr>
        <xdr:cNvPr id="71" name="TextBox 70"/>
        <xdr:cNvSpPr txBox="1"/>
      </xdr:nvSpPr>
      <xdr:spPr>
        <a:xfrm>
          <a:off x="4010025" y="8096250"/>
          <a:ext cx="26629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A</a:t>
          </a:r>
        </a:p>
      </xdr:txBody>
    </xdr:sp>
    <xdr:clientData/>
  </xdr:oneCellAnchor>
  <xdr:oneCellAnchor>
    <xdr:from>
      <xdr:col>6</xdr:col>
      <xdr:colOff>133350</xdr:colOff>
      <xdr:row>50</xdr:row>
      <xdr:rowOff>114300</xdr:rowOff>
    </xdr:from>
    <xdr:ext cx="161676" cy="226766"/>
    <xdr:sp macro="" textlink="">
      <xdr:nvSpPr>
        <xdr:cNvPr id="72" name="TextBox 71"/>
        <xdr:cNvSpPr txBox="1"/>
      </xdr:nvSpPr>
      <xdr:spPr>
        <a:xfrm>
          <a:off x="5562600" y="8124825"/>
          <a:ext cx="26629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A</a:t>
          </a:r>
        </a:p>
      </xdr:txBody>
    </xdr:sp>
    <xdr:clientData/>
  </xdr:oneCellAnchor>
  <xdr:oneCellAnchor>
    <xdr:from>
      <xdr:col>7</xdr:col>
      <xdr:colOff>1295400</xdr:colOff>
      <xdr:row>50</xdr:row>
      <xdr:rowOff>133350</xdr:rowOff>
    </xdr:from>
    <xdr:ext cx="161676" cy="226766"/>
    <xdr:sp macro="" textlink="">
      <xdr:nvSpPr>
        <xdr:cNvPr id="73" name="TextBox 72"/>
        <xdr:cNvSpPr txBox="1"/>
      </xdr:nvSpPr>
      <xdr:spPr>
        <a:xfrm>
          <a:off x="7334250" y="8143875"/>
          <a:ext cx="26629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A</a:t>
          </a:r>
        </a:p>
      </xdr:txBody>
    </xdr:sp>
    <xdr:clientData/>
  </xdr:oneCellAnchor>
  <xdr:oneCellAnchor>
    <xdr:from>
      <xdr:col>10</xdr:col>
      <xdr:colOff>304800</xdr:colOff>
      <xdr:row>51</xdr:row>
      <xdr:rowOff>0</xdr:rowOff>
    </xdr:from>
    <xdr:ext cx="322701" cy="226766"/>
    <xdr:sp macro="" textlink="">
      <xdr:nvSpPr>
        <xdr:cNvPr id="74" name="TextBox 73"/>
        <xdr:cNvSpPr txBox="1"/>
      </xdr:nvSpPr>
      <xdr:spPr>
        <a:xfrm>
          <a:off x="9239250" y="8172450"/>
          <a:ext cx="427105"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HPA</a:t>
          </a:r>
        </a:p>
      </xdr:txBody>
    </xdr:sp>
    <xdr:clientData/>
  </xdr:oneCellAnchor>
  <xdr:oneCellAnchor>
    <xdr:from>
      <xdr:col>1</xdr:col>
      <xdr:colOff>1409700</xdr:colOff>
      <xdr:row>48</xdr:row>
      <xdr:rowOff>28575</xdr:rowOff>
    </xdr:from>
    <xdr:ext cx="663731" cy="226766"/>
    <xdr:sp macro="" textlink="">
      <xdr:nvSpPr>
        <xdr:cNvPr id="75" name="TextBox 74"/>
        <xdr:cNvSpPr txBox="1"/>
      </xdr:nvSpPr>
      <xdr:spPr>
        <a:xfrm>
          <a:off x="2019300" y="7715250"/>
          <a:ext cx="7680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 Input BPF</a:t>
          </a:r>
        </a:p>
      </xdr:txBody>
    </xdr:sp>
    <xdr:clientData/>
  </xdr:oneCellAnchor>
  <xdr:twoCellAnchor>
    <xdr:from>
      <xdr:col>1</xdr:col>
      <xdr:colOff>1380332</xdr:colOff>
      <xdr:row>33</xdr:row>
      <xdr:rowOff>115093</xdr:rowOff>
    </xdr:from>
    <xdr:to>
      <xdr:col>1</xdr:col>
      <xdr:colOff>1381920</xdr:colOff>
      <xdr:row>35</xdr:row>
      <xdr:rowOff>48418</xdr:rowOff>
    </xdr:to>
    <xdr:cxnSp macro="">
      <xdr:nvCxnSpPr>
        <xdr:cNvPr id="78" name="Straight Connector 77"/>
        <xdr:cNvCxnSpPr/>
      </xdr:nvCxnSpPr>
      <xdr:spPr bwMode="auto">
        <a:xfrm rot="5400000">
          <a:off x="1862138" y="5500687"/>
          <a:ext cx="257175" cy="1588"/>
        </a:xfrm>
        <a:prstGeom prst="line">
          <a:avLst/>
        </a:prstGeom>
        <a:ln w="19050">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256384</xdr:colOff>
      <xdr:row>33</xdr:row>
      <xdr:rowOff>124618</xdr:rowOff>
    </xdr:from>
    <xdr:to>
      <xdr:col>13</xdr:col>
      <xdr:colOff>257972</xdr:colOff>
      <xdr:row>35</xdr:row>
      <xdr:rowOff>57943</xdr:rowOff>
    </xdr:to>
    <xdr:cxnSp macro="">
      <xdr:nvCxnSpPr>
        <xdr:cNvPr id="79" name="Straight Connector 78"/>
        <xdr:cNvCxnSpPr/>
      </xdr:nvCxnSpPr>
      <xdr:spPr bwMode="auto">
        <a:xfrm rot="5400000">
          <a:off x="10748965" y="5510212"/>
          <a:ext cx="257175" cy="1588"/>
        </a:xfrm>
        <a:prstGeom prst="line">
          <a:avLst/>
        </a:prstGeom>
        <a:ln w="19050">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1390657</xdr:colOff>
      <xdr:row>34</xdr:row>
      <xdr:rowOff>95249</xdr:rowOff>
    </xdr:from>
    <xdr:to>
      <xdr:col>13</xdr:col>
      <xdr:colOff>247651</xdr:colOff>
      <xdr:row>34</xdr:row>
      <xdr:rowOff>95250</xdr:rowOff>
    </xdr:to>
    <xdr:cxnSp macro="">
      <xdr:nvCxnSpPr>
        <xdr:cNvPr id="81" name="Straight Connector 80"/>
        <xdr:cNvCxnSpPr/>
      </xdr:nvCxnSpPr>
      <xdr:spPr bwMode="auto">
        <a:xfrm rot="10800000" flipV="1">
          <a:off x="2000257" y="5514974"/>
          <a:ext cx="8867769" cy="1"/>
        </a:xfrm>
        <a:prstGeom prst="line">
          <a:avLst/>
        </a:prstGeom>
        <a:ln>
          <a:headEnd type="triangle" w="med" len="med"/>
          <a:tailEnd type="triangl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1362075</xdr:colOff>
      <xdr:row>35</xdr:row>
      <xdr:rowOff>66676</xdr:rowOff>
    </xdr:from>
    <xdr:to>
      <xdr:col>1</xdr:col>
      <xdr:colOff>1371600</xdr:colOff>
      <xdr:row>49</xdr:row>
      <xdr:rowOff>142876</xdr:rowOff>
    </xdr:to>
    <xdr:cxnSp macro="">
      <xdr:nvCxnSpPr>
        <xdr:cNvPr id="91" name="Straight Connector 90"/>
        <xdr:cNvCxnSpPr/>
      </xdr:nvCxnSpPr>
      <xdr:spPr bwMode="auto">
        <a:xfrm rot="5400000">
          <a:off x="804863" y="6815138"/>
          <a:ext cx="2343150" cy="9525"/>
        </a:xfrm>
        <a:prstGeom prst="line">
          <a:avLst/>
        </a:prstGeom>
        <a:ln>
          <a:prstDash val="lgDashDotDot"/>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247652</xdr:colOff>
      <xdr:row>35</xdr:row>
      <xdr:rowOff>95251</xdr:rowOff>
    </xdr:from>
    <xdr:to>
      <xdr:col>13</xdr:col>
      <xdr:colOff>257175</xdr:colOff>
      <xdr:row>50</xdr:row>
      <xdr:rowOff>66676</xdr:rowOff>
    </xdr:to>
    <xdr:cxnSp macro="">
      <xdr:nvCxnSpPr>
        <xdr:cNvPr id="93" name="Straight Connector 92"/>
        <xdr:cNvCxnSpPr/>
      </xdr:nvCxnSpPr>
      <xdr:spPr bwMode="auto">
        <a:xfrm rot="5400000">
          <a:off x="9672639" y="6872289"/>
          <a:ext cx="2400300" cy="9523"/>
        </a:xfrm>
        <a:prstGeom prst="line">
          <a:avLst/>
        </a:prstGeom>
        <a:ln>
          <a:prstDash val="lgDashDotDot"/>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142875</xdr:colOff>
      <xdr:row>33</xdr:row>
      <xdr:rowOff>85725</xdr:rowOff>
    </xdr:from>
    <xdr:to>
      <xdr:col>7</xdr:col>
      <xdr:colOff>600075</xdr:colOff>
      <xdr:row>35</xdr:row>
      <xdr:rowOff>76200</xdr:rowOff>
    </xdr:to>
    <xdr:sp macro="" textlink="">
      <xdr:nvSpPr>
        <xdr:cNvPr id="207529" name="Rectangle 95"/>
        <xdr:cNvSpPr>
          <a:spLocks noChangeArrowheads="1"/>
        </xdr:cNvSpPr>
      </xdr:nvSpPr>
      <xdr:spPr bwMode="auto">
        <a:xfrm>
          <a:off x="6343650" y="5657850"/>
          <a:ext cx="457200" cy="333375"/>
        </a:xfrm>
        <a:prstGeom prst="rect">
          <a:avLst/>
        </a:prstGeom>
        <a:solidFill>
          <a:srgbClr val="969696"/>
        </a:solidFill>
        <a:ln w="9525" algn="ctr">
          <a:solidFill>
            <a:srgbClr val="BFBFBF"/>
          </a:solidFill>
          <a:round/>
          <a:headEnd/>
          <a:tailEnd/>
        </a:ln>
      </xdr:spPr>
      <xdr:txBody>
        <a:bodyPr vertOverflow="clip" wrap="square" lIns="18288" tIns="0" rIns="0" bIns="0" anchor="ctr" upright="1"/>
        <a:lstStyle/>
        <a:p>
          <a:pPr algn="ctr" rtl="0">
            <a:defRPr sz="1000"/>
          </a:pPr>
          <a:r>
            <a:rPr lang="en-US" sz="1200" b="1" i="0" u="none" strike="noStrike" baseline="0">
              <a:solidFill>
                <a:srgbClr val="000000"/>
              </a:solidFill>
              <a:latin typeface="Calibri"/>
            </a:rPr>
            <a:t>G</a:t>
          </a:r>
          <a:r>
            <a:rPr lang="en-US" sz="900" b="1" i="0" u="none" strike="noStrike" baseline="0">
              <a:solidFill>
                <a:srgbClr val="000000"/>
              </a:solidFill>
              <a:latin typeface="Calibri"/>
            </a:rPr>
            <a:t>total</a:t>
          </a:r>
        </a:p>
      </xdr:txBody>
    </xdr:sp>
    <xdr:clientData/>
  </xdr:twoCellAnchor>
  <xdr:oneCellAnchor>
    <xdr:from>
      <xdr:col>11</xdr:col>
      <xdr:colOff>457200</xdr:colOff>
      <xdr:row>48</xdr:row>
      <xdr:rowOff>133350</xdr:rowOff>
    </xdr:from>
    <xdr:ext cx="837427" cy="226766"/>
    <xdr:sp macro="" textlink="">
      <xdr:nvSpPr>
        <xdr:cNvPr id="97" name="TextBox 96"/>
        <xdr:cNvSpPr txBox="1"/>
      </xdr:nvSpPr>
      <xdr:spPr>
        <a:xfrm>
          <a:off x="10001250" y="7820025"/>
          <a:ext cx="923073"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Output Filter</a:t>
          </a:r>
        </a:p>
      </xdr:txBody>
    </xdr:sp>
    <xdr:clientData/>
  </xdr:oneCellAnchor>
  <xdr:oneCellAnchor>
    <xdr:from>
      <xdr:col>7</xdr:col>
      <xdr:colOff>266700</xdr:colOff>
      <xdr:row>48</xdr:row>
      <xdr:rowOff>76200</xdr:rowOff>
    </xdr:from>
    <xdr:ext cx="526898" cy="226766"/>
    <xdr:sp macro="" textlink="">
      <xdr:nvSpPr>
        <xdr:cNvPr id="98" name="TextBox 97"/>
        <xdr:cNvSpPr txBox="1"/>
      </xdr:nvSpPr>
      <xdr:spPr>
        <a:xfrm>
          <a:off x="6305550" y="7762875"/>
          <a:ext cx="613117"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t>IF Filter</a:t>
          </a:r>
        </a:p>
      </xdr:txBody>
    </xdr:sp>
    <xdr:clientData/>
  </xdr:oneCellAnchor>
  <xdr:twoCellAnchor>
    <xdr:from>
      <xdr:col>1</xdr:col>
      <xdr:colOff>1152525</xdr:colOff>
      <xdr:row>42</xdr:row>
      <xdr:rowOff>123825</xdr:rowOff>
    </xdr:from>
    <xdr:to>
      <xdr:col>13</xdr:col>
      <xdr:colOff>447675</xdr:colOff>
      <xdr:row>63</xdr:row>
      <xdr:rowOff>85725</xdr:rowOff>
    </xdr:to>
    <xdr:sp macro="" textlink="">
      <xdr:nvSpPr>
        <xdr:cNvPr id="207532" name="Rectangle 98"/>
        <xdr:cNvSpPr>
          <a:spLocks noChangeArrowheads="1"/>
        </xdr:cNvSpPr>
      </xdr:nvSpPr>
      <xdr:spPr bwMode="auto">
        <a:xfrm>
          <a:off x="1876425" y="7181850"/>
          <a:ext cx="9515475" cy="3362325"/>
        </a:xfrm>
        <a:prstGeom prst="rect">
          <a:avLst/>
        </a:prstGeom>
        <a:noFill/>
        <a:ln w="19050" algn="ctr">
          <a:solidFill>
            <a:srgbClr val="CC0000"/>
          </a:solidFill>
          <a:prstDash val="dash"/>
          <a:round/>
          <a:headEnd/>
          <a:tailEnd/>
        </a:ln>
      </xdr:spPr>
    </xdr:sp>
    <xdr:clientData/>
  </xdr:twoCellAnchor>
  <xdr:oneCellAnchor>
    <xdr:from>
      <xdr:col>1</xdr:col>
      <xdr:colOff>28575</xdr:colOff>
      <xdr:row>37</xdr:row>
      <xdr:rowOff>38100</xdr:rowOff>
    </xdr:from>
    <xdr:ext cx="142311" cy="226766"/>
    <xdr:sp macro="" textlink="">
      <xdr:nvSpPr>
        <xdr:cNvPr id="100" name="TextBox 99"/>
        <xdr:cNvSpPr txBox="1"/>
      </xdr:nvSpPr>
      <xdr:spPr>
        <a:xfrm>
          <a:off x="638175" y="604837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2</a:t>
          </a:r>
        </a:p>
      </xdr:txBody>
    </xdr:sp>
    <xdr:clientData/>
  </xdr:oneCellAnchor>
  <xdr:oneCellAnchor>
    <xdr:from>
      <xdr:col>1</xdr:col>
      <xdr:colOff>742950</xdr:colOff>
      <xdr:row>44</xdr:row>
      <xdr:rowOff>76200</xdr:rowOff>
    </xdr:from>
    <xdr:ext cx="142311" cy="226766"/>
    <xdr:sp macro="" textlink="">
      <xdr:nvSpPr>
        <xdr:cNvPr id="101" name="TextBox 100"/>
        <xdr:cNvSpPr txBox="1"/>
      </xdr:nvSpPr>
      <xdr:spPr>
        <a:xfrm>
          <a:off x="1352550" y="72199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3</a:t>
          </a:r>
        </a:p>
      </xdr:txBody>
    </xdr:sp>
    <xdr:clientData/>
  </xdr:oneCellAnchor>
  <xdr:oneCellAnchor>
    <xdr:from>
      <xdr:col>1</xdr:col>
      <xdr:colOff>723900</xdr:colOff>
      <xdr:row>51</xdr:row>
      <xdr:rowOff>104775</xdr:rowOff>
    </xdr:from>
    <xdr:ext cx="142311" cy="226766"/>
    <xdr:sp macro="" textlink="">
      <xdr:nvSpPr>
        <xdr:cNvPr id="102" name="TextBox 101"/>
        <xdr:cNvSpPr txBox="1"/>
      </xdr:nvSpPr>
      <xdr:spPr>
        <a:xfrm>
          <a:off x="1333500" y="838200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4</a:t>
          </a:r>
        </a:p>
      </xdr:txBody>
    </xdr:sp>
    <xdr:clientData/>
  </xdr:oneCellAnchor>
  <xdr:oneCellAnchor>
    <xdr:from>
      <xdr:col>1</xdr:col>
      <xdr:colOff>1609725</xdr:colOff>
      <xdr:row>53</xdr:row>
      <xdr:rowOff>28575</xdr:rowOff>
    </xdr:from>
    <xdr:ext cx="142311" cy="226766"/>
    <xdr:sp macro="" textlink="">
      <xdr:nvSpPr>
        <xdr:cNvPr id="103" name="TextBox 102"/>
        <xdr:cNvSpPr txBox="1"/>
      </xdr:nvSpPr>
      <xdr:spPr>
        <a:xfrm>
          <a:off x="2219325" y="86296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5</a:t>
          </a:r>
        </a:p>
      </xdr:txBody>
    </xdr:sp>
    <xdr:clientData/>
  </xdr:oneCellAnchor>
  <xdr:oneCellAnchor>
    <xdr:from>
      <xdr:col>1</xdr:col>
      <xdr:colOff>2228850</xdr:colOff>
      <xdr:row>51</xdr:row>
      <xdr:rowOff>123825</xdr:rowOff>
    </xdr:from>
    <xdr:ext cx="142311" cy="226766"/>
    <xdr:sp macro="" textlink="">
      <xdr:nvSpPr>
        <xdr:cNvPr id="104" name="TextBox 103"/>
        <xdr:cNvSpPr txBox="1"/>
      </xdr:nvSpPr>
      <xdr:spPr>
        <a:xfrm>
          <a:off x="2838450" y="84010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6</a:t>
          </a:r>
        </a:p>
      </xdr:txBody>
    </xdr:sp>
    <xdr:clientData/>
  </xdr:oneCellAnchor>
  <xdr:oneCellAnchor>
    <xdr:from>
      <xdr:col>2</xdr:col>
      <xdr:colOff>323850</xdr:colOff>
      <xdr:row>53</xdr:row>
      <xdr:rowOff>38100</xdr:rowOff>
    </xdr:from>
    <xdr:ext cx="142311" cy="226766"/>
    <xdr:sp macro="" textlink="">
      <xdr:nvSpPr>
        <xdr:cNvPr id="105" name="TextBox 104"/>
        <xdr:cNvSpPr txBox="1"/>
      </xdr:nvSpPr>
      <xdr:spPr>
        <a:xfrm>
          <a:off x="3314700" y="863917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7</a:t>
          </a:r>
        </a:p>
      </xdr:txBody>
    </xdr:sp>
    <xdr:clientData/>
  </xdr:oneCellAnchor>
  <xdr:oneCellAnchor>
    <xdr:from>
      <xdr:col>10</xdr:col>
      <xdr:colOff>457200</xdr:colOff>
      <xdr:row>53</xdr:row>
      <xdr:rowOff>142875</xdr:rowOff>
    </xdr:from>
    <xdr:ext cx="142311" cy="226766"/>
    <xdr:sp macro="" textlink="">
      <xdr:nvSpPr>
        <xdr:cNvPr id="106" name="TextBox 105"/>
        <xdr:cNvSpPr txBox="1"/>
      </xdr:nvSpPr>
      <xdr:spPr>
        <a:xfrm>
          <a:off x="9391650" y="87439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8</a:t>
          </a:r>
        </a:p>
      </xdr:txBody>
    </xdr:sp>
    <xdr:clientData/>
  </xdr:oneCellAnchor>
  <xdr:oneCellAnchor>
    <xdr:from>
      <xdr:col>12</xdr:col>
      <xdr:colOff>333375</xdr:colOff>
      <xdr:row>54</xdr:row>
      <xdr:rowOff>9525</xdr:rowOff>
    </xdr:from>
    <xdr:ext cx="142311" cy="226766"/>
    <xdr:sp macro="" textlink="">
      <xdr:nvSpPr>
        <xdr:cNvPr id="107" name="TextBox 106"/>
        <xdr:cNvSpPr txBox="1"/>
      </xdr:nvSpPr>
      <xdr:spPr>
        <a:xfrm>
          <a:off x="10506075" y="87725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9</a:t>
          </a:r>
        </a:p>
      </xdr:txBody>
    </xdr:sp>
    <xdr:clientData/>
  </xdr:oneCellAnchor>
  <xdr:oneCellAnchor>
    <xdr:from>
      <xdr:col>13</xdr:col>
      <xdr:colOff>581025</xdr:colOff>
      <xdr:row>52</xdr:row>
      <xdr:rowOff>76200</xdr:rowOff>
    </xdr:from>
    <xdr:ext cx="212011" cy="226766"/>
    <xdr:sp macro="" textlink="">
      <xdr:nvSpPr>
        <xdr:cNvPr id="108" name="TextBox 107"/>
        <xdr:cNvSpPr txBox="1"/>
      </xdr:nvSpPr>
      <xdr:spPr>
        <a:xfrm>
          <a:off x="11363325" y="851535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10</a:t>
          </a:r>
        </a:p>
      </xdr:txBody>
    </xdr:sp>
    <xdr:clientData/>
  </xdr:oneCellAnchor>
  <xdr:oneCellAnchor>
    <xdr:from>
      <xdr:col>15</xdr:col>
      <xdr:colOff>171450</xdr:colOff>
      <xdr:row>44</xdr:row>
      <xdr:rowOff>152400</xdr:rowOff>
    </xdr:from>
    <xdr:ext cx="212011" cy="226766"/>
    <xdr:sp macro="" textlink="">
      <xdr:nvSpPr>
        <xdr:cNvPr id="109" name="TextBox 108"/>
        <xdr:cNvSpPr txBox="1"/>
      </xdr:nvSpPr>
      <xdr:spPr>
        <a:xfrm>
          <a:off x="12172950" y="729615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11</a:t>
          </a:r>
        </a:p>
      </xdr:txBody>
    </xdr:sp>
    <xdr:clientData/>
  </xdr:oneCellAnchor>
  <xdr:oneCellAnchor>
    <xdr:from>
      <xdr:col>14</xdr:col>
      <xdr:colOff>438150</xdr:colOff>
      <xdr:row>37</xdr:row>
      <xdr:rowOff>57150</xdr:rowOff>
    </xdr:from>
    <xdr:ext cx="212011" cy="226766"/>
    <xdr:sp macro="" textlink="">
      <xdr:nvSpPr>
        <xdr:cNvPr id="110" name="TextBox 109"/>
        <xdr:cNvSpPr txBox="1"/>
      </xdr:nvSpPr>
      <xdr:spPr>
        <a:xfrm>
          <a:off x="11830050" y="6067425"/>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12</a:t>
          </a:r>
        </a:p>
      </xdr:txBody>
    </xdr:sp>
    <xdr:clientData/>
  </xdr:oneCellAnchor>
  <xdr:twoCellAnchor>
    <xdr:from>
      <xdr:col>1</xdr:col>
      <xdr:colOff>328608</xdr:colOff>
      <xdr:row>37</xdr:row>
      <xdr:rowOff>19050</xdr:rowOff>
    </xdr:from>
    <xdr:to>
      <xdr:col>1</xdr:col>
      <xdr:colOff>352426</xdr:colOff>
      <xdr:row>44</xdr:row>
      <xdr:rowOff>85724</xdr:rowOff>
    </xdr:to>
    <xdr:cxnSp macro="">
      <xdr:nvCxnSpPr>
        <xdr:cNvPr id="112" name="Straight Connector 111"/>
        <xdr:cNvCxnSpPr>
          <a:stCxn id="207477" idx="3"/>
        </xdr:cNvCxnSpPr>
      </xdr:nvCxnSpPr>
      <xdr:spPr bwMode="auto">
        <a:xfrm rot="5400000" flipH="1" flipV="1">
          <a:off x="350042" y="6617491"/>
          <a:ext cx="1200149" cy="23818"/>
        </a:xfrm>
        <a:prstGeom prst="line">
          <a:avLst/>
        </a:prstGeom>
        <a:ln>
          <a:prstDash val="lgDashDotDot"/>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495300</xdr:colOff>
      <xdr:row>37</xdr:row>
      <xdr:rowOff>19050</xdr:rowOff>
    </xdr:from>
    <xdr:to>
      <xdr:col>1</xdr:col>
      <xdr:colOff>276225</xdr:colOff>
      <xdr:row>44</xdr:row>
      <xdr:rowOff>47625</xdr:rowOff>
    </xdr:to>
    <xdr:cxnSp macro="">
      <xdr:nvCxnSpPr>
        <xdr:cNvPr id="207545" name="Straight Arrow Connector 113"/>
        <xdr:cNvCxnSpPr>
          <a:cxnSpLocks noChangeShapeType="1"/>
        </xdr:cNvCxnSpPr>
      </xdr:nvCxnSpPr>
      <xdr:spPr bwMode="auto">
        <a:xfrm rot="16200000" flipH="1">
          <a:off x="166688" y="6596062"/>
          <a:ext cx="1162050" cy="504825"/>
        </a:xfrm>
        <a:prstGeom prst="straightConnector1">
          <a:avLst/>
        </a:prstGeom>
        <a:noFill/>
        <a:ln w="9525" algn="ctr">
          <a:solidFill>
            <a:srgbClr val="000000"/>
          </a:solidFill>
          <a:round/>
          <a:headEnd/>
          <a:tailEnd type="triangle" w="med" len="med"/>
        </a:ln>
      </xdr:spPr>
    </xdr:cxnSp>
    <xdr:clientData/>
  </xdr:twoCellAnchor>
  <xdr:twoCellAnchor>
    <xdr:from>
      <xdr:col>14</xdr:col>
      <xdr:colOff>414334</xdr:colOff>
      <xdr:row>37</xdr:row>
      <xdr:rowOff>57151</xdr:rowOff>
    </xdr:from>
    <xdr:to>
      <xdr:col>14</xdr:col>
      <xdr:colOff>438152</xdr:colOff>
      <xdr:row>44</xdr:row>
      <xdr:rowOff>123825</xdr:rowOff>
    </xdr:to>
    <xdr:cxnSp macro="">
      <xdr:nvCxnSpPr>
        <xdr:cNvPr id="115" name="Straight Connector 114"/>
        <xdr:cNvCxnSpPr/>
      </xdr:nvCxnSpPr>
      <xdr:spPr bwMode="auto">
        <a:xfrm rot="5400000" flipH="1" flipV="1">
          <a:off x="11218068" y="6655592"/>
          <a:ext cx="1200149" cy="23818"/>
        </a:xfrm>
        <a:prstGeom prst="line">
          <a:avLst/>
        </a:prstGeom>
        <a:ln>
          <a:prstDash val="lgDashDotDot"/>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438152</xdr:colOff>
      <xdr:row>37</xdr:row>
      <xdr:rowOff>76200</xdr:rowOff>
    </xdr:from>
    <xdr:to>
      <xdr:col>15</xdr:col>
      <xdr:colOff>223834</xdr:colOff>
      <xdr:row>44</xdr:row>
      <xdr:rowOff>104774</xdr:rowOff>
    </xdr:to>
    <xdr:cxnSp macro="">
      <xdr:nvCxnSpPr>
        <xdr:cNvPr id="116" name="Straight Arrow Connector 115"/>
        <xdr:cNvCxnSpPr/>
      </xdr:nvCxnSpPr>
      <xdr:spPr bwMode="auto">
        <a:xfrm rot="5400000">
          <a:off x="11446668" y="6469859"/>
          <a:ext cx="1162049" cy="395282"/>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276225</xdr:colOff>
      <xdr:row>34</xdr:row>
      <xdr:rowOff>133350</xdr:rowOff>
    </xdr:from>
    <xdr:ext cx="142311" cy="226766"/>
    <xdr:sp macro="" textlink="">
      <xdr:nvSpPr>
        <xdr:cNvPr id="117" name="TextBox 116"/>
        <xdr:cNvSpPr txBox="1"/>
      </xdr:nvSpPr>
      <xdr:spPr>
        <a:xfrm>
          <a:off x="276225" y="5657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1</a:t>
          </a:r>
        </a:p>
      </xdr:txBody>
    </xdr:sp>
    <xdr:clientData/>
  </xdr:oneCellAnchor>
  <xdr:twoCellAnchor>
    <xdr:from>
      <xdr:col>0</xdr:col>
      <xdr:colOff>526731</xdr:colOff>
      <xdr:row>36</xdr:row>
      <xdr:rowOff>128772</xdr:rowOff>
    </xdr:from>
    <xdr:to>
      <xdr:col>1</xdr:col>
      <xdr:colOff>343505</xdr:colOff>
      <xdr:row>38</xdr:row>
      <xdr:rowOff>36399</xdr:rowOff>
    </xdr:to>
    <xdr:sp macro="" textlink="">
      <xdr:nvSpPr>
        <xdr:cNvPr id="118" name="Circular Arrow 117"/>
        <xdr:cNvSpPr/>
      </xdr:nvSpPr>
      <xdr:spPr bwMode="auto">
        <a:xfrm rot="20480909">
          <a:off x="526731" y="5977122"/>
          <a:ext cx="426374" cy="231597"/>
        </a:xfrm>
        <a:prstGeom prst="circular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endParaRPr lang="en-US"/>
        </a:p>
      </xdr:txBody>
    </xdr:sp>
    <xdr:clientData/>
  </xdr:twoCellAnchor>
  <xdr:twoCellAnchor>
    <xdr:from>
      <xdr:col>14</xdr:col>
      <xdr:colOff>402905</xdr:colOff>
      <xdr:row>36</xdr:row>
      <xdr:rowOff>81147</xdr:rowOff>
    </xdr:from>
    <xdr:to>
      <xdr:col>15</xdr:col>
      <xdr:colOff>219679</xdr:colOff>
      <xdr:row>37</xdr:row>
      <xdr:rowOff>150699</xdr:rowOff>
    </xdr:to>
    <xdr:sp macro="" textlink="">
      <xdr:nvSpPr>
        <xdr:cNvPr id="119" name="Circular Arrow 118"/>
        <xdr:cNvSpPr/>
      </xdr:nvSpPr>
      <xdr:spPr bwMode="auto">
        <a:xfrm rot="796621">
          <a:off x="11794805" y="5929497"/>
          <a:ext cx="426374" cy="231597"/>
        </a:xfrm>
        <a:prstGeom prst="circularArrow">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endParaRPr lang="en-US"/>
        </a:p>
      </xdr:txBody>
    </xdr:sp>
    <xdr:clientData/>
  </xdr:twoCellAnchor>
  <xdr:twoCellAnchor>
    <xdr:from>
      <xdr:col>0</xdr:col>
      <xdr:colOff>257175</xdr:colOff>
      <xdr:row>34</xdr:row>
      <xdr:rowOff>133350</xdr:rowOff>
    </xdr:from>
    <xdr:to>
      <xdr:col>0</xdr:col>
      <xdr:colOff>533400</xdr:colOff>
      <xdr:row>36</xdr:row>
      <xdr:rowOff>85725</xdr:rowOff>
    </xdr:to>
    <xdr:sp macro="" textlink="">
      <xdr:nvSpPr>
        <xdr:cNvPr id="120" name="Oval 119"/>
        <xdr:cNvSpPr/>
      </xdr:nvSpPr>
      <xdr:spPr bwMode="auto">
        <a:xfrm>
          <a:off x="257175" y="5657850"/>
          <a:ext cx="276225" cy="276225"/>
        </a:xfrm>
        <a:prstGeom prst="ellipse">
          <a:avLst/>
        </a:prstGeom>
        <a:no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wrap="square" lIns="18288" tIns="0" rIns="0" bIns="0" rtlCol="0" anchor="ctr" upright="1"/>
        <a:lstStyle/>
        <a:p>
          <a:endParaRPr lang="en-US"/>
        </a:p>
      </xdr:txBody>
    </xdr:sp>
    <xdr:clientData/>
  </xdr:twoCellAnchor>
  <xdr:oneCellAnchor>
    <xdr:from>
      <xdr:col>14</xdr:col>
      <xdr:colOff>161925</xdr:colOff>
      <xdr:row>33</xdr:row>
      <xdr:rowOff>114300</xdr:rowOff>
    </xdr:from>
    <xdr:ext cx="212011" cy="226766"/>
    <xdr:sp macro="" textlink="">
      <xdr:nvSpPr>
        <xdr:cNvPr id="121" name="TextBox 120"/>
        <xdr:cNvSpPr txBox="1"/>
      </xdr:nvSpPr>
      <xdr:spPr>
        <a:xfrm>
          <a:off x="11715750" y="5486400"/>
          <a:ext cx="327654" cy="283457"/>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13</a:t>
          </a:r>
        </a:p>
      </xdr:txBody>
    </xdr:sp>
    <xdr:clientData/>
  </xdr:oneCellAnchor>
  <xdr:twoCellAnchor>
    <xdr:from>
      <xdr:col>1</xdr:col>
      <xdr:colOff>295275</xdr:colOff>
      <xdr:row>35</xdr:row>
      <xdr:rowOff>85725</xdr:rowOff>
    </xdr:from>
    <xdr:to>
      <xdr:col>6</xdr:col>
      <xdr:colOff>190500</xdr:colOff>
      <xdr:row>36</xdr:row>
      <xdr:rowOff>85725</xdr:rowOff>
    </xdr:to>
    <xdr:sp macro="" textlink="">
      <xdr:nvSpPr>
        <xdr:cNvPr id="207553" name="Right Brace 121"/>
        <xdr:cNvSpPr>
          <a:spLocks/>
        </xdr:cNvSpPr>
      </xdr:nvSpPr>
      <xdr:spPr bwMode="auto">
        <a:xfrm rot="-5400000">
          <a:off x="3314700" y="3705225"/>
          <a:ext cx="171450" cy="4762500"/>
        </a:xfrm>
        <a:prstGeom prst="rightBrace">
          <a:avLst>
            <a:gd name="adj1" fmla="val 7716"/>
            <a:gd name="adj2" fmla="val 50000"/>
          </a:avLst>
        </a:prstGeom>
        <a:solidFill>
          <a:srgbClr val="969696"/>
        </a:solidFill>
        <a:ln w="9525" algn="ctr">
          <a:solidFill>
            <a:srgbClr val="000000"/>
          </a:solidFill>
          <a:round/>
          <a:headEnd/>
          <a:tailEnd/>
        </a:ln>
      </xdr:spPr>
    </xdr:sp>
    <xdr:clientData/>
  </xdr:twoCellAnchor>
  <xdr:oneCellAnchor>
    <xdr:from>
      <xdr:col>2</xdr:col>
      <xdr:colOff>228600</xdr:colOff>
      <xdr:row>32</xdr:row>
      <xdr:rowOff>0</xdr:rowOff>
    </xdr:from>
    <xdr:ext cx="212011" cy="224892"/>
    <xdr:sp macro="" textlink="">
      <xdr:nvSpPr>
        <xdr:cNvPr id="123" name="TextBox 122"/>
        <xdr:cNvSpPr txBox="1"/>
      </xdr:nvSpPr>
      <xdr:spPr>
        <a:xfrm>
          <a:off x="3133725" y="5143500"/>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b="1">
              <a:solidFill>
                <a:srgbClr val="CC0000"/>
              </a:solidFill>
            </a:rPr>
            <a:t>14</a:t>
          </a:r>
        </a:p>
      </xdr:txBody>
    </xdr:sp>
    <xdr:clientData/>
  </xdr:oneCellAnchor>
  <xdr:twoCellAnchor>
    <xdr:from>
      <xdr:col>7</xdr:col>
      <xdr:colOff>580250</xdr:colOff>
      <xdr:row>53</xdr:row>
      <xdr:rowOff>27811</xdr:rowOff>
    </xdr:from>
    <xdr:to>
      <xdr:col>7</xdr:col>
      <xdr:colOff>581026</xdr:colOff>
      <xdr:row>53</xdr:row>
      <xdr:rowOff>142874</xdr:rowOff>
    </xdr:to>
    <xdr:cxnSp macro="">
      <xdr:nvCxnSpPr>
        <xdr:cNvPr id="125" name="Straight Arrow Connector 124"/>
        <xdr:cNvCxnSpPr/>
      </xdr:nvCxnSpPr>
      <xdr:spPr bwMode="auto">
        <a:xfrm rot="16440000" flipV="1">
          <a:off x="6723881" y="8705080"/>
          <a:ext cx="115063" cy="776"/>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209550</xdr:colOff>
      <xdr:row>44</xdr:row>
      <xdr:rowOff>9525</xdr:rowOff>
    </xdr:from>
    <xdr:to>
      <xdr:col>7</xdr:col>
      <xdr:colOff>352425</xdr:colOff>
      <xdr:row>48</xdr:row>
      <xdr:rowOff>133350</xdr:rowOff>
    </xdr:to>
    <xdr:cxnSp macro="">
      <xdr:nvCxnSpPr>
        <xdr:cNvPr id="207556" name="Straight Connector 130"/>
        <xdr:cNvCxnSpPr>
          <a:cxnSpLocks noChangeShapeType="1"/>
        </xdr:cNvCxnSpPr>
      </xdr:nvCxnSpPr>
      <xdr:spPr bwMode="auto">
        <a:xfrm rot="5400000" flipH="1" flipV="1">
          <a:off x="6096000" y="7705725"/>
          <a:ext cx="771525" cy="142875"/>
        </a:xfrm>
        <a:prstGeom prst="line">
          <a:avLst/>
        </a:prstGeom>
        <a:noFill/>
        <a:ln w="9525" algn="ctr">
          <a:solidFill>
            <a:srgbClr val="0000FF"/>
          </a:solidFill>
          <a:round/>
          <a:headEnd/>
          <a:tailEnd/>
        </a:ln>
      </xdr:spPr>
    </xdr:cxnSp>
    <xdr:clientData/>
  </xdr:twoCellAnchor>
  <xdr:twoCellAnchor>
    <xdr:from>
      <xdr:col>7</xdr:col>
      <xdr:colOff>752475</xdr:colOff>
      <xdr:row>44</xdr:row>
      <xdr:rowOff>38100</xdr:rowOff>
    </xdr:from>
    <xdr:to>
      <xdr:col>7</xdr:col>
      <xdr:colOff>904875</xdr:colOff>
      <xdr:row>48</xdr:row>
      <xdr:rowOff>95250</xdr:rowOff>
    </xdr:to>
    <xdr:cxnSp macro="">
      <xdr:nvCxnSpPr>
        <xdr:cNvPr id="207557" name="Straight Connector 131"/>
        <xdr:cNvCxnSpPr>
          <a:cxnSpLocks noChangeShapeType="1"/>
        </xdr:cNvCxnSpPr>
      </xdr:nvCxnSpPr>
      <xdr:spPr bwMode="auto">
        <a:xfrm rot="16200000" flipH="1">
          <a:off x="6677025" y="7696200"/>
          <a:ext cx="704850" cy="152400"/>
        </a:xfrm>
        <a:prstGeom prst="line">
          <a:avLst/>
        </a:prstGeom>
        <a:noFill/>
        <a:ln w="9525" algn="ctr">
          <a:solidFill>
            <a:srgbClr val="0000FF"/>
          </a:solidFill>
          <a:round/>
          <a:headEnd/>
          <a:tailEnd/>
        </a:ln>
      </xdr:spPr>
    </xdr:cxnSp>
    <xdr:clientData/>
  </xdr:twoCellAnchor>
  <xdr:twoCellAnchor>
    <xdr:from>
      <xdr:col>7</xdr:col>
      <xdr:colOff>352425</xdr:colOff>
      <xdr:row>43</xdr:row>
      <xdr:rowOff>133350</xdr:rowOff>
    </xdr:from>
    <xdr:to>
      <xdr:col>7</xdr:col>
      <xdr:colOff>762000</xdr:colOff>
      <xdr:row>44</xdr:row>
      <xdr:rowOff>66675</xdr:rowOff>
    </xdr:to>
    <xdr:sp macro="" textlink="">
      <xdr:nvSpPr>
        <xdr:cNvPr id="207558" name="Freeform 135"/>
        <xdr:cNvSpPr>
          <a:spLocks noChangeArrowheads="1"/>
        </xdr:cNvSpPr>
      </xdr:nvSpPr>
      <xdr:spPr bwMode="auto">
        <a:xfrm>
          <a:off x="6553200" y="7353300"/>
          <a:ext cx="409575" cy="95250"/>
        </a:xfrm>
        <a:custGeom>
          <a:avLst/>
          <a:gdLst>
            <a:gd name="T0" fmla="*/ 0 w 411162"/>
            <a:gd name="T1" fmla="*/ 26162 h 101600"/>
            <a:gd name="T2" fmla="*/ 103567 w 411162"/>
            <a:gd name="T3" fmla="*/ 2617 h 101600"/>
            <a:gd name="T4" fmla="*/ 160057 w 411162"/>
            <a:gd name="T5" fmla="*/ 41858 h 101600"/>
            <a:gd name="T6" fmla="*/ 254208 w 411162"/>
            <a:gd name="T7" fmla="*/ 10464 h 101600"/>
            <a:gd name="T8" fmla="*/ 310699 w 411162"/>
            <a:gd name="T9" fmla="*/ 34010 h 101600"/>
            <a:gd name="T10" fmla="*/ 376605 w 411162"/>
            <a:gd name="T11" fmla="*/ 26162 h 101600"/>
            <a:gd name="T12" fmla="*/ 404850 w 411162"/>
            <a:gd name="T13" fmla="*/ 81099 h 101600"/>
            <a:gd name="T14" fmla="*/ 386020 w 411162"/>
            <a:gd name="T15" fmla="*/ 41858 h 101600"/>
            <a:gd name="T16" fmla="*/ 0 60000 65536"/>
            <a:gd name="T17" fmla="*/ 0 60000 65536"/>
            <a:gd name="T18" fmla="*/ 0 60000 65536"/>
            <a:gd name="T19" fmla="*/ 0 60000 65536"/>
            <a:gd name="T20" fmla="*/ 0 60000 65536"/>
            <a:gd name="T21" fmla="*/ 0 60000 65536"/>
            <a:gd name="T22" fmla="*/ 0 60000 65536"/>
            <a:gd name="T23" fmla="*/ 0 60000 65536"/>
            <a:gd name="T24" fmla="*/ 0 w 411162"/>
            <a:gd name="T25" fmla="*/ 0 h 101600"/>
            <a:gd name="T26" fmla="*/ 411162 w 411162"/>
            <a:gd name="T27" fmla="*/ 101600 h 10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1162" h="101600">
              <a:moveTo>
                <a:pt x="0" y="31750"/>
              </a:moveTo>
              <a:cubicBezTo>
                <a:pt x="38893" y="15875"/>
                <a:pt x="77787" y="0"/>
                <a:pt x="104775" y="3175"/>
              </a:cubicBezTo>
              <a:cubicBezTo>
                <a:pt x="131763" y="6350"/>
                <a:pt x="136525" y="49213"/>
                <a:pt x="161925" y="50800"/>
              </a:cubicBezTo>
              <a:cubicBezTo>
                <a:pt x="187325" y="52388"/>
                <a:pt x="231775" y="14288"/>
                <a:pt x="257175" y="12700"/>
              </a:cubicBezTo>
              <a:cubicBezTo>
                <a:pt x="282575" y="11113"/>
                <a:pt x="293688" y="38100"/>
                <a:pt x="314325" y="41275"/>
              </a:cubicBezTo>
              <a:cubicBezTo>
                <a:pt x="334963" y="44450"/>
                <a:pt x="365125" y="22225"/>
                <a:pt x="381000" y="31750"/>
              </a:cubicBezTo>
              <a:cubicBezTo>
                <a:pt x="396875" y="41275"/>
                <a:pt x="407988" y="95250"/>
                <a:pt x="409575" y="98425"/>
              </a:cubicBezTo>
              <a:cubicBezTo>
                <a:pt x="411162" y="101600"/>
                <a:pt x="400843" y="76200"/>
                <a:pt x="390525" y="50800"/>
              </a:cubicBezTo>
            </a:path>
          </a:pathLst>
        </a:custGeom>
        <a:noFill/>
        <a:ln w="9525" cap="flat" cmpd="sng" algn="ctr">
          <a:solidFill>
            <a:srgbClr val="0000FF"/>
          </a:solidFill>
          <a:prstDash val="solid"/>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514352</xdr:colOff>
      <xdr:row>8</xdr:row>
      <xdr:rowOff>152399</xdr:rowOff>
    </xdr:from>
    <xdr:to>
      <xdr:col>8</xdr:col>
      <xdr:colOff>495300</xdr:colOff>
      <xdr:row>15</xdr:row>
      <xdr:rowOff>114299</xdr:rowOff>
    </xdr:to>
    <xdr:cxnSp macro="">
      <xdr:nvCxnSpPr>
        <xdr:cNvPr id="3" name="Straight Connector 2"/>
        <xdr:cNvCxnSpPr/>
      </xdr:nvCxnSpPr>
      <xdr:spPr bwMode="auto">
        <a:xfrm rot="10800000" flipV="1">
          <a:off x="4171952" y="1523999"/>
          <a:ext cx="1200148" cy="1095375"/>
        </a:xfrm>
        <a:prstGeom prst="line">
          <a:avLst/>
        </a:prstGeom>
        <a:ln w="19050">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352425</xdr:colOff>
      <xdr:row>14</xdr:row>
      <xdr:rowOff>104775</xdr:rowOff>
    </xdr:from>
    <xdr:to>
      <xdr:col>7</xdr:col>
      <xdr:colOff>47625</xdr:colOff>
      <xdr:row>16</xdr:row>
      <xdr:rowOff>114300</xdr:rowOff>
    </xdr:to>
    <xdr:cxnSp macro="">
      <xdr:nvCxnSpPr>
        <xdr:cNvPr id="173849" name="Straight Connector 4"/>
        <xdr:cNvCxnSpPr>
          <a:cxnSpLocks noChangeShapeType="1"/>
        </xdr:cNvCxnSpPr>
      </xdr:nvCxnSpPr>
      <xdr:spPr bwMode="auto">
        <a:xfrm rot="16200000" flipH="1">
          <a:off x="3976687" y="2566988"/>
          <a:ext cx="371475" cy="304800"/>
        </a:xfrm>
        <a:prstGeom prst="line">
          <a:avLst/>
        </a:prstGeom>
        <a:noFill/>
        <a:ln w="9525" algn="ctr">
          <a:solidFill>
            <a:srgbClr val="000000"/>
          </a:solidFill>
          <a:round/>
          <a:headEnd/>
          <a:tailEnd/>
        </a:ln>
      </xdr:spPr>
    </xdr:cxnSp>
    <xdr:clientData/>
  </xdr:twoCellAnchor>
  <xdr:twoCellAnchor>
    <xdr:from>
      <xdr:col>6</xdr:col>
      <xdr:colOff>561975</xdr:colOff>
      <xdr:row>13</xdr:row>
      <xdr:rowOff>95250</xdr:rowOff>
    </xdr:from>
    <xdr:to>
      <xdr:col>7</xdr:col>
      <xdr:colOff>257175</xdr:colOff>
      <xdr:row>15</xdr:row>
      <xdr:rowOff>104775</xdr:rowOff>
    </xdr:to>
    <xdr:cxnSp macro="">
      <xdr:nvCxnSpPr>
        <xdr:cNvPr id="147549" name="Straight Connector 5"/>
        <xdr:cNvCxnSpPr>
          <a:cxnSpLocks noChangeShapeType="1"/>
        </xdr:cNvCxnSpPr>
      </xdr:nvCxnSpPr>
      <xdr:spPr bwMode="auto">
        <a:xfrm rot="16200000" flipH="1">
          <a:off x="4205287" y="2347913"/>
          <a:ext cx="333375" cy="304800"/>
        </a:xfrm>
        <a:prstGeom prst="line">
          <a:avLst/>
        </a:prstGeom>
        <a:ln w="19050">
          <a:headEnd/>
          <a:tailEn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180975</xdr:colOff>
      <xdr:row>12</xdr:row>
      <xdr:rowOff>28575</xdr:rowOff>
    </xdr:from>
    <xdr:to>
      <xdr:col>7</xdr:col>
      <xdr:colOff>485775</xdr:colOff>
      <xdr:row>14</xdr:row>
      <xdr:rowOff>38100</xdr:rowOff>
    </xdr:to>
    <xdr:cxnSp macro="">
      <xdr:nvCxnSpPr>
        <xdr:cNvPr id="173851" name="Straight Connector 7"/>
        <xdr:cNvCxnSpPr>
          <a:cxnSpLocks noChangeShapeType="1"/>
        </xdr:cNvCxnSpPr>
      </xdr:nvCxnSpPr>
      <xdr:spPr bwMode="auto">
        <a:xfrm rot="16200000" flipH="1">
          <a:off x="4429125" y="2143125"/>
          <a:ext cx="342900" cy="304800"/>
        </a:xfrm>
        <a:prstGeom prst="line">
          <a:avLst/>
        </a:prstGeom>
        <a:noFill/>
        <a:ln w="9525" algn="ctr">
          <a:solidFill>
            <a:srgbClr val="000000"/>
          </a:solidFill>
          <a:round/>
          <a:headEnd/>
          <a:tailEnd/>
        </a:ln>
      </xdr:spPr>
    </xdr:cxnSp>
    <xdr:clientData/>
  </xdr:twoCellAnchor>
  <xdr:twoCellAnchor>
    <xdr:from>
      <xdr:col>7</xdr:col>
      <xdr:colOff>38100</xdr:colOff>
      <xdr:row>13</xdr:row>
      <xdr:rowOff>19050</xdr:rowOff>
    </xdr:from>
    <xdr:to>
      <xdr:col>7</xdr:col>
      <xdr:colOff>342900</xdr:colOff>
      <xdr:row>15</xdr:row>
      <xdr:rowOff>28575</xdr:rowOff>
    </xdr:to>
    <xdr:cxnSp macro="">
      <xdr:nvCxnSpPr>
        <xdr:cNvPr id="173852" name="Straight Connector 8"/>
        <xdr:cNvCxnSpPr>
          <a:cxnSpLocks noChangeShapeType="1"/>
        </xdr:cNvCxnSpPr>
      </xdr:nvCxnSpPr>
      <xdr:spPr bwMode="auto">
        <a:xfrm rot="16200000" flipH="1">
          <a:off x="4271962" y="2319338"/>
          <a:ext cx="371475" cy="304800"/>
        </a:xfrm>
        <a:prstGeom prst="line">
          <a:avLst/>
        </a:prstGeom>
        <a:noFill/>
        <a:ln w="9525" algn="ctr">
          <a:solidFill>
            <a:srgbClr val="000000"/>
          </a:solidFill>
          <a:round/>
          <a:headEnd/>
          <a:tailEnd/>
        </a:ln>
      </xdr:spPr>
    </xdr:cxnSp>
    <xdr:clientData/>
  </xdr:twoCellAnchor>
  <xdr:twoCellAnchor>
    <xdr:from>
      <xdr:col>8</xdr:col>
      <xdr:colOff>95250</xdr:colOff>
      <xdr:row>9</xdr:row>
      <xdr:rowOff>47625</xdr:rowOff>
    </xdr:from>
    <xdr:to>
      <xdr:col>8</xdr:col>
      <xdr:colOff>400050</xdr:colOff>
      <xdr:row>11</xdr:row>
      <xdr:rowOff>57150</xdr:rowOff>
    </xdr:to>
    <xdr:cxnSp macro="">
      <xdr:nvCxnSpPr>
        <xdr:cNvPr id="173853" name="Straight Connector 11"/>
        <xdr:cNvCxnSpPr>
          <a:cxnSpLocks noChangeShapeType="1"/>
        </xdr:cNvCxnSpPr>
      </xdr:nvCxnSpPr>
      <xdr:spPr bwMode="auto">
        <a:xfrm rot="16200000" flipH="1">
          <a:off x="4957762" y="1662113"/>
          <a:ext cx="333375" cy="304800"/>
        </a:xfrm>
        <a:prstGeom prst="line">
          <a:avLst/>
        </a:prstGeom>
        <a:noFill/>
        <a:ln w="9525" algn="ctr">
          <a:solidFill>
            <a:srgbClr val="000000"/>
          </a:solidFill>
          <a:round/>
          <a:headEnd/>
          <a:tailEnd/>
        </a:ln>
      </xdr:spPr>
    </xdr:cxnSp>
    <xdr:clientData/>
  </xdr:twoCellAnchor>
  <xdr:twoCellAnchor>
    <xdr:from>
      <xdr:col>7</xdr:col>
      <xdr:colOff>533400</xdr:colOff>
      <xdr:row>10</xdr:row>
      <xdr:rowOff>47625</xdr:rowOff>
    </xdr:from>
    <xdr:to>
      <xdr:col>8</xdr:col>
      <xdr:colOff>228600</xdr:colOff>
      <xdr:row>12</xdr:row>
      <xdr:rowOff>57150</xdr:rowOff>
    </xdr:to>
    <xdr:cxnSp macro="">
      <xdr:nvCxnSpPr>
        <xdr:cNvPr id="173854" name="Straight Connector 12"/>
        <xdr:cNvCxnSpPr>
          <a:cxnSpLocks noChangeShapeType="1"/>
        </xdr:cNvCxnSpPr>
      </xdr:nvCxnSpPr>
      <xdr:spPr bwMode="auto">
        <a:xfrm rot="16200000" flipH="1">
          <a:off x="4781550" y="1828800"/>
          <a:ext cx="342900" cy="304800"/>
        </a:xfrm>
        <a:prstGeom prst="line">
          <a:avLst/>
        </a:prstGeom>
        <a:noFill/>
        <a:ln w="9525" algn="ctr">
          <a:solidFill>
            <a:srgbClr val="000000"/>
          </a:solidFill>
          <a:round/>
          <a:headEnd/>
          <a:tailEnd/>
        </a:ln>
      </xdr:spPr>
    </xdr:cxnSp>
    <xdr:clientData/>
  </xdr:twoCellAnchor>
  <xdr:twoCellAnchor>
    <xdr:from>
      <xdr:col>7</xdr:col>
      <xdr:colOff>352425</xdr:colOff>
      <xdr:row>11</xdr:row>
      <xdr:rowOff>57150</xdr:rowOff>
    </xdr:from>
    <xdr:to>
      <xdr:col>8</xdr:col>
      <xdr:colOff>47625</xdr:colOff>
      <xdr:row>13</xdr:row>
      <xdr:rowOff>66675</xdr:rowOff>
    </xdr:to>
    <xdr:cxnSp macro="">
      <xdr:nvCxnSpPr>
        <xdr:cNvPr id="173855" name="Straight Connector 13"/>
        <xdr:cNvCxnSpPr>
          <a:cxnSpLocks noChangeShapeType="1"/>
        </xdr:cNvCxnSpPr>
      </xdr:nvCxnSpPr>
      <xdr:spPr bwMode="auto">
        <a:xfrm rot="16200000" flipH="1">
          <a:off x="4595812" y="2005013"/>
          <a:ext cx="352425" cy="304800"/>
        </a:xfrm>
        <a:prstGeom prst="line">
          <a:avLst/>
        </a:prstGeom>
        <a:noFill/>
        <a:ln w="9525" algn="ctr">
          <a:solidFill>
            <a:srgbClr val="000000"/>
          </a:solidFill>
          <a:round/>
          <a:headEnd/>
          <a:tailEnd/>
        </a:ln>
      </xdr:spPr>
    </xdr:cxnSp>
    <xdr:clientData/>
  </xdr:twoCellAnchor>
  <xdr:twoCellAnchor>
    <xdr:from>
      <xdr:col>12</xdr:col>
      <xdr:colOff>319689</xdr:colOff>
      <xdr:row>12</xdr:row>
      <xdr:rowOff>105809</xdr:rowOff>
    </xdr:from>
    <xdr:to>
      <xdr:col>14</xdr:col>
      <xdr:colOff>336680</xdr:colOff>
      <xdr:row>15</xdr:row>
      <xdr:rowOff>93480</xdr:rowOff>
    </xdr:to>
    <xdr:sp macro="" textlink="">
      <xdr:nvSpPr>
        <xdr:cNvPr id="16" name="Chord 15"/>
        <xdr:cNvSpPr/>
      </xdr:nvSpPr>
      <xdr:spPr bwMode="auto">
        <a:xfrm rot="18727733">
          <a:off x="8016262" y="1800886"/>
          <a:ext cx="473446" cy="1236191"/>
        </a:xfrm>
        <a:prstGeom prst="chord">
          <a:avLst>
            <a:gd name="adj1" fmla="val 5385842"/>
            <a:gd name="adj2" fmla="val 16200000"/>
          </a:avLst>
        </a:prstGeom>
        <a:solidFill>
          <a:schemeClr val="bg1">
            <a:lumMod val="5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endParaRPr lang="en-US"/>
        </a:p>
      </xdr:txBody>
    </xdr:sp>
    <xdr:clientData/>
  </xdr:twoCellAnchor>
  <xdr:twoCellAnchor>
    <xdr:from>
      <xdr:col>12</xdr:col>
      <xdr:colOff>476250</xdr:colOff>
      <xdr:row>11</xdr:row>
      <xdr:rowOff>85725</xdr:rowOff>
    </xdr:from>
    <xdr:to>
      <xdr:col>14</xdr:col>
      <xdr:colOff>85725</xdr:colOff>
      <xdr:row>11</xdr:row>
      <xdr:rowOff>114300</xdr:rowOff>
    </xdr:to>
    <xdr:cxnSp macro="">
      <xdr:nvCxnSpPr>
        <xdr:cNvPr id="173857" name="Straight Connector 17"/>
        <xdr:cNvCxnSpPr>
          <a:cxnSpLocks noChangeShapeType="1"/>
          <a:stCxn id="16" idx="1"/>
        </xdr:cNvCxnSpPr>
      </xdr:nvCxnSpPr>
      <xdr:spPr bwMode="auto">
        <a:xfrm rot="10800000" flipH="1" flipV="1">
          <a:off x="8048625" y="2009775"/>
          <a:ext cx="828675" cy="28575"/>
        </a:xfrm>
        <a:prstGeom prst="line">
          <a:avLst/>
        </a:prstGeom>
        <a:noFill/>
        <a:ln w="9525" algn="ctr">
          <a:solidFill>
            <a:srgbClr val="000000"/>
          </a:solidFill>
          <a:round/>
          <a:headEnd/>
          <a:tailEnd/>
        </a:ln>
      </xdr:spPr>
    </xdr:cxnSp>
    <xdr:clientData/>
  </xdr:twoCellAnchor>
  <xdr:twoCellAnchor>
    <xdr:from>
      <xdr:col>14</xdr:col>
      <xdr:colOff>114300</xdr:colOff>
      <xdr:row>11</xdr:row>
      <xdr:rowOff>123825</xdr:rowOff>
    </xdr:from>
    <xdr:to>
      <xdr:col>14</xdr:col>
      <xdr:colOff>180975</xdr:colOff>
      <xdr:row>16</xdr:row>
      <xdr:rowOff>104775</xdr:rowOff>
    </xdr:to>
    <xdr:cxnSp macro="">
      <xdr:nvCxnSpPr>
        <xdr:cNvPr id="173858" name="Straight Connector 20"/>
        <xdr:cNvCxnSpPr>
          <a:cxnSpLocks noChangeShapeType="1"/>
          <a:endCxn id="16" idx="0"/>
        </xdr:cNvCxnSpPr>
      </xdr:nvCxnSpPr>
      <xdr:spPr bwMode="auto">
        <a:xfrm rot="16200000" flipH="1">
          <a:off x="8515350" y="2438400"/>
          <a:ext cx="847725" cy="66675"/>
        </a:xfrm>
        <a:prstGeom prst="line">
          <a:avLst/>
        </a:prstGeom>
        <a:noFill/>
        <a:ln w="9525" algn="ctr">
          <a:solidFill>
            <a:srgbClr val="000000"/>
          </a:solidFill>
          <a:round/>
          <a:headEnd/>
          <a:tailEnd/>
        </a:ln>
      </xdr:spPr>
    </xdr:cxnSp>
    <xdr:clientData/>
  </xdr:twoCellAnchor>
  <xdr:twoCellAnchor>
    <xdr:from>
      <xdr:col>14</xdr:col>
      <xdr:colOff>85725</xdr:colOff>
      <xdr:row>11</xdr:row>
      <xdr:rowOff>9525</xdr:rowOff>
    </xdr:from>
    <xdr:to>
      <xdr:col>14</xdr:col>
      <xdr:colOff>180975</xdr:colOff>
      <xdr:row>12</xdr:row>
      <xdr:rowOff>38100</xdr:rowOff>
    </xdr:to>
    <xdr:sp macro="" textlink="">
      <xdr:nvSpPr>
        <xdr:cNvPr id="173859" name="Can 24"/>
        <xdr:cNvSpPr>
          <a:spLocks noChangeArrowheads="1"/>
        </xdr:cNvSpPr>
      </xdr:nvSpPr>
      <xdr:spPr bwMode="auto">
        <a:xfrm rot="2580000">
          <a:off x="8877300" y="1933575"/>
          <a:ext cx="95250" cy="200025"/>
        </a:xfrm>
        <a:prstGeom prst="can">
          <a:avLst>
            <a:gd name="adj" fmla="val 26250"/>
          </a:avLst>
        </a:prstGeom>
        <a:solidFill>
          <a:srgbClr val="00B0F0"/>
        </a:solidFill>
        <a:ln w="9525" algn="ctr">
          <a:solidFill>
            <a:srgbClr val="000000"/>
          </a:solidFill>
          <a:round/>
          <a:headEnd/>
          <a:tailEnd/>
        </a:ln>
      </xdr:spPr>
    </xdr:sp>
    <xdr:clientData/>
  </xdr:twoCellAnchor>
  <xdr:twoCellAnchor>
    <xdr:from>
      <xdr:col>12</xdr:col>
      <xdr:colOff>581025</xdr:colOff>
      <xdr:row>15</xdr:row>
      <xdr:rowOff>57150</xdr:rowOff>
    </xdr:from>
    <xdr:to>
      <xdr:col>13</xdr:col>
      <xdr:colOff>323850</xdr:colOff>
      <xdr:row>19</xdr:row>
      <xdr:rowOff>28575</xdr:rowOff>
    </xdr:to>
    <xdr:sp macro="" textlink="">
      <xdr:nvSpPr>
        <xdr:cNvPr id="173860" name="Isosceles Triangle 25"/>
        <xdr:cNvSpPr>
          <a:spLocks noChangeArrowheads="1"/>
        </xdr:cNvSpPr>
      </xdr:nvSpPr>
      <xdr:spPr bwMode="auto">
        <a:xfrm>
          <a:off x="8153400" y="2686050"/>
          <a:ext cx="352425" cy="619125"/>
        </a:xfrm>
        <a:prstGeom prst="triangle">
          <a:avLst>
            <a:gd name="adj" fmla="val 50000"/>
          </a:avLst>
        </a:prstGeom>
        <a:solidFill>
          <a:srgbClr val="00B0F0"/>
        </a:solidFill>
        <a:ln w="9525" algn="ctr">
          <a:solidFill>
            <a:srgbClr val="000000"/>
          </a:solidFill>
          <a:round/>
          <a:headEnd/>
          <a:tailEnd/>
        </a:ln>
      </xdr:spPr>
    </xdr:sp>
    <xdr:clientData/>
  </xdr:twoCellAnchor>
  <xdr:twoCellAnchor>
    <xdr:from>
      <xdr:col>13</xdr:col>
      <xdr:colOff>76199</xdr:colOff>
      <xdr:row>15</xdr:row>
      <xdr:rowOff>47625</xdr:rowOff>
    </xdr:from>
    <xdr:to>
      <xdr:col>13</xdr:col>
      <xdr:colOff>276224</xdr:colOff>
      <xdr:row>15</xdr:row>
      <xdr:rowOff>142875</xdr:rowOff>
    </xdr:to>
    <xdr:sp macro="" textlink="">
      <xdr:nvSpPr>
        <xdr:cNvPr id="27" name="Snip Same Side Corner Rectangle 26"/>
        <xdr:cNvSpPr/>
      </xdr:nvSpPr>
      <xdr:spPr bwMode="auto">
        <a:xfrm rot="-8460000">
          <a:off x="8000999" y="2609850"/>
          <a:ext cx="200025" cy="95250"/>
        </a:xfrm>
        <a:prstGeom prst="snip2Same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endParaRPr lang="en-US"/>
        </a:p>
      </xdr:txBody>
    </xdr:sp>
    <xdr:clientData/>
  </xdr:twoCellAnchor>
  <xdr:twoCellAnchor>
    <xdr:from>
      <xdr:col>8</xdr:col>
      <xdr:colOff>590550</xdr:colOff>
      <xdr:row>3</xdr:row>
      <xdr:rowOff>133350</xdr:rowOff>
    </xdr:from>
    <xdr:to>
      <xdr:col>10</xdr:col>
      <xdr:colOff>200025</xdr:colOff>
      <xdr:row>8</xdr:row>
      <xdr:rowOff>57150</xdr:rowOff>
    </xdr:to>
    <xdr:cxnSp macro="">
      <xdr:nvCxnSpPr>
        <xdr:cNvPr id="173862" name="Straight Connector 17"/>
        <xdr:cNvCxnSpPr>
          <a:cxnSpLocks noChangeShapeType="1"/>
        </xdr:cNvCxnSpPr>
      </xdr:nvCxnSpPr>
      <xdr:spPr bwMode="auto">
        <a:xfrm flipV="1">
          <a:off x="5467350" y="704850"/>
          <a:ext cx="923925" cy="790575"/>
        </a:xfrm>
        <a:prstGeom prst="line">
          <a:avLst/>
        </a:prstGeom>
        <a:noFill/>
        <a:ln w="9525" algn="ctr">
          <a:solidFill>
            <a:srgbClr val="000000"/>
          </a:solidFill>
          <a:prstDash val="lgDashDot"/>
          <a:round/>
          <a:headEnd/>
          <a:tailEnd/>
        </a:ln>
      </xdr:spPr>
    </xdr:cxnSp>
    <xdr:clientData/>
  </xdr:twoCellAnchor>
  <xdr:twoCellAnchor>
    <xdr:from>
      <xdr:col>8</xdr:col>
      <xdr:colOff>581025</xdr:colOff>
      <xdr:row>2</xdr:row>
      <xdr:rowOff>152400</xdr:rowOff>
    </xdr:from>
    <xdr:to>
      <xdr:col>10</xdr:col>
      <xdr:colOff>66675</xdr:colOff>
      <xdr:row>8</xdr:row>
      <xdr:rowOff>47625</xdr:rowOff>
    </xdr:to>
    <xdr:cxnSp macro="">
      <xdr:nvCxnSpPr>
        <xdr:cNvPr id="173863" name="Straight Arrow Connector 19"/>
        <xdr:cNvCxnSpPr>
          <a:cxnSpLocks noChangeShapeType="1"/>
        </xdr:cNvCxnSpPr>
      </xdr:nvCxnSpPr>
      <xdr:spPr bwMode="auto">
        <a:xfrm rot="5400000" flipH="1" flipV="1">
          <a:off x="5391150" y="619125"/>
          <a:ext cx="933450" cy="800100"/>
        </a:xfrm>
        <a:prstGeom prst="straightConnector1">
          <a:avLst/>
        </a:prstGeom>
        <a:noFill/>
        <a:ln w="9525" algn="ctr">
          <a:solidFill>
            <a:srgbClr val="000000"/>
          </a:solidFill>
          <a:round/>
          <a:headEnd/>
          <a:tailEnd type="triangle" w="med" len="med"/>
        </a:ln>
      </xdr:spPr>
    </xdr:cxnSp>
    <xdr:clientData/>
  </xdr:twoCellAnchor>
  <xdr:twoCellAnchor>
    <xdr:from>
      <xdr:col>14</xdr:col>
      <xdr:colOff>266700</xdr:colOff>
      <xdr:row>5</xdr:row>
      <xdr:rowOff>114300</xdr:rowOff>
    </xdr:from>
    <xdr:to>
      <xdr:col>15</xdr:col>
      <xdr:colOff>476250</xdr:colOff>
      <xdr:row>10</xdr:row>
      <xdr:rowOff>104775</xdr:rowOff>
    </xdr:to>
    <xdr:cxnSp macro="">
      <xdr:nvCxnSpPr>
        <xdr:cNvPr id="173864" name="Straight Connector 21"/>
        <xdr:cNvCxnSpPr>
          <a:cxnSpLocks noChangeShapeType="1"/>
        </xdr:cNvCxnSpPr>
      </xdr:nvCxnSpPr>
      <xdr:spPr bwMode="auto">
        <a:xfrm rot="5400000" flipH="1" flipV="1">
          <a:off x="9063037" y="1052513"/>
          <a:ext cx="809625" cy="819150"/>
        </a:xfrm>
        <a:prstGeom prst="line">
          <a:avLst/>
        </a:prstGeom>
        <a:noFill/>
        <a:ln w="9525" algn="ctr">
          <a:solidFill>
            <a:srgbClr val="000000"/>
          </a:solidFill>
          <a:prstDash val="lgDashDot"/>
          <a:round/>
          <a:headEnd/>
          <a:tailEnd/>
        </a:ln>
      </xdr:spPr>
    </xdr:cxnSp>
    <xdr:clientData/>
  </xdr:twoCellAnchor>
  <xdr:twoCellAnchor>
    <xdr:from>
      <xdr:col>14</xdr:col>
      <xdr:colOff>276225</xdr:colOff>
      <xdr:row>5</xdr:row>
      <xdr:rowOff>38100</xdr:rowOff>
    </xdr:from>
    <xdr:to>
      <xdr:col>15</xdr:col>
      <xdr:colOff>371475</xdr:colOff>
      <xdr:row>10</xdr:row>
      <xdr:rowOff>95250</xdr:rowOff>
    </xdr:to>
    <xdr:cxnSp macro="">
      <xdr:nvCxnSpPr>
        <xdr:cNvPr id="173865" name="Straight Arrow Connector 23"/>
        <xdr:cNvCxnSpPr>
          <a:cxnSpLocks noChangeShapeType="1"/>
        </xdr:cNvCxnSpPr>
      </xdr:nvCxnSpPr>
      <xdr:spPr bwMode="auto">
        <a:xfrm rot="5400000" flipH="1" flipV="1">
          <a:off x="8982075" y="1066800"/>
          <a:ext cx="876300" cy="704850"/>
        </a:xfrm>
        <a:prstGeom prst="straightConnector1">
          <a:avLst/>
        </a:prstGeom>
        <a:noFill/>
        <a:ln w="9525" algn="ctr">
          <a:solidFill>
            <a:srgbClr val="000000"/>
          </a:solidFill>
          <a:round/>
          <a:headEnd/>
          <a:tailEnd type="triangle" w="med" len="med"/>
        </a:ln>
      </xdr:spPr>
    </xdr:cxnSp>
    <xdr:clientData/>
  </xdr:twoCellAnchor>
  <xdr:oneCellAnchor>
    <xdr:from>
      <xdr:col>10</xdr:col>
      <xdr:colOff>57150</xdr:colOff>
      <xdr:row>2</xdr:row>
      <xdr:rowOff>57150</xdr:rowOff>
    </xdr:from>
    <xdr:ext cx="150987" cy="225154"/>
    <xdr:sp macro="" textlink="">
      <xdr:nvSpPr>
        <xdr:cNvPr id="25" name="TextBox 24"/>
        <xdr:cNvSpPr txBox="1"/>
      </xdr:nvSpPr>
      <xdr:spPr>
        <a:xfrm>
          <a:off x="6153150" y="457200"/>
          <a:ext cx="273665" cy="27206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sym typeface="Symbol"/>
            </a:rPr>
            <a:t></a:t>
          </a:r>
          <a:endParaRPr lang="en-US" sz="1100"/>
        </a:p>
      </xdr:txBody>
    </xdr:sp>
    <xdr:clientData/>
  </xdr:oneCellAnchor>
  <xdr:oneCellAnchor>
    <xdr:from>
      <xdr:col>15</xdr:col>
      <xdr:colOff>419100</xdr:colOff>
      <xdr:row>3</xdr:row>
      <xdr:rowOff>200025</xdr:rowOff>
    </xdr:from>
    <xdr:ext cx="150987" cy="225154"/>
    <xdr:sp macro="" textlink="">
      <xdr:nvSpPr>
        <xdr:cNvPr id="26" name="TextBox 25"/>
        <xdr:cNvSpPr txBox="1"/>
      </xdr:nvSpPr>
      <xdr:spPr>
        <a:xfrm>
          <a:off x="9563100" y="771525"/>
          <a:ext cx="273665" cy="27206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sym typeface="Symbol"/>
            </a:rPr>
            <a:t></a:t>
          </a:r>
          <a:endParaRPr lang="en-US" sz="1100"/>
        </a:p>
      </xdr:txBody>
    </xdr:sp>
    <xdr:clientData/>
  </xdr:oneCellAnchor>
  <xdr:twoCellAnchor>
    <xdr:from>
      <xdr:col>9</xdr:col>
      <xdr:colOff>457200</xdr:colOff>
      <xdr:row>6</xdr:row>
      <xdr:rowOff>76200</xdr:rowOff>
    </xdr:from>
    <xdr:to>
      <xdr:col>11</xdr:col>
      <xdr:colOff>285750</xdr:colOff>
      <xdr:row>6</xdr:row>
      <xdr:rowOff>77788</xdr:rowOff>
    </xdr:to>
    <xdr:cxnSp macro="">
      <xdr:nvCxnSpPr>
        <xdr:cNvPr id="31" name="Straight Arrow Connector 30"/>
        <xdr:cNvCxnSpPr/>
      </xdr:nvCxnSpPr>
      <xdr:spPr bwMode="auto">
        <a:xfrm rot="10800000">
          <a:off x="5943600" y="1190625"/>
          <a:ext cx="1047750" cy="1588"/>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228600</xdr:colOff>
      <xdr:row>12</xdr:row>
      <xdr:rowOff>95250</xdr:rowOff>
    </xdr:from>
    <xdr:to>
      <xdr:col>9</xdr:col>
      <xdr:colOff>457202</xdr:colOff>
      <xdr:row>12</xdr:row>
      <xdr:rowOff>96840</xdr:rowOff>
    </xdr:to>
    <xdr:cxnSp macro="">
      <xdr:nvCxnSpPr>
        <xdr:cNvPr id="32" name="Straight Arrow Connector 31"/>
        <xdr:cNvCxnSpPr/>
      </xdr:nvCxnSpPr>
      <xdr:spPr bwMode="auto">
        <a:xfrm rot="10800000">
          <a:off x="5105400" y="2190750"/>
          <a:ext cx="838202" cy="1590"/>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161925</xdr:colOff>
      <xdr:row>6</xdr:row>
      <xdr:rowOff>95250</xdr:rowOff>
    </xdr:from>
    <xdr:to>
      <xdr:col>15</xdr:col>
      <xdr:colOff>28575</xdr:colOff>
      <xdr:row>6</xdr:row>
      <xdr:rowOff>96839</xdr:rowOff>
    </xdr:to>
    <xdr:cxnSp macro="">
      <xdr:nvCxnSpPr>
        <xdr:cNvPr id="34" name="Straight Arrow Connector 33"/>
        <xdr:cNvCxnSpPr/>
      </xdr:nvCxnSpPr>
      <xdr:spPr bwMode="auto">
        <a:xfrm flipV="1">
          <a:off x="8086725" y="1209675"/>
          <a:ext cx="1085850" cy="1589"/>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142875</xdr:colOff>
      <xdr:row>12</xdr:row>
      <xdr:rowOff>104775</xdr:rowOff>
    </xdr:from>
    <xdr:to>
      <xdr:col>12</xdr:col>
      <xdr:colOff>323850</xdr:colOff>
      <xdr:row>12</xdr:row>
      <xdr:rowOff>106363</xdr:rowOff>
    </xdr:to>
    <xdr:cxnSp macro="">
      <xdr:nvCxnSpPr>
        <xdr:cNvPr id="38" name="Straight Arrow Connector 37"/>
        <xdr:cNvCxnSpPr/>
      </xdr:nvCxnSpPr>
      <xdr:spPr bwMode="auto">
        <a:xfrm>
          <a:off x="6848475" y="2200275"/>
          <a:ext cx="790575" cy="1588"/>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180976</xdr:colOff>
      <xdr:row>14</xdr:row>
      <xdr:rowOff>104775</xdr:rowOff>
    </xdr:from>
    <xdr:to>
      <xdr:col>7</xdr:col>
      <xdr:colOff>95251</xdr:colOff>
      <xdr:row>29</xdr:row>
      <xdr:rowOff>161925</xdr:rowOff>
    </xdr:to>
    <xdr:cxnSp macro="">
      <xdr:nvCxnSpPr>
        <xdr:cNvPr id="42" name="Elbow Connector 41"/>
        <xdr:cNvCxnSpPr/>
      </xdr:nvCxnSpPr>
      <xdr:spPr bwMode="auto">
        <a:xfrm rot="5400000">
          <a:off x="2857501" y="3514725"/>
          <a:ext cx="2486025" cy="523875"/>
        </a:xfrm>
        <a:prstGeom prst="bentConnector3">
          <a:avLst>
            <a:gd name="adj1" fmla="val 50000"/>
          </a:avLst>
        </a:prstGeom>
        <a:ln w="19050">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139605</xdr:colOff>
      <xdr:row>11</xdr:row>
      <xdr:rowOff>142017</xdr:rowOff>
    </xdr:from>
    <xdr:to>
      <xdr:col>14</xdr:col>
      <xdr:colOff>200025</xdr:colOff>
      <xdr:row>17</xdr:row>
      <xdr:rowOff>9525</xdr:rowOff>
    </xdr:to>
    <xdr:cxnSp macro="">
      <xdr:nvCxnSpPr>
        <xdr:cNvPr id="44" name="Straight Connector 43"/>
        <xdr:cNvCxnSpPr/>
      </xdr:nvCxnSpPr>
      <xdr:spPr bwMode="auto">
        <a:xfrm rot="16200000" flipH="1">
          <a:off x="8275161" y="2464911"/>
          <a:ext cx="858108" cy="60420"/>
        </a:xfrm>
        <a:prstGeom prst="line">
          <a:avLst/>
        </a:prstGeom>
        <a:ln w="19050">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352425</xdr:colOff>
      <xdr:row>17</xdr:row>
      <xdr:rowOff>9524</xdr:rowOff>
    </xdr:from>
    <xdr:to>
      <xdr:col>14</xdr:col>
      <xdr:colOff>200025</xdr:colOff>
      <xdr:row>23</xdr:row>
      <xdr:rowOff>19049</xdr:rowOff>
    </xdr:to>
    <xdr:cxnSp macro="">
      <xdr:nvCxnSpPr>
        <xdr:cNvPr id="48" name="Elbow Connector 47"/>
        <xdr:cNvCxnSpPr/>
      </xdr:nvCxnSpPr>
      <xdr:spPr bwMode="auto">
        <a:xfrm rot="10800000" flipV="1">
          <a:off x="4010025" y="2924174"/>
          <a:ext cx="4724400" cy="981075"/>
        </a:xfrm>
        <a:prstGeom prst="bentConnector3">
          <a:avLst>
            <a:gd name="adj1" fmla="val 50000"/>
          </a:avLst>
        </a:prstGeom>
        <a:ln w="1905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342900</xdr:colOff>
      <xdr:row>23</xdr:row>
      <xdr:rowOff>10320</xdr:rowOff>
    </xdr:from>
    <xdr:to>
      <xdr:col>6</xdr:col>
      <xdr:colOff>353219</xdr:colOff>
      <xdr:row>29</xdr:row>
      <xdr:rowOff>161926</xdr:rowOff>
    </xdr:to>
    <xdr:cxnSp macro="">
      <xdr:nvCxnSpPr>
        <xdr:cNvPr id="50" name="Straight Connector 49"/>
        <xdr:cNvCxnSpPr/>
      </xdr:nvCxnSpPr>
      <xdr:spPr bwMode="auto">
        <a:xfrm rot="5400000">
          <a:off x="3444082" y="4452938"/>
          <a:ext cx="1123156" cy="10319"/>
        </a:xfrm>
        <a:prstGeom prst="line">
          <a:avLst/>
        </a:prstGeom>
        <a:ln w="1905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447675</xdr:colOff>
      <xdr:row>28</xdr:row>
      <xdr:rowOff>142875</xdr:rowOff>
    </xdr:from>
    <xdr:to>
      <xdr:col>9</xdr:col>
      <xdr:colOff>142875</xdr:colOff>
      <xdr:row>31</xdr:row>
      <xdr:rowOff>152400</xdr:rowOff>
    </xdr:to>
    <xdr:sp macro="" textlink="">
      <xdr:nvSpPr>
        <xdr:cNvPr id="51" name="Rectangle 50"/>
        <xdr:cNvSpPr/>
      </xdr:nvSpPr>
      <xdr:spPr bwMode="auto">
        <a:xfrm>
          <a:off x="4714875" y="4876800"/>
          <a:ext cx="914400" cy="514350"/>
        </a:xfrm>
        <a:prstGeom prst="rect">
          <a:avLst/>
        </a:prstGeom>
        <a:solidFill>
          <a:srgbClr val="00B0F0"/>
        </a:solidFill>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wrap="square" lIns="18288" tIns="0" rIns="0" bIns="0" rtlCol="0" anchor="ctr" upright="1"/>
        <a:lstStyle/>
        <a:p>
          <a:endParaRPr lang="en-US"/>
        </a:p>
      </xdr:txBody>
    </xdr:sp>
    <xdr:clientData/>
  </xdr:twoCellAnchor>
  <xdr:twoCellAnchor>
    <xdr:from>
      <xdr:col>7</xdr:col>
      <xdr:colOff>466726</xdr:colOff>
      <xdr:row>14</xdr:row>
      <xdr:rowOff>123825</xdr:rowOff>
    </xdr:from>
    <xdr:to>
      <xdr:col>10</xdr:col>
      <xdr:colOff>57151</xdr:colOff>
      <xdr:row>14</xdr:row>
      <xdr:rowOff>125413</xdr:rowOff>
    </xdr:to>
    <xdr:cxnSp macro="">
      <xdr:nvCxnSpPr>
        <xdr:cNvPr id="55" name="Straight Arrow Connector 54"/>
        <xdr:cNvCxnSpPr/>
      </xdr:nvCxnSpPr>
      <xdr:spPr bwMode="auto">
        <a:xfrm rot="10800000">
          <a:off x="4733926" y="2552700"/>
          <a:ext cx="1514475" cy="1588"/>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552450</xdr:colOff>
      <xdr:row>14</xdr:row>
      <xdr:rowOff>133350</xdr:rowOff>
    </xdr:from>
    <xdr:to>
      <xdr:col>12</xdr:col>
      <xdr:colOff>590550</xdr:colOff>
      <xdr:row>14</xdr:row>
      <xdr:rowOff>134938</xdr:rowOff>
    </xdr:to>
    <xdr:cxnSp macro="">
      <xdr:nvCxnSpPr>
        <xdr:cNvPr id="58" name="Straight Arrow Connector 57"/>
        <xdr:cNvCxnSpPr/>
      </xdr:nvCxnSpPr>
      <xdr:spPr bwMode="auto">
        <a:xfrm>
          <a:off x="6743700" y="2562225"/>
          <a:ext cx="1419225" cy="1588"/>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566740</xdr:colOff>
      <xdr:row>28</xdr:row>
      <xdr:rowOff>80962</xdr:rowOff>
    </xdr:from>
    <xdr:to>
      <xdr:col>11</xdr:col>
      <xdr:colOff>719140</xdr:colOff>
      <xdr:row>32</xdr:row>
      <xdr:rowOff>71437</xdr:rowOff>
    </xdr:to>
    <xdr:sp macro="" textlink="">
      <xdr:nvSpPr>
        <xdr:cNvPr id="59" name="Isosceles Triangle 58"/>
        <xdr:cNvSpPr/>
      </xdr:nvSpPr>
      <xdr:spPr bwMode="auto">
        <a:xfrm rot="16200000">
          <a:off x="6715127" y="4762500"/>
          <a:ext cx="657225" cy="762000"/>
        </a:xfrm>
        <a:prstGeom prst="triangle">
          <a:avLst/>
        </a:prstGeom>
        <a:solidFill>
          <a:srgbClr val="00B0F0"/>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a:t>TX</a:t>
          </a:r>
        </a:p>
      </xdr:txBody>
    </xdr:sp>
    <xdr:clientData/>
  </xdr:twoCellAnchor>
  <xdr:twoCellAnchor>
    <xdr:from>
      <xdr:col>7</xdr:col>
      <xdr:colOff>0</xdr:colOff>
      <xdr:row>30</xdr:row>
      <xdr:rowOff>76200</xdr:rowOff>
    </xdr:from>
    <xdr:to>
      <xdr:col>7</xdr:col>
      <xdr:colOff>457200</xdr:colOff>
      <xdr:row>30</xdr:row>
      <xdr:rowOff>77788</xdr:rowOff>
    </xdr:to>
    <xdr:cxnSp macro="">
      <xdr:nvCxnSpPr>
        <xdr:cNvPr id="61" name="Straight Connector 60"/>
        <xdr:cNvCxnSpPr/>
      </xdr:nvCxnSpPr>
      <xdr:spPr bwMode="auto">
        <a:xfrm>
          <a:off x="4267200" y="5143500"/>
          <a:ext cx="457200" cy="1588"/>
        </a:xfrm>
        <a:prstGeom prst="line">
          <a:avLst/>
        </a:prstGeom>
        <a:ln w="1905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142876</xdr:colOff>
      <xdr:row>30</xdr:row>
      <xdr:rowOff>66676</xdr:rowOff>
    </xdr:from>
    <xdr:to>
      <xdr:col>10</xdr:col>
      <xdr:colOff>566741</xdr:colOff>
      <xdr:row>30</xdr:row>
      <xdr:rowOff>76201</xdr:rowOff>
    </xdr:to>
    <xdr:cxnSp macro="">
      <xdr:nvCxnSpPr>
        <xdr:cNvPr id="64" name="Straight Connector 63"/>
        <xdr:cNvCxnSpPr>
          <a:stCxn id="59" idx="0"/>
          <a:endCxn id="51" idx="3"/>
        </xdr:cNvCxnSpPr>
      </xdr:nvCxnSpPr>
      <xdr:spPr bwMode="auto">
        <a:xfrm rot="10800000">
          <a:off x="5629276" y="5133976"/>
          <a:ext cx="1033465" cy="9525"/>
        </a:xfrm>
        <a:prstGeom prst="line">
          <a:avLst/>
        </a:prstGeom>
        <a:ln w="1905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171450</xdr:colOff>
      <xdr:row>29</xdr:row>
      <xdr:rowOff>38100</xdr:rowOff>
    </xdr:from>
    <xdr:to>
      <xdr:col>8</xdr:col>
      <xdr:colOff>371475</xdr:colOff>
      <xdr:row>30</xdr:row>
      <xdr:rowOff>0</xdr:rowOff>
    </xdr:to>
    <xdr:cxnSp macro="">
      <xdr:nvCxnSpPr>
        <xdr:cNvPr id="173882" name="Curved Connector 73"/>
        <xdr:cNvCxnSpPr>
          <a:cxnSpLocks noChangeShapeType="1"/>
        </xdr:cNvCxnSpPr>
      </xdr:nvCxnSpPr>
      <xdr:spPr bwMode="auto">
        <a:xfrm rot="12960000" flipH="1">
          <a:off x="5048250" y="4972050"/>
          <a:ext cx="200025" cy="133350"/>
        </a:xfrm>
        <a:prstGeom prst="curvedConnector3">
          <a:avLst>
            <a:gd name="adj1" fmla="val 50000"/>
          </a:avLst>
        </a:prstGeom>
        <a:noFill/>
        <a:ln w="9525" algn="ctr">
          <a:solidFill>
            <a:srgbClr val="000000"/>
          </a:solidFill>
          <a:round/>
          <a:headEnd/>
          <a:tailEnd/>
        </a:ln>
      </xdr:spPr>
    </xdr:cxnSp>
    <xdr:clientData/>
  </xdr:twoCellAnchor>
  <xdr:twoCellAnchor>
    <xdr:from>
      <xdr:col>8</xdr:col>
      <xdr:colOff>180975</xdr:colOff>
      <xdr:row>29</xdr:row>
      <xdr:rowOff>161925</xdr:rowOff>
    </xdr:from>
    <xdr:to>
      <xdr:col>8</xdr:col>
      <xdr:colOff>381000</xdr:colOff>
      <xdr:row>30</xdr:row>
      <xdr:rowOff>123825</xdr:rowOff>
    </xdr:to>
    <xdr:cxnSp macro="">
      <xdr:nvCxnSpPr>
        <xdr:cNvPr id="173883" name="Curved Connector 74"/>
        <xdr:cNvCxnSpPr>
          <a:cxnSpLocks noChangeShapeType="1"/>
        </xdr:cNvCxnSpPr>
      </xdr:nvCxnSpPr>
      <xdr:spPr bwMode="auto">
        <a:xfrm rot="12960000" flipH="1">
          <a:off x="5057775" y="5095875"/>
          <a:ext cx="200025" cy="133350"/>
        </a:xfrm>
        <a:prstGeom prst="curvedConnector3">
          <a:avLst>
            <a:gd name="adj1" fmla="val 50000"/>
          </a:avLst>
        </a:prstGeom>
        <a:noFill/>
        <a:ln w="9525" algn="ctr">
          <a:solidFill>
            <a:srgbClr val="000000"/>
          </a:solidFill>
          <a:round/>
          <a:headEnd/>
          <a:tailEnd/>
        </a:ln>
      </xdr:spPr>
    </xdr:cxnSp>
    <xdr:clientData/>
  </xdr:twoCellAnchor>
  <xdr:twoCellAnchor>
    <xdr:from>
      <xdr:col>8</xdr:col>
      <xdr:colOff>200025</xdr:colOff>
      <xdr:row>30</xdr:row>
      <xdr:rowOff>123825</xdr:rowOff>
    </xdr:from>
    <xdr:to>
      <xdr:col>8</xdr:col>
      <xdr:colOff>400050</xdr:colOff>
      <xdr:row>31</xdr:row>
      <xdr:rowOff>85725</xdr:rowOff>
    </xdr:to>
    <xdr:cxnSp macro="">
      <xdr:nvCxnSpPr>
        <xdr:cNvPr id="173884" name="Curved Connector 75"/>
        <xdr:cNvCxnSpPr>
          <a:cxnSpLocks noChangeShapeType="1"/>
        </xdr:cNvCxnSpPr>
      </xdr:nvCxnSpPr>
      <xdr:spPr bwMode="auto">
        <a:xfrm rot="12960000" flipH="1">
          <a:off x="5076825" y="5229225"/>
          <a:ext cx="200025" cy="133350"/>
        </a:xfrm>
        <a:prstGeom prst="curvedConnector3">
          <a:avLst>
            <a:gd name="adj1" fmla="val 50000"/>
          </a:avLst>
        </a:prstGeom>
        <a:noFill/>
        <a:ln w="9525" algn="ctr">
          <a:solidFill>
            <a:srgbClr val="000000"/>
          </a:solidFill>
          <a:round/>
          <a:headEnd/>
          <a:tailEnd/>
        </a:ln>
      </xdr:spPr>
    </xdr:cxnSp>
    <xdr:clientData/>
  </xdr:twoCellAnchor>
  <xdr:twoCellAnchor>
    <xdr:from>
      <xdr:col>8</xdr:col>
      <xdr:colOff>266700</xdr:colOff>
      <xdr:row>29</xdr:row>
      <xdr:rowOff>19050</xdr:rowOff>
    </xdr:from>
    <xdr:to>
      <xdr:col>8</xdr:col>
      <xdr:colOff>304800</xdr:colOff>
      <xdr:row>29</xdr:row>
      <xdr:rowOff>161925</xdr:rowOff>
    </xdr:to>
    <xdr:cxnSp macro="">
      <xdr:nvCxnSpPr>
        <xdr:cNvPr id="173885" name="Straight Connector 77"/>
        <xdr:cNvCxnSpPr>
          <a:cxnSpLocks noChangeShapeType="1"/>
        </xdr:cNvCxnSpPr>
      </xdr:nvCxnSpPr>
      <xdr:spPr bwMode="auto">
        <a:xfrm rot="5400000">
          <a:off x="5091112" y="5005388"/>
          <a:ext cx="142875" cy="38100"/>
        </a:xfrm>
        <a:prstGeom prst="line">
          <a:avLst/>
        </a:prstGeom>
        <a:noFill/>
        <a:ln w="9525" algn="ctr">
          <a:solidFill>
            <a:srgbClr val="000000"/>
          </a:solidFill>
          <a:round/>
          <a:headEnd/>
          <a:tailEnd/>
        </a:ln>
      </xdr:spPr>
    </xdr:cxnSp>
    <xdr:clientData/>
  </xdr:twoCellAnchor>
  <xdr:twoCellAnchor>
    <xdr:from>
      <xdr:col>8</xdr:col>
      <xdr:colOff>285750</xdr:colOff>
      <xdr:row>30</xdr:row>
      <xdr:rowOff>114300</xdr:rowOff>
    </xdr:from>
    <xdr:to>
      <xdr:col>8</xdr:col>
      <xdr:colOff>323850</xdr:colOff>
      <xdr:row>31</xdr:row>
      <xdr:rowOff>85725</xdr:rowOff>
    </xdr:to>
    <xdr:cxnSp macro="">
      <xdr:nvCxnSpPr>
        <xdr:cNvPr id="173886" name="Straight Connector 79"/>
        <xdr:cNvCxnSpPr>
          <a:cxnSpLocks noChangeShapeType="1"/>
        </xdr:cNvCxnSpPr>
      </xdr:nvCxnSpPr>
      <xdr:spPr bwMode="auto">
        <a:xfrm rot="5400000">
          <a:off x="5110162" y="5272088"/>
          <a:ext cx="142875" cy="38100"/>
        </a:xfrm>
        <a:prstGeom prst="line">
          <a:avLst/>
        </a:prstGeom>
        <a:noFill/>
        <a:ln w="9525" algn="ctr">
          <a:solidFill>
            <a:srgbClr val="000000"/>
          </a:solidFill>
          <a:round/>
          <a:headEnd/>
          <a:tailEnd/>
        </a:ln>
      </xdr:spPr>
    </xdr:cxnSp>
    <xdr:clientData/>
  </xdr:twoCellAnchor>
  <xdr:twoCellAnchor>
    <xdr:from>
      <xdr:col>6</xdr:col>
      <xdr:colOff>514352</xdr:colOff>
      <xdr:row>63</xdr:row>
      <xdr:rowOff>152399</xdr:rowOff>
    </xdr:from>
    <xdr:to>
      <xdr:col>8</xdr:col>
      <xdr:colOff>495300</xdr:colOff>
      <xdr:row>70</xdr:row>
      <xdr:rowOff>114299</xdr:rowOff>
    </xdr:to>
    <xdr:cxnSp macro="">
      <xdr:nvCxnSpPr>
        <xdr:cNvPr id="81" name="Straight Connector 80"/>
        <xdr:cNvCxnSpPr/>
      </xdr:nvCxnSpPr>
      <xdr:spPr bwMode="auto">
        <a:xfrm rot="10800000" flipV="1">
          <a:off x="4171952" y="1590674"/>
          <a:ext cx="1200148" cy="1114425"/>
        </a:xfrm>
        <a:prstGeom prst="line">
          <a:avLst/>
        </a:prstGeom>
        <a:ln w="19050">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352425</xdr:colOff>
      <xdr:row>69</xdr:row>
      <xdr:rowOff>104775</xdr:rowOff>
    </xdr:from>
    <xdr:to>
      <xdr:col>7</xdr:col>
      <xdr:colOff>47625</xdr:colOff>
      <xdr:row>71</xdr:row>
      <xdr:rowOff>114300</xdr:rowOff>
    </xdr:to>
    <xdr:cxnSp macro="">
      <xdr:nvCxnSpPr>
        <xdr:cNvPr id="173888" name="Straight Connector 4"/>
        <xdr:cNvCxnSpPr>
          <a:cxnSpLocks noChangeShapeType="1"/>
        </xdr:cNvCxnSpPr>
      </xdr:nvCxnSpPr>
      <xdr:spPr bwMode="auto">
        <a:xfrm rot="16200000" flipH="1">
          <a:off x="3995737" y="11739563"/>
          <a:ext cx="333375" cy="304800"/>
        </a:xfrm>
        <a:prstGeom prst="line">
          <a:avLst/>
        </a:prstGeom>
        <a:noFill/>
        <a:ln w="9525" algn="ctr">
          <a:solidFill>
            <a:srgbClr val="000000"/>
          </a:solidFill>
          <a:round/>
          <a:headEnd/>
          <a:tailEnd/>
        </a:ln>
      </xdr:spPr>
    </xdr:cxnSp>
    <xdr:clientData/>
  </xdr:twoCellAnchor>
  <xdr:twoCellAnchor>
    <xdr:from>
      <xdr:col>6</xdr:col>
      <xdr:colOff>561975</xdr:colOff>
      <xdr:row>68</xdr:row>
      <xdr:rowOff>95250</xdr:rowOff>
    </xdr:from>
    <xdr:to>
      <xdr:col>7</xdr:col>
      <xdr:colOff>257175</xdr:colOff>
      <xdr:row>70</xdr:row>
      <xdr:rowOff>104775</xdr:rowOff>
    </xdr:to>
    <xdr:cxnSp macro="">
      <xdr:nvCxnSpPr>
        <xdr:cNvPr id="83" name="Straight Connector 5"/>
        <xdr:cNvCxnSpPr>
          <a:cxnSpLocks noChangeShapeType="1"/>
        </xdr:cNvCxnSpPr>
      </xdr:nvCxnSpPr>
      <xdr:spPr bwMode="auto">
        <a:xfrm rot="16200000" flipH="1">
          <a:off x="4205287" y="2376488"/>
          <a:ext cx="333375" cy="304800"/>
        </a:xfrm>
        <a:prstGeom prst="line">
          <a:avLst/>
        </a:prstGeom>
        <a:ln w="19050">
          <a:headEnd/>
          <a:tailEn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180975</xdr:colOff>
      <xdr:row>67</xdr:row>
      <xdr:rowOff>28575</xdr:rowOff>
    </xdr:from>
    <xdr:to>
      <xdr:col>7</xdr:col>
      <xdr:colOff>485775</xdr:colOff>
      <xdr:row>69</xdr:row>
      <xdr:rowOff>38100</xdr:rowOff>
    </xdr:to>
    <xdr:cxnSp macro="">
      <xdr:nvCxnSpPr>
        <xdr:cNvPr id="173890" name="Straight Connector 7"/>
        <xdr:cNvCxnSpPr>
          <a:cxnSpLocks noChangeShapeType="1"/>
        </xdr:cNvCxnSpPr>
      </xdr:nvCxnSpPr>
      <xdr:spPr bwMode="auto">
        <a:xfrm rot="16200000" flipH="1">
          <a:off x="4429125" y="11334750"/>
          <a:ext cx="342900" cy="304800"/>
        </a:xfrm>
        <a:prstGeom prst="line">
          <a:avLst/>
        </a:prstGeom>
        <a:noFill/>
        <a:ln w="9525" algn="ctr">
          <a:solidFill>
            <a:srgbClr val="000000"/>
          </a:solidFill>
          <a:round/>
          <a:headEnd/>
          <a:tailEnd/>
        </a:ln>
      </xdr:spPr>
    </xdr:cxnSp>
    <xdr:clientData/>
  </xdr:twoCellAnchor>
  <xdr:twoCellAnchor>
    <xdr:from>
      <xdr:col>7</xdr:col>
      <xdr:colOff>38100</xdr:colOff>
      <xdr:row>68</xdr:row>
      <xdr:rowOff>19050</xdr:rowOff>
    </xdr:from>
    <xdr:to>
      <xdr:col>7</xdr:col>
      <xdr:colOff>342900</xdr:colOff>
      <xdr:row>70</xdr:row>
      <xdr:rowOff>28575</xdr:rowOff>
    </xdr:to>
    <xdr:cxnSp macro="">
      <xdr:nvCxnSpPr>
        <xdr:cNvPr id="173891" name="Straight Connector 8"/>
        <xdr:cNvCxnSpPr>
          <a:cxnSpLocks noChangeShapeType="1"/>
        </xdr:cNvCxnSpPr>
      </xdr:nvCxnSpPr>
      <xdr:spPr bwMode="auto">
        <a:xfrm rot="16200000" flipH="1">
          <a:off x="4291012" y="11491913"/>
          <a:ext cx="333375" cy="304800"/>
        </a:xfrm>
        <a:prstGeom prst="line">
          <a:avLst/>
        </a:prstGeom>
        <a:noFill/>
        <a:ln w="9525" algn="ctr">
          <a:solidFill>
            <a:srgbClr val="000000"/>
          </a:solidFill>
          <a:round/>
          <a:headEnd/>
          <a:tailEnd/>
        </a:ln>
      </xdr:spPr>
    </xdr:cxnSp>
    <xdr:clientData/>
  </xdr:twoCellAnchor>
  <xdr:twoCellAnchor>
    <xdr:from>
      <xdr:col>8</xdr:col>
      <xdr:colOff>95250</xdr:colOff>
      <xdr:row>64</xdr:row>
      <xdr:rowOff>47625</xdr:rowOff>
    </xdr:from>
    <xdr:to>
      <xdr:col>8</xdr:col>
      <xdr:colOff>400050</xdr:colOff>
      <xdr:row>66</xdr:row>
      <xdr:rowOff>57150</xdr:rowOff>
    </xdr:to>
    <xdr:cxnSp macro="">
      <xdr:nvCxnSpPr>
        <xdr:cNvPr id="173892" name="Straight Connector 11"/>
        <xdr:cNvCxnSpPr>
          <a:cxnSpLocks noChangeShapeType="1"/>
        </xdr:cNvCxnSpPr>
      </xdr:nvCxnSpPr>
      <xdr:spPr bwMode="auto">
        <a:xfrm rot="16200000" flipH="1">
          <a:off x="4957762" y="10853738"/>
          <a:ext cx="333375" cy="304800"/>
        </a:xfrm>
        <a:prstGeom prst="line">
          <a:avLst/>
        </a:prstGeom>
        <a:noFill/>
        <a:ln w="9525" algn="ctr">
          <a:solidFill>
            <a:srgbClr val="000000"/>
          </a:solidFill>
          <a:round/>
          <a:headEnd/>
          <a:tailEnd/>
        </a:ln>
      </xdr:spPr>
    </xdr:cxnSp>
    <xdr:clientData/>
  </xdr:twoCellAnchor>
  <xdr:twoCellAnchor>
    <xdr:from>
      <xdr:col>7</xdr:col>
      <xdr:colOff>533400</xdr:colOff>
      <xdr:row>65</xdr:row>
      <xdr:rowOff>47625</xdr:rowOff>
    </xdr:from>
    <xdr:to>
      <xdr:col>8</xdr:col>
      <xdr:colOff>228600</xdr:colOff>
      <xdr:row>67</xdr:row>
      <xdr:rowOff>57150</xdr:rowOff>
    </xdr:to>
    <xdr:cxnSp macro="">
      <xdr:nvCxnSpPr>
        <xdr:cNvPr id="173893" name="Straight Connector 12"/>
        <xdr:cNvCxnSpPr>
          <a:cxnSpLocks noChangeShapeType="1"/>
        </xdr:cNvCxnSpPr>
      </xdr:nvCxnSpPr>
      <xdr:spPr bwMode="auto">
        <a:xfrm rot="16200000" flipH="1">
          <a:off x="4781550" y="11020425"/>
          <a:ext cx="342900" cy="304800"/>
        </a:xfrm>
        <a:prstGeom prst="line">
          <a:avLst/>
        </a:prstGeom>
        <a:noFill/>
        <a:ln w="9525" algn="ctr">
          <a:solidFill>
            <a:srgbClr val="000000"/>
          </a:solidFill>
          <a:round/>
          <a:headEnd/>
          <a:tailEnd/>
        </a:ln>
      </xdr:spPr>
    </xdr:cxnSp>
    <xdr:clientData/>
  </xdr:twoCellAnchor>
  <xdr:twoCellAnchor>
    <xdr:from>
      <xdr:col>7</xdr:col>
      <xdr:colOff>352425</xdr:colOff>
      <xdr:row>66</xdr:row>
      <xdr:rowOff>57150</xdr:rowOff>
    </xdr:from>
    <xdr:to>
      <xdr:col>8</xdr:col>
      <xdr:colOff>47625</xdr:colOff>
      <xdr:row>68</xdr:row>
      <xdr:rowOff>66675</xdr:rowOff>
    </xdr:to>
    <xdr:cxnSp macro="">
      <xdr:nvCxnSpPr>
        <xdr:cNvPr id="173894" name="Straight Connector 13"/>
        <xdr:cNvCxnSpPr>
          <a:cxnSpLocks noChangeShapeType="1"/>
        </xdr:cNvCxnSpPr>
      </xdr:nvCxnSpPr>
      <xdr:spPr bwMode="auto">
        <a:xfrm rot="16200000" flipH="1">
          <a:off x="4595812" y="11196638"/>
          <a:ext cx="352425" cy="304800"/>
        </a:xfrm>
        <a:prstGeom prst="line">
          <a:avLst/>
        </a:prstGeom>
        <a:noFill/>
        <a:ln w="9525" algn="ctr">
          <a:solidFill>
            <a:srgbClr val="000000"/>
          </a:solidFill>
          <a:round/>
          <a:headEnd/>
          <a:tailEnd/>
        </a:ln>
      </xdr:spPr>
    </xdr:cxnSp>
    <xdr:clientData/>
  </xdr:twoCellAnchor>
  <xdr:twoCellAnchor>
    <xdr:from>
      <xdr:col>12</xdr:col>
      <xdr:colOff>319689</xdr:colOff>
      <xdr:row>67</xdr:row>
      <xdr:rowOff>105809</xdr:rowOff>
    </xdr:from>
    <xdr:to>
      <xdr:col>14</xdr:col>
      <xdr:colOff>336680</xdr:colOff>
      <xdr:row>70</xdr:row>
      <xdr:rowOff>93480</xdr:rowOff>
    </xdr:to>
    <xdr:sp macro="" textlink="">
      <xdr:nvSpPr>
        <xdr:cNvPr id="90" name="Chord 89"/>
        <xdr:cNvSpPr/>
      </xdr:nvSpPr>
      <xdr:spPr bwMode="auto">
        <a:xfrm rot="18727733">
          <a:off x="8173424" y="1824699"/>
          <a:ext cx="482971" cy="1236191"/>
        </a:xfrm>
        <a:prstGeom prst="chord">
          <a:avLst>
            <a:gd name="adj1" fmla="val 5385842"/>
            <a:gd name="adj2" fmla="val 16200000"/>
          </a:avLst>
        </a:prstGeom>
        <a:solidFill>
          <a:schemeClr val="bg1">
            <a:lumMod val="5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endParaRPr lang="en-US"/>
        </a:p>
      </xdr:txBody>
    </xdr:sp>
    <xdr:clientData/>
  </xdr:twoCellAnchor>
  <xdr:twoCellAnchor>
    <xdr:from>
      <xdr:col>12</xdr:col>
      <xdr:colOff>476250</xdr:colOff>
      <xdr:row>66</xdr:row>
      <xdr:rowOff>85725</xdr:rowOff>
    </xdr:from>
    <xdr:to>
      <xdr:col>14</xdr:col>
      <xdr:colOff>85725</xdr:colOff>
      <xdr:row>66</xdr:row>
      <xdr:rowOff>114300</xdr:rowOff>
    </xdr:to>
    <xdr:cxnSp macro="">
      <xdr:nvCxnSpPr>
        <xdr:cNvPr id="173896" name="Straight Connector 17"/>
        <xdr:cNvCxnSpPr>
          <a:cxnSpLocks noChangeShapeType="1"/>
          <a:stCxn id="90" idx="1"/>
        </xdr:cNvCxnSpPr>
      </xdr:nvCxnSpPr>
      <xdr:spPr bwMode="auto">
        <a:xfrm rot="10800000" flipH="1" flipV="1">
          <a:off x="8048625" y="11201400"/>
          <a:ext cx="828675" cy="28575"/>
        </a:xfrm>
        <a:prstGeom prst="line">
          <a:avLst/>
        </a:prstGeom>
        <a:noFill/>
        <a:ln w="9525" algn="ctr">
          <a:solidFill>
            <a:srgbClr val="000000"/>
          </a:solidFill>
          <a:round/>
          <a:headEnd/>
          <a:tailEnd/>
        </a:ln>
      </xdr:spPr>
    </xdr:cxnSp>
    <xdr:clientData/>
  </xdr:twoCellAnchor>
  <xdr:twoCellAnchor>
    <xdr:from>
      <xdr:col>14</xdr:col>
      <xdr:colOff>114300</xdr:colOff>
      <xdr:row>66</xdr:row>
      <xdr:rowOff>123825</xdr:rowOff>
    </xdr:from>
    <xdr:to>
      <xdr:col>14</xdr:col>
      <xdr:colOff>180975</xdr:colOff>
      <xdr:row>71</xdr:row>
      <xdr:rowOff>104775</xdr:rowOff>
    </xdr:to>
    <xdr:cxnSp macro="">
      <xdr:nvCxnSpPr>
        <xdr:cNvPr id="173897" name="Straight Connector 20"/>
        <xdr:cNvCxnSpPr>
          <a:cxnSpLocks noChangeShapeType="1"/>
          <a:endCxn id="90" idx="0"/>
        </xdr:cNvCxnSpPr>
      </xdr:nvCxnSpPr>
      <xdr:spPr bwMode="auto">
        <a:xfrm rot="16200000" flipH="1">
          <a:off x="8534400" y="11610975"/>
          <a:ext cx="809625" cy="66675"/>
        </a:xfrm>
        <a:prstGeom prst="line">
          <a:avLst/>
        </a:prstGeom>
        <a:noFill/>
        <a:ln w="9525" algn="ctr">
          <a:solidFill>
            <a:srgbClr val="000000"/>
          </a:solidFill>
          <a:round/>
          <a:headEnd/>
          <a:tailEnd/>
        </a:ln>
      </xdr:spPr>
    </xdr:cxnSp>
    <xdr:clientData/>
  </xdr:twoCellAnchor>
  <xdr:twoCellAnchor>
    <xdr:from>
      <xdr:col>14</xdr:col>
      <xdr:colOff>85725</xdr:colOff>
      <xdr:row>66</xdr:row>
      <xdr:rowOff>9525</xdr:rowOff>
    </xdr:from>
    <xdr:to>
      <xdr:col>14</xdr:col>
      <xdr:colOff>180975</xdr:colOff>
      <xdr:row>67</xdr:row>
      <xdr:rowOff>38100</xdr:rowOff>
    </xdr:to>
    <xdr:sp macro="" textlink="">
      <xdr:nvSpPr>
        <xdr:cNvPr id="173898" name="Can 24"/>
        <xdr:cNvSpPr>
          <a:spLocks noChangeArrowheads="1"/>
        </xdr:cNvSpPr>
      </xdr:nvSpPr>
      <xdr:spPr bwMode="auto">
        <a:xfrm rot="2580000">
          <a:off x="8877300" y="11125200"/>
          <a:ext cx="95250" cy="200025"/>
        </a:xfrm>
        <a:prstGeom prst="can">
          <a:avLst>
            <a:gd name="adj" fmla="val 24996"/>
          </a:avLst>
        </a:prstGeom>
        <a:solidFill>
          <a:srgbClr val="00B0F0"/>
        </a:solidFill>
        <a:ln w="9525" algn="ctr">
          <a:solidFill>
            <a:srgbClr val="000000"/>
          </a:solidFill>
          <a:round/>
          <a:headEnd/>
          <a:tailEnd/>
        </a:ln>
      </xdr:spPr>
    </xdr:sp>
    <xdr:clientData/>
  </xdr:twoCellAnchor>
  <xdr:twoCellAnchor>
    <xdr:from>
      <xdr:col>12</xdr:col>
      <xdr:colOff>581025</xdr:colOff>
      <xdr:row>70</xdr:row>
      <xdr:rowOff>57150</xdr:rowOff>
    </xdr:from>
    <xdr:to>
      <xdr:col>13</xdr:col>
      <xdr:colOff>323850</xdr:colOff>
      <xdr:row>74</xdr:row>
      <xdr:rowOff>28575</xdr:rowOff>
    </xdr:to>
    <xdr:sp macro="" textlink="">
      <xdr:nvSpPr>
        <xdr:cNvPr id="173899" name="Isosceles Triangle 25"/>
        <xdr:cNvSpPr>
          <a:spLocks noChangeArrowheads="1"/>
        </xdr:cNvSpPr>
      </xdr:nvSpPr>
      <xdr:spPr bwMode="auto">
        <a:xfrm>
          <a:off x="8153400" y="11839575"/>
          <a:ext cx="352425" cy="619125"/>
        </a:xfrm>
        <a:prstGeom prst="triangle">
          <a:avLst>
            <a:gd name="adj" fmla="val 50000"/>
          </a:avLst>
        </a:prstGeom>
        <a:solidFill>
          <a:srgbClr val="00B0F0"/>
        </a:solidFill>
        <a:ln w="9525" algn="ctr">
          <a:solidFill>
            <a:srgbClr val="000000"/>
          </a:solidFill>
          <a:round/>
          <a:headEnd/>
          <a:tailEnd/>
        </a:ln>
      </xdr:spPr>
    </xdr:sp>
    <xdr:clientData/>
  </xdr:twoCellAnchor>
  <xdr:twoCellAnchor>
    <xdr:from>
      <xdr:col>13</xdr:col>
      <xdr:colOff>76199</xdr:colOff>
      <xdr:row>70</xdr:row>
      <xdr:rowOff>47625</xdr:rowOff>
    </xdr:from>
    <xdr:to>
      <xdr:col>13</xdr:col>
      <xdr:colOff>276224</xdr:colOff>
      <xdr:row>70</xdr:row>
      <xdr:rowOff>142875</xdr:rowOff>
    </xdr:to>
    <xdr:sp macro="" textlink="">
      <xdr:nvSpPr>
        <xdr:cNvPr id="95" name="Snip Same Side Corner Rectangle 94"/>
        <xdr:cNvSpPr/>
      </xdr:nvSpPr>
      <xdr:spPr bwMode="auto">
        <a:xfrm rot="-8460000">
          <a:off x="8162924" y="2638425"/>
          <a:ext cx="200025" cy="95250"/>
        </a:xfrm>
        <a:prstGeom prst="snip2Same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endParaRPr lang="en-US"/>
        </a:p>
      </xdr:txBody>
    </xdr:sp>
    <xdr:clientData/>
  </xdr:twoCellAnchor>
  <xdr:twoCellAnchor>
    <xdr:from>
      <xdr:col>8</xdr:col>
      <xdr:colOff>590550</xdr:colOff>
      <xdr:row>58</xdr:row>
      <xdr:rowOff>133350</xdr:rowOff>
    </xdr:from>
    <xdr:to>
      <xdr:col>10</xdr:col>
      <xdr:colOff>200025</xdr:colOff>
      <xdr:row>63</xdr:row>
      <xdr:rowOff>57150</xdr:rowOff>
    </xdr:to>
    <xdr:cxnSp macro="">
      <xdr:nvCxnSpPr>
        <xdr:cNvPr id="173901" name="Straight Connector 95"/>
        <xdr:cNvCxnSpPr>
          <a:cxnSpLocks noChangeShapeType="1"/>
        </xdr:cNvCxnSpPr>
      </xdr:nvCxnSpPr>
      <xdr:spPr bwMode="auto">
        <a:xfrm flipV="1">
          <a:off x="5467350" y="9934575"/>
          <a:ext cx="923925" cy="752475"/>
        </a:xfrm>
        <a:prstGeom prst="line">
          <a:avLst/>
        </a:prstGeom>
        <a:noFill/>
        <a:ln w="9525" algn="ctr">
          <a:solidFill>
            <a:srgbClr val="000000"/>
          </a:solidFill>
          <a:prstDash val="lgDashDot"/>
          <a:round/>
          <a:headEnd/>
          <a:tailEnd/>
        </a:ln>
      </xdr:spPr>
    </xdr:cxnSp>
    <xdr:clientData/>
  </xdr:twoCellAnchor>
  <xdr:twoCellAnchor>
    <xdr:from>
      <xdr:col>8</xdr:col>
      <xdr:colOff>581025</xdr:colOff>
      <xdr:row>57</xdr:row>
      <xdr:rowOff>152400</xdr:rowOff>
    </xdr:from>
    <xdr:to>
      <xdr:col>10</xdr:col>
      <xdr:colOff>66675</xdr:colOff>
      <xdr:row>63</xdr:row>
      <xdr:rowOff>47625</xdr:rowOff>
    </xdr:to>
    <xdr:cxnSp macro="">
      <xdr:nvCxnSpPr>
        <xdr:cNvPr id="173902" name="Straight Arrow Connector 96"/>
        <xdr:cNvCxnSpPr>
          <a:cxnSpLocks noChangeShapeType="1"/>
        </xdr:cNvCxnSpPr>
      </xdr:nvCxnSpPr>
      <xdr:spPr bwMode="auto">
        <a:xfrm rot="5400000" flipH="1" flipV="1">
          <a:off x="5414962" y="9834563"/>
          <a:ext cx="885825" cy="800100"/>
        </a:xfrm>
        <a:prstGeom prst="straightConnector1">
          <a:avLst/>
        </a:prstGeom>
        <a:noFill/>
        <a:ln w="9525" algn="ctr">
          <a:solidFill>
            <a:srgbClr val="000000"/>
          </a:solidFill>
          <a:round/>
          <a:headEnd type="triangle" w="med" len="med"/>
          <a:tailEnd/>
        </a:ln>
      </xdr:spPr>
    </xdr:cxnSp>
    <xdr:clientData/>
  </xdr:twoCellAnchor>
  <xdr:twoCellAnchor>
    <xdr:from>
      <xdr:col>14</xdr:col>
      <xdr:colOff>266700</xdr:colOff>
      <xdr:row>60</xdr:row>
      <xdr:rowOff>114300</xdr:rowOff>
    </xdr:from>
    <xdr:to>
      <xdr:col>15</xdr:col>
      <xdr:colOff>476250</xdr:colOff>
      <xdr:row>65</xdr:row>
      <xdr:rowOff>104775</xdr:rowOff>
    </xdr:to>
    <xdr:cxnSp macro="">
      <xdr:nvCxnSpPr>
        <xdr:cNvPr id="173903" name="Straight Connector 97"/>
        <xdr:cNvCxnSpPr>
          <a:cxnSpLocks noChangeShapeType="1"/>
        </xdr:cNvCxnSpPr>
      </xdr:nvCxnSpPr>
      <xdr:spPr bwMode="auto">
        <a:xfrm rot="5400000" flipH="1" flipV="1">
          <a:off x="9058275" y="10239375"/>
          <a:ext cx="819150" cy="819150"/>
        </a:xfrm>
        <a:prstGeom prst="line">
          <a:avLst/>
        </a:prstGeom>
        <a:noFill/>
        <a:ln w="9525" algn="ctr">
          <a:solidFill>
            <a:srgbClr val="000000"/>
          </a:solidFill>
          <a:prstDash val="lgDashDot"/>
          <a:round/>
          <a:headEnd/>
          <a:tailEnd/>
        </a:ln>
      </xdr:spPr>
    </xdr:cxnSp>
    <xdr:clientData/>
  </xdr:twoCellAnchor>
  <xdr:twoCellAnchor>
    <xdr:from>
      <xdr:col>14</xdr:col>
      <xdr:colOff>276226</xdr:colOff>
      <xdr:row>60</xdr:row>
      <xdr:rowOff>38100</xdr:rowOff>
    </xdr:from>
    <xdr:to>
      <xdr:col>15</xdr:col>
      <xdr:colOff>371478</xdr:colOff>
      <xdr:row>65</xdr:row>
      <xdr:rowOff>95251</xdr:rowOff>
    </xdr:to>
    <xdr:cxnSp macro="">
      <xdr:nvCxnSpPr>
        <xdr:cNvPr id="99" name="Straight Arrow Connector 98"/>
        <xdr:cNvCxnSpPr/>
      </xdr:nvCxnSpPr>
      <xdr:spPr bwMode="auto">
        <a:xfrm rot="5400000" flipH="1" flipV="1">
          <a:off x="8886826" y="1066800"/>
          <a:ext cx="876301" cy="704852"/>
        </a:xfrm>
        <a:prstGeom prst="straightConnector1">
          <a:avLst/>
        </a:prstGeom>
        <a:ln>
          <a:headEnd type="triangl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57150</xdr:colOff>
      <xdr:row>57</xdr:row>
      <xdr:rowOff>57150</xdr:rowOff>
    </xdr:from>
    <xdr:ext cx="150987" cy="225154"/>
    <xdr:sp macro="" textlink="">
      <xdr:nvSpPr>
        <xdr:cNvPr id="100" name="TextBox 99"/>
        <xdr:cNvSpPr txBox="1"/>
      </xdr:nvSpPr>
      <xdr:spPr>
        <a:xfrm>
          <a:off x="6153150" y="457200"/>
          <a:ext cx="273665" cy="27206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sym typeface="Symbol"/>
            </a:rPr>
            <a:t></a:t>
          </a:r>
          <a:endParaRPr lang="en-US" sz="1100"/>
        </a:p>
      </xdr:txBody>
    </xdr:sp>
    <xdr:clientData/>
  </xdr:oneCellAnchor>
  <xdr:oneCellAnchor>
    <xdr:from>
      <xdr:col>15</xdr:col>
      <xdr:colOff>419100</xdr:colOff>
      <xdr:row>59</xdr:row>
      <xdr:rowOff>0</xdr:rowOff>
    </xdr:from>
    <xdr:ext cx="150987" cy="225154"/>
    <xdr:sp macro="" textlink="">
      <xdr:nvSpPr>
        <xdr:cNvPr id="101" name="TextBox 100"/>
        <xdr:cNvSpPr txBox="1"/>
      </xdr:nvSpPr>
      <xdr:spPr>
        <a:xfrm>
          <a:off x="9725025" y="771525"/>
          <a:ext cx="273665" cy="27206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US" sz="1100">
              <a:sym typeface="Symbol"/>
            </a:rPr>
            <a:t></a:t>
          </a:r>
          <a:endParaRPr lang="en-US" sz="1100"/>
        </a:p>
      </xdr:txBody>
    </xdr:sp>
    <xdr:clientData/>
  </xdr:oneCellAnchor>
  <xdr:twoCellAnchor>
    <xdr:from>
      <xdr:col>9</xdr:col>
      <xdr:colOff>457200</xdr:colOff>
      <xdr:row>61</xdr:row>
      <xdr:rowOff>76200</xdr:rowOff>
    </xdr:from>
    <xdr:to>
      <xdr:col>11</xdr:col>
      <xdr:colOff>285750</xdr:colOff>
      <xdr:row>61</xdr:row>
      <xdr:rowOff>77788</xdr:rowOff>
    </xdr:to>
    <xdr:cxnSp macro="">
      <xdr:nvCxnSpPr>
        <xdr:cNvPr id="102" name="Straight Arrow Connector 101"/>
        <xdr:cNvCxnSpPr/>
      </xdr:nvCxnSpPr>
      <xdr:spPr bwMode="auto">
        <a:xfrm rot="10800000">
          <a:off x="5943600" y="1190625"/>
          <a:ext cx="1047750" cy="1588"/>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228600</xdr:colOff>
      <xdr:row>67</xdr:row>
      <xdr:rowOff>95250</xdr:rowOff>
    </xdr:from>
    <xdr:to>
      <xdr:col>9</xdr:col>
      <xdr:colOff>457202</xdr:colOff>
      <xdr:row>67</xdr:row>
      <xdr:rowOff>96840</xdr:rowOff>
    </xdr:to>
    <xdr:cxnSp macro="">
      <xdr:nvCxnSpPr>
        <xdr:cNvPr id="103" name="Straight Arrow Connector 102"/>
        <xdr:cNvCxnSpPr/>
      </xdr:nvCxnSpPr>
      <xdr:spPr bwMode="auto">
        <a:xfrm rot="10800000">
          <a:off x="5105400" y="2190750"/>
          <a:ext cx="838202" cy="1590"/>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161925</xdr:colOff>
      <xdr:row>61</xdr:row>
      <xdr:rowOff>95250</xdr:rowOff>
    </xdr:from>
    <xdr:to>
      <xdr:col>15</xdr:col>
      <xdr:colOff>28575</xdr:colOff>
      <xdr:row>61</xdr:row>
      <xdr:rowOff>96839</xdr:rowOff>
    </xdr:to>
    <xdr:cxnSp macro="">
      <xdr:nvCxnSpPr>
        <xdr:cNvPr id="104" name="Straight Arrow Connector 103"/>
        <xdr:cNvCxnSpPr/>
      </xdr:nvCxnSpPr>
      <xdr:spPr bwMode="auto">
        <a:xfrm flipV="1">
          <a:off x="8248650" y="1209675"/>
          <a:ext cx="1085850" cy="1589"/>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142875</xdr:colOff>
      <xdr:row>67</xdr:row>
      <xdr:rowOff>104775</xdr:rowOff>
    </xdr:from>
    <xdr:to>
      <xdr:col>12</xdr:col>
      <xdr:colOff>323850</xdr:colOff>
      <xdr:row>67</xdr:row>
      <xdr:rowOff>106363</xdr:rowOff>
    </xdr:to>
    <xdr:cxnSp macro="">
      <xdr:nvCxnSpPr>
        <xdr:cNvPr id="105" name="Straight Arrow Connector 104"/>
        <xdr:cNvCxnSpPr/>
      </xdr:nvCxnSpPr>
      <xdr:spPr bwMode="auto">
        <a:xfrm>
          <a:off x="6848475" y="2200275"/>
          <a:ext cx="952500" cy="1588"/>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180976</xdr:colOff>
      <xdr:row>69</xdr:row>
      <xdr:rowOff>104775</xdr:rowOff>
    </xdr:from>
    <xdr:to>
      <xdr:col>7</xdr:col>
      <xdr:colOff>95251</xdr:colOff>
      <xdr:row>84</xdr:row>
      <xdr:rowOff>161925</xdr:rowOff>
    </xdr:to>
    <xdr:cxnSp macro="">
      <xdr:nvCxnSpPr>
        <xdr:cNvPr id="106" name="Elbow Connector 105"/>
        <xdr:cNvCxnSpPr/>
      </xdr:nvCxnSpPr>
      <xdr:spPr bwMode="auto">
        <a:xfrm rot="5400000">
          <a:off x="2838451" y="3533775"/>
          <a:ext cx="2524125" cy="523875"/>
        </a:xfrm>
        <a:prstGeom prst="bentConnector3">
          <a:avLst>
            <a:gd name="adj1" fmla="val 50000"/>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139605</xdr:colOff>
      <xdr:row>66</xdr:row>
      <xdr:rowOff>142017</xdr:rowOff>
    </xdr:from>
    <xdr:to>
      <xdr:col>14</xdr:col>
      <xdr:colOff>200025</xdr:colOff>
      <xdr:row>72</xdr:row>
      <xdr:rowOff>9525</xdr:rowOff>
    </xdr:to>
    <xdr:cxnSp macro="">
      <xdr:nvCxnSpPr>
        <xdr:cNvPr id="107" name="Straight Connector 106"/>
        <xdr:cNvCxnSpPr/>
      </xdr:nvCxnSpPr>
      <xdr:spPr bwMode="auto">
        <a:xfrm rot="16200000" flipH="1">
          <a:off x="8437086" y="2464911"/>
          <a:ext cx="858108" cy="60420"/>
        </a:xfrm>
        <a:prstGeom prst="line">
          <a:avLst/>
        </a:prstGeom>
        <a:ln w="1905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352425</xdr:colOff>
      <xdr:row>72</xdr:row>
      <xdr:rowOff>9524</xdr:rowOff>
    </xdr:from>
    <xdr:to>
      <xdr:col>14</xdr:col>
      <xdr:colOff>200025</xdr:colOff>
      <xdr:row>78</xdr:row>
      <xdr:rowOff>19049</xdr:rowOff>
    </xdr:to>
    <xdr:cxnSp macro="">
      <xdr:nvCxnSpPr>
        <xdr:cNvPr id="108" name="Elbow Connector 107"/>
        <xdr:cNvCxnSpPr/>
      </xdr:nvCxnSpPr>
      <xdr:spPr bwMode="auto">
        <a:xfrm rot="10800000" flipV="1">
          <a:off x="4010025" y="2924174"/>
          <a:ext cx="4886325" cy="1019175"/>
        </a:xfrm>
        <a:prstGeom prst="bentConnector3">
          <a:avLst>
            <a:gd name="adj1" fmla="val 50000"/>
          </a:avLst>
        </a:prstGeom>
        <a:ln w="19050">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342900</xdr:colOff>
      <xdr:row>78</xdr:row>
      <xdr:rowOff>10320</xdr:rowOff>
    </xdr:from>
    <xdr:to>
      <xdr:col>6</xdr:col>
      <xdr:colOff>353219</xdr:colOff>
      <xdr:row>84</xdr:row>
      <xdr:rowOff>161926</xdr:rowOff>
    </xdr:to>
    <xdr:cxnSp macro="">
      <xdr:nvCxnSpPr>
        <xdr:cNvPr id="109" name="Straight Connector 108"/>
        <xdr:cNvCxnSpPr/>
      </xdr:nvCxnSpPr>
      <xdr:spPr bwMode="auto">
        <a:xfrm rot="5400000">
          <a:off x="3444082" y="4491038"/>
          <a:ext cx="1123156" cy="10319"/>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447675</xdr:colOff>
      <xdr:row>83</xdr:row>
      <xdr:rowOff>142875</xdr:rowOff>
    </xdr:from>
    <xdr:to>
      <xdr:col>9</xdr:col>
      <xdr:colOff>142875</xdr:colOff>
      <xdr:row>86</xdr:row>
      <xdr:rowOff>152400</xdr:rowOff>
    </xdr:to>
    <xdr:sp macro="" textlink="">
      <xdr:nvSpPr>
        <xdr:cNvPr id="110" name="Rectangle 109"/>
        <xdr:cNvSpPr/>
      </xdr:nvSpPr>
      <xdr:spPr bwMode="auto">
        <a:xfrm>
          <a:off x="4714875" y="4876800"/>
          <a:ext cx="914400" cy="514350"/>
        </a:xfrm>
        <a:prstGeom prst="rect">
          <a:avLst/>
        </a:prstGeom>
        <a:solidFill>
          <a:srgbClr val="00B0F0"/>
        </a:solidFill>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wrap="square" lIns="18288" tIns="0" rIns="0" bIns="0" rtlCol="0" anchor="ctr" upright="1"/>
        <a:lstStyle/>
        <a:p>
          <a:endParaRPr lang="en-US"/>
        </a:p>
      </xdr:txBody>
    </xdr:sp>
    <xdr:clientData/>
  </xdr:twoCellAnchor>
  <xdr:twoCellAnchor>
    <xdr:from>
      <xdr:col>7</xdr:col>
      <xdr:colOff>171451</xdr:colOff>
      <xdr:row>76</xdr:row>
      <xdr:rowOff>104775</xdr:rowOff>
    </xdr:from>
    <xdr:to>
      <xdr:col>8</xdr:col>
      <xdr:colOff>123828</xdr:colOff>
      <xdr:row>76</xdr:row>
      <xdr:rowOff>106365</xdr:rowOff>
    </xdr:to>
    <xdr:cxnSp macro="">
      <xdr:nvCxnSpPr>
        <xdr:cNvPr id="111" name="Straight Arrow Connector 110"/>
        <xdr:cNvCxnSpPr/>
      </xdr:nvCxnSpPr>
      <xdr:spPr bwMode="auto">
        <a:xfrm rot="10800000">
          <a:off x="4438651" y="3667125"/>
          <a:ext cx="561977" cy="1590"/>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542925</xdr:colOff>
      <xdr:row>76</xdr:row>
      <xdr:rowOff>104775</xdr:rowOff>
    </xdr:from>
    <xdr:to>
      <xdr:col>10</xdr:col>
      <xdr:colOff>114300</xdr:colOff>
      <xdr:row>76</xdr:row>
      <xdr:rowOff>106363</xdr:rowOff>
    </xdr:to>
    <xdr:cxnSp macro="">
      <xdr:nvCxnSpPr>
        <xdr:cNvPr id="112" name="Straight Arrow Connector 111"/>
        <xdr:cNvCxnSpPr/>
      </xdr:nvCxnSpPr>
      <xdr:spPr bwMode="auto">
        <a:xfrm>
          <a:off x="5419725" y="3667125"/>
          <a:ext cx="790575" cy="1588"/>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566740</xdr:colOff>
      <xdr:row>83</xdr:row>
      <xdr:rowOff>80962</xdr:rowOff>
    </xdr:from>
    <xdr:to>
      <xdr:col>11</xdr:col>
      <xdr:colOff>719140</xdr:colOff>
      <xdr:row>87</xdr:row>
      <xdr:rowOff>71437</xdr:rowOff>
    </xdr:to>
    <xdr:sp macro="" textlink="">
      <xdr:nvSpPr>
        <xdr:cNvPr id="113" name="Isosceles Triangle 112"/>
        <xdr:cNvSpPr/>
      </xdr:nvSpPr>
      <xdr:spPr bwMode="auto">
        <a:xfrm rot="5400000">
          <a:off x="6715127" y="13858875"/>
          <a:ext cx="657225" cy="762000"/>
        </a:xfrm>
        <a:prstGeom prst="triangle">
          <a:avLst/>
        </a:prstGeom>
        <a:solidFill>
          <a:srgbClr val="00B0F0"/>
        </a:solidFill>
        <a:ln w="190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100"/>
            <a:t>LNA</a:t>
          </a:r>
        </a:p>
      </xdr:txBody>
    </xdr:sp>
    <xdr:clientData/>
  </xdr:twoCellAnchor>
  <xdr:twoCellAnchor>
    <xdr:from>
      <xdr:col>7</xdr:col>
      <xdr:colOff>0</xdr:colOff>
      <xdr:row>85</xdr:row>
      <xdr:rowOff>76200</xdr:rowOff>
    </xdr:from>
    <xdr:to>
      <xdr:col>7</xdr:col>
      <xdr:colOff>457200</xdr:colOff>
      <xdr:row>85</xdr:row>
      <xdr:rowOff>77788</xdr:rowOff>
    </xdr:to>
    <xdr:cxnSp macro="">
      <xdr:nvCxnSpPr>
        <xdr:cNvPr id="114" name="Straight Connector 113"/>
        <xdr:cNvCxnSpPr/>
      </xdr:nvCxnSpPr>
      <xdr:spPr bwMode="auto">
        <a:xfrm>
          <a:off x="4267200" y="5143500"/>
          <a:ext cx="457200" cy="1588"/>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142876</xdr:colOff>
      <xdr:row>85</xdr:row>
      <xdr:rowOff>66675</xdr:rowOff>
    </xdr:from>
    <xdr:to>
      <xdr:col>10</xdr:col>
      <xdr:colOff>566741</xdr:colOff>
      <xdr:row>85</xdr:row>
      <xdr:rowOff>76201</xdr:rowOff>
    </xdr:to>
    <xdr:cxnSp macro="">
      <xdr:nvCxnSpPr>
        <xdr:cNvPr id="115" name="Straight Connector 114"/>
        <xdr:cNvCxnSpPr>
          <a:stCxn id="113" idx="3"/>
          <a:endCxn id="110" idx="3"/>
        </xdr:cNvCxnSpPr>
      </xdr:nvCxnSpPr>
      <xdr:spPr bwMode="auto">
        <a:xfrm rot="10800000">
          <a:off x="5629276" y="14230350"/>
          <a:ext cx="1033465" cy="9526"/>
        </a:xfrm>
        <a:prstGeom prst="line">
          <a:avLst/>
        </a:prstGeom>
        <a:ln w="19050">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171450</xdr:colOff>
      <xdr:row>84</xdr:row>
      <xdr:rowOff>38100</xdr:rowOff>
    </xdr:from>
    <xdr:to>
      <xdr:col>8</xdr:col>
      <xdr:colOff>371475</xdr:colOff>
      <xdr:row>85</xdr:row>
      <xdr:rowOff>0</xdr:rowOff>
    </xdr:to>
    <xdr:cxnSp macro="">
      <xdr:nvCxnSpPr>
        <xdr:cNvPr id="173921" name="Curved Connector 115"/>
        <xdr:cNvCxnSpPr>
          <a:cxnSpLocks noChangeShapeType="1"/>
        </xdr:cNvCxnSpPr>
      </xdr:nvCxnSpPr>
      <xdr:spPr bwMode="auto">
        <a:xfrm rot="12960000" flipH="1">
          <a:off x="5048250" y="14125575"/>
          <a:ext cx="200025" cy="133350"/>
        </a:xfrm>
        <a:prstGeom prst="curvedConnector3">
          <a:avLst>
            <a:gd name="adj1" fmla="val 50000"/>
          </a:avLst>
        </a:prstGeom>
        <a:noFill/>
        <a:ln w="9525" algn="ctr">
          <a:solidFill>
            <a:srgbClr val="000000"/>
          </a:solidFill>
          <a:round/>
          <a:headEnd/>
          <a:tailEnd/>
        </a:ln>
      </xdr:spPr>
    </xdr:cxnSp>
    <xdr:clientData/>
  </xdr:twoCellAnchor>
  <xdr:twoCellAnchor>
    <xdr:from>
      <xdr:col>8</xdr:col>
      <xdr:colOff>180975</xdr:colOff>
      <xdr:row>84</xdr:row>
      <xdr:rowOff>161925</xdr:rowOff>
    </xdr:from>
    <xdr:to>
      <xdr:col>8</xdr:col>
      <xdr:colOff>381000</xdr:colOff>
      <xdr:row>85</xdr:row>
      <xdr:rowOff>123825</xdr:rowOff>
    </xdr:to>
    <xdr:cxnSp macro="">
      <xdr:nvCxnSpPr>
        <xdr:cNvPr id="173922" name="Curved Connector 116"/>
        <xdr:cNvCxnSpPr>
          <a:cxnSpLocks noChangeShapeType="1"/>
        </xdr:cNvCxnSpPr>
      </xdr:nvCxnSpPr>
      <xdr:spPr bwMode="auto">
        <a:xfrm rot="12960000" flipH="1">
          <a:off x="5057775" y="14249400"/>
          <a:ext cx="200025" cy="133350"/>
        </a:xfrm>
        <a:prstGeom prst="curvedConnector3">
          <a:avLst>
            <a:gd name="adj1" fmla="val 50000"/>
          </a:avLst>
        </a:prstGeom>
        <a:noFill/>
        <a:ln w="9525" algn="ctr">
          <a:solidFill>
            <a:srgbClr val="000000"/>
          </a:solidFill>
          <a:round/>
          <a:headEnd/>
          <a:tailEnd/>
        </a:ln>
      </xdr:spPr>
    </xdr:cxnSp>
    <xdr:clientData/>
  </xdr:twoCellAnchor>
  <xdr:twoCellAnchor>
    <xdr:from>
      <xdr:col>8</xdr:col>
      <xdr:colOff>200025</xdr:colOff>
      <xdr:row>85</xdr:row>
      <xdr:rowOff>123825</xdr:rowOff>
    </xdr:from>
    <xdr:to>
      <xdr:col>8</xdr:col>
      <xdr:colOff>400050</xdr:colOff>
      <xdr:row>86</xdr:row>
      <xdr:rowOff>85725</xdr:rowOff>
    </xdr:to>
    <xdr:cxnSp macro="">
      <xdr:nvCxnSpPr>
        <xdr:cNvPr id="173923" name="Curved Connector 117"/>
        <xdr:cNvCxnSpPr>
          <a:cxnSpLocks noChangeShapeType="1"/>
        </xdr:cNvCxnSpPr>
      </xdr:nvCxnSpPr>
      <xdr:spPr bwMode="auto">
        <a:xfrm rot="12960000" flipH="1">
          <a:off x="5076825" y="14382750"/>
          <a:ext cx="200025" cy="133350"/>
        </a:xfrm>
        <a:prstGeom prst="curvedConnector3">
          <a:avLst>
            <a:gd name="adj1" fmla="val 50000"/>
          </a:avLst>
        </a:prstGeom>
        <a:noFill/>
        <a:ln w="9525" algn="ctr">
          <a:solidFill>
            <a:srgbClr val="000000"/>
          </a:solidFill>
          <a:round/>
          <a:headEnd/>
          <a:tailEnd/>
        </a:ln>
      </xdr:spPr>
    </xdr:cxnSp>
    <xdr:clientData/>
  </xdr:twoCellAnchor>
  <xdr:twoCellAnchor>
    <xdr:from>
      <xdr:col>8</xdr:col>
      <xdr:colOff>266700</xdr:colOff>
      <xdr:row>84</xdr:row>
      <xdr:rowOff>19050</xdr:rowOff>
    </xdr:from>
    <xdr:to>
      <xdr:col>8</xdr:col>
      <xdr:colOff>304800</xdr:colOff>
      <xdr:row>84</xdr:row>
      <xdr:rowOff>161925</xdr:rowOff>
    </xdr:to>
    <xdr:cxnSp macro="">
      <xdr:nvCxnSpPr>
        <xdr:cNvPr id="173924" name="Straight Connector 118"/>
        <xdr:cNvCxnSpPr>
          <a:cxnSpLocks noChangeShapeType="1"/>
        </xdr:cNvCxnSpPr>
      </xdr:nvCxnSpPr>
      <xdr:spPr bwMode="auto">
        <a:xfrm rot="5400000">
          <a:off x="5091112" y="14158913"/>
          <a:ext cx="142875" cy="38100"/>
        </a:xfrm>
        <a:prstGeom prst="line">
          <a:avLst/>
        </a:prstGeom>
        <a:noFill/>
        <a:ln w="9525" algn="ctr">
          <a:solidFill>
            <a:srgbClr val="000000"/>
          </a:solidFill>
          <a:round/>
          <a:headEnd/>
          <a:tailEnd/>
        </a:ln>
      </xdr:spPr>
    </xdr:cxnSp>
    <xdr:clientData/>
  </xdr:twoCellAnchor>
  <xdr:twoCellAnchor>
    <xdr:from>
      <xdr:col>8</xdr:col>
      <xdr:colOff>285750</xdr:colOff>
      <xdr:row>85</xdr:row>
      <xdr:rowOff>114300</xdr:rowOff>
    </xdr:from>
    <xdr:to>
      <xdr:col>8</xdr:col>
      <xdr:colOff>323850</xdr:colOff>
      <xdr:row>86</xdr:row>
      <xdr:rowOff>85725</xdr:rowOff>
    </xdr:to>
    <xdr:cxnSp macro="">
      <xdr:nvCxnSpPr>
        <xdr:cNvPr id="173925" name="Straight Connector 119"/>
        <xdr:cNvCxnSpPr>
          <a:cxnSpLocks noChangeShapeType="1"/>
        </xdr:cNvCxnSpPr>
      </xdr:nvCxnSpPr>
      <xdr:spPr bwMode="auto">
        <a:xfrm rot="5400000">
          <a:off x="5110162" y="14425613"/>
          <a:ext cx="142875" cy="38100"/>
        </a:xfrm>
        <a:prstGeom prst="line">
          <a:avLst/>
        </a:prstGeom>
        <a:noFill/>
        <a:ln w="9525" algn="ctr">
          <a:solidFill>
            <a:srgbClr val="000000"/>
          </a:solidFill>
          <a:round/>
          <a:headEnd/>
          <a:tailEnd/>
        </a:ln>
      </xdr:spPr>
    </xdr:cxnSp>
    <xdr:clientData/>
  </xdr:twoCellAnchor>
  <xdr:twoCellAnchor>
    <xdr:from>
      <xdr:col>8</xdr:col>
      <xdr:colOff>304801</xdr:colOff>
      <xdr:row>31</xdr:row>
      <xdr:rowOff>152400</xdr:rowOff>
    </xdr:from>
    <xdr:to>
      <xdr:col>8</xdr:col>
      <xdr:colOff>314326</xdr:colOff>
      <xdr:row>32</xdr:row>
      <xdr:rowOff>152400</xdr:rowOff>
    </xdr:to>
    <xdr:cxnSp macro="">
      <xdr:nvCxnSpPr>
        <xdr:cNvPr id="124" name="Straight Arrow Connector 123"/>
        <xdr:cNvCxnSpPr/>
      </xdr:nvCxnSpPr>
      <xdr:spPr bwMode="auto">
        <a:xfrm rot="16380000" flipV="1">
          <a:off x="5105401" y="5467350"/>
          <a:ext cx="161925" cy="9525"/>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409578</xdr:colOff>
      <xdr:row>31</xdr:row>
      <xdr:rowOff>152402</xdr:rowOff>
    </xdr:from>
    <xdr:to>
      <xdr:col>11</xdr:col>
      <xdr:colOff>419099</xdr:colOff>
      <xdr:row>36</xdr:row>
      <xdr:rowOff>47626</xdr:rowOff>
    </xdr:to>
    <xdr:cxnSp macro="">
      <xdr:nvCxnSpPr>
        <xdr:cNvPr id="131" name="Straight Arrow Connector 130"/>
        <xdr:cNvCxnSpPr/>
      </xdr:nvCxnSpPr>
      <xdr:spPr bwMode="auto">
        <a:xfrm rot="5340000" flipH="1" flipV="1">
          <a:off x="6757989" y="5748341"/>
          <a:ext cx="723899" cy="9521"/>
        </a:xfrm>
        <a:prstGeom prst="straightConnector1">
          <a:avLst/>
        </a:prstGeom>
        <a:ln>
          <a:headEnd type="none" w="med" len="med"/>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719140</xdr:colOff>
      <xdr:row>85</xdr:row>
      <xdr:rowOff>76200</xdr:rowOff>
    </xdr:from>
    <xdr:to>
      <xdr:col>12</xdr:col>
      <xdr:colOff>561975</xdr:colOff>
      <xdr:row>85</xdr:row>
      <xdr:rowOff>76201</xdr:rowOff>
    </xdr:to>
    <xdr:cxnSp macro="">
      <xdr:nvCxnSpPr>
        <xdr:cNvPr id="85" name="Straight Arrow Connector 84"/>
        <xdr:cNvCxnSpPr>
          <a:stCxn id="113" idx="0"/>
        </xdr:cNvCxnSpPr>
      </xdr:nvCxnSpPr>
      <xdr:spPr bwMode="auto">
        <a:xfrm flipV="1">
          <a:off x="7424740" y="14239875"/>
          <a:ext cx="614360" cy="1"/>
        </a:xfrm>
        <a:prstGeom prst="straightConnector1">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719140</xdr:colOff>
      <xdr:row>30</xdr:row>
      <xdr:rowOff>76200</xdr:rowOff>
    </xdr:from>
    <xdr:to>
      <xdr:col>12</xdr:col>
      <xdr:colOff>523875</xdr:colOff>
      <xdr:row>30</xdr:row>
      <xdr:rowOff>77788</xdr:rowOff>
    </xdr:to>
    <xdr:cxnSp macro="">
      <xdr:nvCxnSpPr>
        <xdr:cNvPr id="88" name="Straight Arrow Connector 87"/>
        <xdr:cNvCxnSpPr>
          <a:endCxn id="59" idx="3"/>
        </xdr:cNvCxnSpPr>
      </xdr:nvCxnSpPr>
      <xdr:spPr bwMode="auto">
        <a:xfrm rot="10800000">
          <a:off x="7424740" y="5143500"/>
          <a:ext cx="576260" cy="1588"/>
        </a:xfrm>
        <a:prstGeom prst="straightConnector1">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533400</xdr:colOff>
      <xdr:row>30</xdr:row>
      <xdr:rowOff>28575</xdr:rowOff>
    </xdr:from>
    <xdr:to>
      <xdr:col>13</xdr:col>
      <xdr:colOff>0</xdr:colOff>
      <xdr:row>30</xdr:row>
      <xdr:rowOff>114300</xdr:rowOff>
    </xdr:to>
    <xdr:sp macro="" textlink="">
      <xdr:nvSpPr>
        <xdr:cNvPr id="92" name="Oval 91"/>
        <xdr:cNvSpPr/>
      </xdr:nvSpPr>
      <xdr:spPr bwMode="auto">
        <a:xfrm>
          <a:off x="8010525" y="5095875"/>
          <a:ext cx="76200" cy="85725"/>
        </a:xfrm>
        <a:prstGeom prst="ellipse">
          <a:avLst/>
        </a:prstGeom>
        <a:noFill/>
        <a:ln>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wrap="square" lIns="18288" tIns="0" rIns="0" bIns="0" rtlCol="0" anchor="ctr" upright="1"/>
        <a:lstStyle/>
        <a:p>
          <a:endParaRPr lang="en-US"/>
        </a:p>
      </xdr:txBody>
    </xdr:sp>
    <xdr:clientData/>
  </xdr:twoCellAnchor>
  <xdr:twoCellAnchor>
    <xdr:from>
      <xdr:col>8</xdr:col>
      <xdr:colOff>342900</xdr:colOff>
      <xdr:row>62</xdr:row>
      <xdr:rowOff>142875</xdr:rowOff>
    </xdr:from>
    <xdr:to>
      <xdr:col>8</xdr:col>
      <xdr:colOff>647700</xdr:colOff>
      <xdr:row>64</xdr:row>
      <xdr:rowOff>152400</xdr:rowOff>
    </xdr:to>
    <xdr:cxnSp macro="">
      <xdr:nvCxnSpPr>
        <xdr:cNvPr id="173931" name="Straight Connector 11"/>
        <xdr:cNvCxnSpPr>
          <a:cxnSpLocks noChangeShapeType="1"/>
        </xdr:cNvCxnSpPr>
      </xdr:nvCxnSpPr>
      <xdr:spPr bwMode="auto">
        <a:xfrm rot="16200000" flipH="1">
          <a:off x="5205412" y="10625138"/>
          <a:ext cx="333375" cy="304800"/>
        </a:xfrm>
        <a:prstGeom prst="line">
          <a:avLst/>
        </a:prstGeom>
        <a:noFill/>
        <a:ln w="9525" algn="ctr">
          <a:solidFill>
            <a:srgbClr val="000000"/>
          </a:solidFill>
          <a:round/>
          <a:headEnd/>
          <a:tailEnd/>
        </a:ln>
      </xdr:spPr>
    </xdr:cxnSp>
    <xdr:clientData/>
  </xdr:twoCellAnchor>
  <xdr:twoCellAnchor>
    <xdr:from>
      <xdr:col>8</xdr:col>
      <xdr:colOff>352425</xdr:colOff>
      <xdr:row>8</xdr:row>
      <xdr:rowOff>0</xdr:rowOff>
    </xdr:from>
    <xdr:to>
      <xdr:col>8</xdr:col>
      <xdr:colOff>657225</xdr:colOff>
      <xdr:row>10</xdr:row>
      <xdr:rowOff>9525</xdr:rowOff>
    </xdr:to>
    <xdr:cxnSp macro="">
      <xdr:nvCxnSpPr>
        <xdr:cNvPr id="173932" name="Straight Connector 11"/>
        <xdr:cNvCxnSpPr>
          <a:cxnSpLocks noChangeShapeType="1"/>
        </xdr:cNvCxnSpPr>
      </xdr:nvCxnSpPr>
      <xdr:spPr bwMode="auto">
        <a:xfrm rot="16200000" flipH="1">
          <a:off x="5214937" y="1452563"/>
          <a:ext cx="333375" cy="304800"/>
        </a:xfrm>
        <a:prstGeom prst="line">
          <a:avLst/>
        </a:prstGeom>
        <a:noFill/>
        <a:ln w="9525" algn="ctr">
          <a:solidFill>
            <a:srgbClr val="000000"/>
          </a:solidFill>
          <a:round/>
          <a:headEnd/>
          <a:tailEnd/>
        </a:ln>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sheetPr>
  <dimension ref="A1:P50"/>
  <sheetViews>
    <sheetView tabSelected="1" workbookViewId="0">
      <selection activeCell="F23" sqref="F23"/>
    </sheetView>
  </sheetViews>
  <sheetFormatPr defaultRowHeight="12.75" x14ac:dyDescent="0.2"/>
  <cols>
    <col min="5" max="5" width="17" customWidth="1"/>
    <col min="6" max="6" width="63" customWidth="1"/>
    <col min="9" max="9" width="4.140625" customWidth="1"/>
    <col min="10" max="10" width="1.5703125" customWidth="1"/>
    <col min="16" max="16" width="9.5703125" customWidth="1"/>
  </cols>
  <sheetData>
    <row r="1" spans="1:16" ht="27" thickBot="1" x14ac:dyDescent="0.45">
      <c r="A1" s="87" t="s">
        <v>3</v>
      </c>
      <c r="B1" s="91" t="s">
        <v>129</v>
      </c>
      <c r="C1" s="87"/>
      <c r="D1" s="89"/>
      <c r="E1" s="88"/>
      <c r="F1" s="86" t="s">
        <v>127</v>
      </c>
      <c r="G1" s="284" t="s">
        <v>323</v>
      </c>
      <c r="H1" s="285"/>
      <c r="I1" s="23"/>
      <c r="J1" s="23"/>
      <c r="K1" s="23"/>
      <c r="L1" s="23"/>
      <c r="M1" s="24"/>
      <c r="N1" s="72"/>
      <c r="O1" s="73"/>
      <c r="P1" s="73"/>
    </row>
    <row r="2" spans="1:16" ht="26.25" x14ac:dyDescent="0.4">
      <c r="A2" s="58"/>
      <c r="B2" s="63" t="s">
        <v>126</v>
      </c>
      <c r="C2" s="59"/>
      <c r="D2" s="59"/>
      <c r="E2" s="59"/>
      <c r="F2" s="62" t="s">
        <v>245</v>
      </c>
      <c r="G2" s="60"/>
      <c r="H2" s="61"/>
      <c r="I2" s="61"/>
      <c r="J2" s="61"/>
      <c r="K2" s="61"/>
      <c r="L2" s="61"/>
      <c r="M2" s="61"/>
      <c r="N2" s="48"/>
      <c r="O2" s="48"/>
      <c r="P2" s="48"/>
    </row>
    <row r="3" spans="1:16" ht="26.25" x14ac:dyDescent="0.4">
      <c r="A3" s="58"/>
      <c r="B3" s="63" t="s">
        <v>105</v>
      </c>
      <c r="C3" s="59"/>
      <c r="D3" s="59"/>
      <c r="E3" s="59"/>
      <c r="F3" s="62" t="s">
        <v>246</v>
      </c>
      <c r="G3" s="60"/>
      <c r="H3" s="61"/>
      <c r="I3" s="61"/>
      <c r="J3" s="61"/>
      <c r="K3" s="61"/>
      <c r="L3" s="61"/>
      <c r="M3" s="61"/>
      <c r="N3" s="48"/>
      <c r="O3" s="48"/>
      <c r="P3" s="48"/>
    </row>
    <row r="4" spans="1:16" x14ac:dyDescent="0.2">
      <c r="A4" s="74" t="s">
        <v>128</v>
      </c>
      <c r="B4" s="1"/>
      <c r="C4" s="1"/>
      <c r="D4" s="1"/>
      <c r="E4" s="1"/>
      <c r="F4" s="1"/>
      <c r="G4" s="1"/>
      <c r="H4" s="1"/>
      <c r="I4" s="1"/>
      <c r="J4" s="1"/>
      <c r="K4" s="1"/>
      <c r="L4" s="1"/>
      <c r="M4" s="1"/>
      <c r="N4" s="1"/>
      <c r="O4" s="1"/>
      <c r="P4" s="1"/>
    </row>
    <row r="5" spans="1:16" x14ac:dyDescent="0.2">
      <c r="A5" s="2"/>
      <c r="B5" s="2"/>
      <c r="C5" s="2"/>
      <c r="D5" s="2"/>
      <c r="E5" s="2"/>
      <c r="F5" s="2"/>
      <c r="G5" s="75" t="s">
        <v>109</v>
      </c>
      <c r="H5" s="75"/>
      <c r="I5" s="3" t="s">
        <v>3</v>
      </c>
      <c r="J5" s="2"/>
      <c r="K5" s="2"/>
      <c r="L5" s="2"/>
      <c r="M5" s="2"/>
      <c r="N5" s="2"/>
      <c r="O5" s="2"/>
      <c r="P5" s="2"/>
    </row>
    <row r="6" spans="1:16" ht="13.5" thickBot="1" x14ac:dyDescent="0.25">
      <c r="A6" s="2"/>
      <c r="B6" s="76" t="s">
        <v>110</v>
      </c>
      <c r="C6" s="2"/>
      <c r="D6" s="2"/>
      <c r="E6" s="2"/>
      <c r="F6" s="2" t="s">
        <v>111</v>
      </c>
      <c r="G6" s="2"/>
      <c r="H6" s="2"/>
      <c r="I6" s="2"/>
      <c r="J6" s="2"/>
      <c r="K6" s="77" t="s">
        <v>112</v>
      </c>
      <c r="L6" s="2"/>
      <c r="M6" s="2"/>
      <c r="N6" s="2"/>
      <c r="O6" s="2"/>
      <c r="P6" s="2"/>
    </row>
    <row r="7" spans="1:16" ht="16.5" thickBot="1" x14ac:dyDescent="0.3">
      <c r="A7" s="2"/>
      <c r="B7" s="2"/>
      <c r="C7" s="2"/>
      <c r="D7" s="3" t="s">
        <v>100</v>
      </c>
      <c r="E7" s="2"/>
      <c r="F7" s="4" t="s">
        <v>113</v>
      </c>
      <c r="G7" s="2"/>
      <c r="H7" s="2"/>
      <c r="I7" s="32" t="s">
        <v>20</v>
      </c>
      <c r="J7" s="2"/>
      <c r="K7" s="2" t="s">
        <v>114</v>
      </c>
      <c r="L7" s="2"/>
      <c r="M7" s="2"/>
      <c r="N7" s="2"/>
      <c r="O7" s="2"/>
      <c r="P7" s="2"/>
    </row>
    <row r="8" spans="1:16" ht="15.75" x14ac:dyDescent="0.25">
      <c r="A8" s="2"/>
      <c r="B8" s="2"/>
      <c r="C8" s="2"/>
      <c r="D8" s="2"/>
      <c r="E8" s="2"/>
      <c r="F8" s="5"/>
      <c r="G8" s="2"/>
      <c r="H8" s="2"/>
      <c r="I8" s="2"/>
      <c r="J8" s="2"/>
      <c r="K8" s="2"/>
      <c r="L8" s="2"/>
      <c r="M8" s="2"/>
      <c r="N8" s="2"/>
      <c r="O8" s="2"/>
      <c r="P8" s="2"/>
    </row>
    <row r="9" spans="1:16" ht="13.5" thickBot="1" x14ac:dyDescent="0.25">
      <c r="A9" s="2"/>
      <c r="B9" s="77" t="s">
        <v>115</v>
      </c>
      <c r="C9" s="2"/>
      <c r="D9" s="2"/>
      <c r="E9" s="2"/>
      <c r="F9" s="276" t="s">
        <v>116</v>
      </c>
      <c r="G9" s="2"/>
      <c r="H9" s="2"/>
      <c r="I9" s="2"/>
      <c r="J9" s="2"/>
      <c r="K9" s="2"/>
      <c r="L9" s="2"/>
      <c r="M9" s="2"/>
      <c r="N9" s="2"/>
      <c r="O9" s="2"/>
      <c r="P9" s="2"/>
    </row>
    <row r="10" spans="1:16" ht="16.5" thickBot="1" x14ac:dyDescent="0.3">
      <c r="A10" s="2"/>
      <c r="B10" s="2"/>
      <c r="C10" s="2"/>
      <c r="D10" s="3" t="s">
        <v>101</v>
      </c>
      <c r="E10" s="2"/>
      <c r="F10" s="4" t="s">
        <v>247</v>
      </c>
      <c r="G10" s="2"/>
      <c r="H10" s="2"/>
      <c r="I10" s="32" t="s">
        <v>3</v>
      </c>
      <c r="J10" s="2"/>
      <c r="K10" s="78" t="s">
        <v>117</v>
      </c>
      <c r="L10" s="2"/>
      <c r="M10" s="2"/>
      <c r="N10" s="2"/>
      <c r="O10" s="2"/>
      <c r="P10" s="2"/>
    </row>
    <row r="11" spans="1:16" ht="15.75" x14ac:dyDescent="0.25">
      <c r="A11" s="2"/>
      <c r="B11" s="2"/>
      <c r="C11" s="2"/>
      <c r="D11" s="2"/>
      <c r="E11" s="2"/>
      <c r="F11" s="5"/>
      <c r="G11" s="2"/>
      <c r="H11" s="2"/>
      <c r="I11" s="2"/>
      <c r="J11" s="2"/>
      <c r="K11" s="2"/>
      <c r="L11" s="2"/>
      <c r="M11" s="2"/>
      <c r="N11" s="2"/>
      <c r="O11" s="2"/>
      <c r="P11" s="2"/>
    </row>
    <row r="12" spans="1:16" ht="16.5" thickBot="1" x14ac:dyDescent="0.3">
      <c r="A12" s="2"/>
      <c r="B12" s="2"/>
      <c r="C12" s="2"/>
      <c r="D12" s="2"/>
      <c r="E12" s="2"/>
      <c r="F12" s="5"/>
      <c r="G12" s="2"/>
      <c r="H12" s="2"/>
      <c r="I12" s="2"/>
      <c r="J12" s="2"/>
      <c r="K12" s="2"/>
      <c r="L12" s="2"/>
      <c r="M12" s="2"/>
      <c r="N12" s="79" t="s">
        <v>3</v>
      </c>
      <c r="O12" s="80"/>
      <c r="P12" s="81"/>
    </row>
    <row r="13" spans="1:16" ht="16.5" thickBot="1" x14ac:dyDescent="0.3">
      <c r="A13" s="2"/>
      <c r="B13" s="77" t="s">
        <v>118</v>
      </c>
      <c r="C13" s="2"/>
      <c r="D13" s="3" t="s">
        <v>0</v>
      </c>
      <c r="E13" s="2"/>
      <c r="F13" s="4" t="s">
        <v>217</v>
      </c>
      <c r="G13" s="2"/>
      <c r="H13" s="2"/>
      <c r="I13" s="2"/>
      <c r="J13" s="2"/>
      <c r="K13" s="2"/>
      <c r="L13" s="2"/>
      <c r="M13" s="2"/>
      <c r="N13" s="81" t="s">
        <v>3</v>
      </c>
      <c r="O13" s="2"/>
      <c r="P13" s="2"/>
    </row>
    <row r="14" spans="1:16" ht="15.75" x14ac:dyDescent="0.25">
      <c r="A14" s="2"/>
      <c r="B14" s="2"/>
      <c r="C14" s="2"/>
      <c r="D14" s="2"/>
      <c r="E14" s="2"/>
      <c r="F14" s="5"/>
      <c r="G14" s="2"/>
      <c r="H14" s="2"/>
      <c r="I14" s="2"/>
      <c r="J14" s="2"/>
      <c r="K14" s="2"/>
      <c r="L14" s="2"/>
      <c r="M14" s="2"/>
      <c r="N14" s="2"/>
      <c r="O14" s="2"/>
      <c r="P14" s="2"/>
    </row>
    <row r="15" spans="1:16" ht="16.5" thickBot="1" x14ac:dyDescent="0.3">
      <c r="A15" s="2"/>
      <c r="B15" s="2"/>
      <c r="C15" s="2"/>
      <c r="D15" s="2"/>
      <c r="E15" s="2"/>
      <c r="F15" s="5" t="s">
        <v>3</v>
      </c>
      <c r="G15" s="2"/>
      <c r="H15" s="2"/>
      <c r="I15" s="2"/>
      <c r="J15" s="2"/>
      <c r="K15" s="2"/>
      <c r="L15" s="2"/>
      <c r="M15" s="2"/>
      <c r="N15" s="2"/>
      <c r="O15" s="2"/>
      <c r="P15" s="2"/>
    </row>
    <row r="16" spans="1:16" x14ac:dyDescent="0.2">
      <c r="A16" s="2"/>
      <c r="B16" s="82" t="s">
        <v>119</v>
      </c>
      <c r="C16" s="2"/>
      <c r="D16" s="3" t="s">
        <v>103</v>
      </c>
      <c r="E16" s="2"/>
      <c r="F16" s="6" t="s">
        <v>249</v>
      </c>
      <c r="G16" s="2"/>
      <c r="H16" s="2"/>
      <c r="I16" s="2"/>
      <c r="J16" s="2"/>
      <c r="K16" s="2"/>
      <c r="L16" s="2"/>
      <c r="M16" s="2"/>
      <c r="N16" s="2"/>
      <c r="O16" s="2"/>
      <c r="P16" s="2"/>
    </row>
    <row r="17" spans="1:16" ht="16.5" thickBot="1" x14ac:dyDescent="0.3">
      <c r="A17" s="2"/>
      <c r="B17" s="2"/>
      <c r="C17" s="2"/>
      <c r="D17" s="3" t="s">
        <v>102</v>
      </c>
      <c r="E17" s="2"/>
      <c r="F17" s="7" t="s">
        <v>331</v>
      </c>
      <c r="G17" s="2"/>
      <c r="H17" s="2"/>
      <c r="I17" s="2"/>
      <c r="J17" s="2"/>
      <c r="K17" s="2"/>
      <c r="L17" s="2"/>
      <c r="M17" s="2"/>
      <c r="N17" s="2"/>
      <c r="O17" s="2"/>
      <c r="P17" s="2"/>
    </row>
    <row r="18" spans="1:16" ht="15.75" x14ac:dyDescent="0.25">
      <c r="A18" s="2"/>
      <c r="B18" s="2"/>
      <c r="C18" s="2"/>
      <c r="D18" s="2"/>
      <c r="E18" s="2"/>
      <c r="F18" s="8"/>
      <c r="G18" s="2"/>
      <c r="H18" s="2"/>
      <c r="I18" s="2"/>
      <c r="J18" s="2"/>
      <c r="K18" s="2"/>
      <c r="L18" s="2"/>
      <c r="M18" s="2"/>
      <c r="N18" s="2"/>
      <c r="O18" s="2"/>
      <c r="P18" s="2"/>
    </row>
    <row r="19" spans="1:16" ht="16.5" thickBot="1" x14ac:dyDescent="0.3">
      <c r="A19" s="2"/>
      <c r="B19" s="2"/>
      <c r="C19" s="2"/>
      <c r="D19" s="2"/>
      <c r="E19" s="2"/>
      <c r="F19" s="5"/>
      <c r="G19" s="2"/>
      <c r="H19" s="2"/>
      <c r="I19" s="2"/>
      <c r="J19" s="2"/>
      <c r="K19" s="2"/>
      <c r="L19" s="2"/>
      <c r="M19" s="2"/>
      <c r="N19" s="2"/>
      <c r="O19" s="2"/>
      <c r="P19" s="2"/>
    </row>
    <row r="20" spans="1:16" ht="16.5" thickBot="1" x14ac:dyDescent="0.3">
      <c r="A20" s="2"/>
      <c r="B20" s="77" t="s">
        <v>120</v>
      </c>
      <c r="C20" s="2"/>
      <c r="D20" s="3" t="s">
        <v>1</v>
      </c>
      <c r="E20" s="2"/>
      <c r="F20" s="4" t="s">
        <v>325</v>
      </c>
      <c r="G20" s="2"/>
      <c r="H20" s="2"/>
      <c r="I20" s="32" t="s">
        <v>3</v>
      </c>
      <c r="J20" s="2"/>
      <c r="K20" s="2" t="s">
        <v>121</v>
      </c>
      <c r="L20" s="2"/>
      <c r="M20" s="2"/>
      <c r="N20" s="2"/>
      <c r="O20" s="2"/>
      <c r="P20" s="2"/>
    </row>
    <row r="21" spans="1:16" ht="15.75" x14ac:dyDescent="0.25">
      <c r="A21" s="2"/>
      <c r="B21" s="2"/>
      <c r="C21" s="2"/>
      <c r="D21" s="2"/>
      <c r="E21" s="2"/>
      <c r="F21" s="5"/>
      <c r="G21" s="2"/>
      <c r="H21" s="2"/>
      <c r="I21" s="2"/>
      <c r="J21" s="2"/>
      <c r="K21" s="2"/>
      <c r="L21" s="2"/>
      <c r="M21" s="2"/>
      <c r="N21" s="2"/>
      <c r="O21" s="2"/>
      <c r="P21" s="2"/>
    </row>
    <row r="22" spans="1:16" ht="16.5" thickBot="1" x14ac:dyDescent="0.3">
      <c r="A22" s="2"/>
      <c r="B22" s="2"/>
      <c r="C22" s="2"/>
      <c r="D22" s="2"/>
      <c r="E22" s="2"/>
      <c r="F22" s="5"/>
      <c r="G22" s="2"/>
      <c r="H22" s="2"/>
      <c r="I22" s="2"/>
      <c r="J22" s="2"/>
      <c r="K22" s="2"/>
      <c r="L22" s="2"/>
      <c r="M22" s="2"/>
      <c r="N22" s="2"/>
      <c r="O22" s="2"/>
      <c r="P22" s="2"/>
    </row>
    <row r="23" spans="1:16" ht="16.5" thickBot="1" x14ac:dyDescent="0.3">
      <c r="A23" s="2"/>
      <c r="B23" s="2"/>
      <c r="C23" s="2"/>
      <c r="D23" s="3" t="s">
        <v>2</v>
      </c>
      <c r="E23" s="2"/>
      <c r="F23" s="4" t="s">
        <v>312</v>
      </c>
      <c r="G23" s="2" t="s">
        <v>3</v>
      </c>
      <c r="H23" s="2"/>
      <c r="I23" s="83" t="b">
        <f>AND(I7="X",I10="X",I20="X")</f>
        <v>0</v>
      </c>
      <c r="J23" s="2"/>
      <c r="K23" s="2" t="str">
        <f>IF(I23=TRUE, "Document Released", "Document Not Released")</f>
        <v>Document Not Released</v>
      </c>
      <c r="L23" s="2"/>
      <c r="M23" s="2"/>
      <c r="N23" s="2"/>
      <c r="O23" s="2"/>
      <c r="P23" s="2"/>
    </row>
    <row r="24" spans="1:16" x14ac:dyDescent="0.2">
      <c r="A24" s="2"/>
      <c r="B24" s="2"/>
      <c r="C24" s="2"/>
      <c r="D24" s="2"/>
      <c r="E24" s="2"/>
      <c r="F24" s="9"/>
      <c r="G24" s="2"/>
      <c r="H24" s="2"/>
      <c r="I24" s="84" t="s">
        <v>122</v>
      </c>
      <c r="J24" s="2"/>
      <c r="K24" s="2"/>
      <c r="L24" s="2"/>
      <c r="M24" s="2"/>
      <c r="N24" s="2"/>
      <c r="O24" s="2"/>
      <c r="P24" s="2"/>
    </row>
    <row r="25" spans="1:16" ht="13.5" thickBot="1" x14ac:dyDescent="0.25">
      <c r="A25" s="2"/>
      <c r="B25" s="77" t="s">
        <v>123</v>
      </c>
      <c r="C25" s="2"/>
      <c r="D25" s="2"/>
      <c r="E25" s="2"/>
      <c r="F25" s="9"/>
      <c r="G25" s="2"/>
      <c r="H25" s="2"/>
      <c r="I25" s="84" t="s">
        <v>124</v>
      </c>
      <c r="J25" s="2"/>
      <c r="K25" s="2"/>
      <c r="L25" s="2"/>
      <c r="M25" s="2"/>
      <c r="N25" s="2"/>
      <c r="O25" s="2"/>
      <c r="P25" s="2"/>
    </row>
    <row r="26" spans="1:16" ht="16.5" thickBot="1" x14ac:dyDescent="0.3">
      <c r="A26" s="2"/>
      <c r="B26" s="2"/>
      <c r="C26" s="2"/>
      <c r="D26" s="3" t="s">
        <v>108</v>
      </c>
      <c r="E26" s="2"/>
      <c r="F26" s="4" t="s">
        <v>324</v>
      </c>
      <c r="G26" s="2"/>
      <c r="H26" s="2"/>
      <c r="I26" s="2"/>
      <c r="J26" s="85"/>
      <c r="K26" s="77" t="s">
        <v>125</v>
      </c>
      <c r="L26" s="2"/>
      <c r="M26" s="2"/>
      <c r="N26" s="2"/>
      <c r="O26" s="2"/>
      <c r="P26" s="2"/>
    </row>
    <row r="27" spans="1:16" x14ac:dyDescent="0.2">
      <c r="A27" s="2"/>
      <c r="B27" s="2"/>
      <c r="C27" s="2"/>
      <c r="D27" s="3" t="s">
        <v>104</v>
      </c>
      <c r="E27" s="2"/>
      <c r="F27" s="2"/>
      <c r="G27" s="2"/>
      <c r="H27" s="2"/>
      <c r="I27" s="2"/>
      <c r="J27" s="2"/>
      <c r="K27" s="2"/>
      <c r="L27" s="2"/>
      <c r="M27" s="2"/>
      <c r="N27" s="2"/>
      <c r="O27" s="2"/>
      <c r="P27" s="2"/>
    </row>
    <row r="28" spans="1:16" x14ac:dyDescent="0.2">
      <c r="A28" s="2"/>
      <c r="B28" s="2"/>
      <c r="C28" s="2"/>
      <c r="D28" s="2"/>
      <c r="E28" s="2"/>
      <c r="F28" s="2"/>
      <c r="G28" s="2"/>
      <c r="H28" s="2"/>
      <c r="I28" s="2"/>
      <c r="J28" s="2"/>
      <c r="K28" s="2"/>
      <c r="L28" s="2"/>
      <c r="M28" s="2"/>
      <c r="N28" s="2"/>
      <c r="O28" s="2"/>
      <c r="P28" s="2"/>
    </row>
    <row r="29" spans="1:16" x14ac:dyDescent="0.2">
      <c r="A29" s="2"/>
      <c r="B29" s="2"/>
      <c r="C29" s="2"/>
      <c r="D29" s="2"/>
      <c r="E29" s="2"/>
      <c r="F29" s="2"/>
      <c r="G29" s="2"/>
      <c r="H29" s="2"/>
      <c r="I29" s="2"/>
      <c r="J29" s="2"/>
      <c r="K29" s="2"/>
      <c r="L29" s="2"/>
      <c r="M29" s="2"/>
      <c r="N29" s="2"/>
      <c r="O29" s="2"/>
      <c r="P29" s="2"/>
    </row>
    <row r="30" spans="1:16" x14ac:dyDescent="0.2">
      <c r="A30" s="2"/>
      <c r="B30" s="2"/>
      <c r="C30" s="2"/>
      <c r="D30" s="2"/>
      <c r="E30" s="2"/>
      <c r="F30" s="2"/>
      <c r="G30" s="2"/>
      <c r="H30" s="2"/>
      <c r="I30" s="2"/>
      <c r="J30" s="2"/>
      <c r="K30" s="2"/>
      <c r="L30" s="2"/>
      <c r="M30" s="2"/>
      <c r="N30" s="2"/>
      <c r="O30" s="2"/>
      <c r="P30" s="2"/>
    </row>
    <row r="31" spans="1:16" x14ac:dyDescent="0.2">
      <c r="A31" s="2"/>
      <c r="B31" s="2"/>
      <c r="C31" s="2"/>
      <c r="D31" s="2"/>
      <c r="E31" s="2"/>
      <c r="F31" s="2"/>
      <c r="G31" s="2"/>
      <c r="H31" s="2"/>
      <c r="I31" s="2"/>
      <c r="J31" s="2"/>
      <c r="K31" s="2"/>
      <c r="L31" s="2"/>
      <c r="M31" s="2"/>
      <c r="N31" s="2"/>
      <c r="O31" s="2"/>
      <c r="P31" s="2"/>
    </row>
    <row r="32" spans="1:16" x14ac:dyDescent="0.2">
      <c r="A32" s="2"/>
      <c r="B32" s="2"/>
      <c r="C32" s="2"/>
      <c r="D32" s="2"/>
      <c r="E32" s="2"/>
      <c r="F32" s="2"/>
      <c r="G32" s="2"/>
      <c r="H32" s="2"/>
      <c r="I32" s="2"/>
      <c r="J32" s="2"/>
      <c r="K32" s="2"/>
      <c r="L32" s="2"/>
      <c r="M32" s="2"/>
      <c r="N32" s="2"/>
      <c r="O32" s="2"/>
      <c r="P32" s="2"/>
    </row>
    <row r="33" spans="1:16" x14ac:dyDescent="0.2">
      <c r="A33" s="2"/>
      <c r="B33" s="2"/>
      <c r="C33" s="2"/>
      <c r="D33" s="2"/>
      <c r="E33" s="2"/>
      <c r="F33" s="2"/>
      <c r="G33" s="2"/>
      <c r="H33" s="2"/>
      <c r="I33" s="2"/>
      <c r="J33" s="2"/>
      <c r="K33" s="2"/>
      <c r="L33" s="2"/>
      <c r="M33" s="2"/>
      <c r="N33" s="2"/>
      <c r="O33" s="2"/>
      <c r="P33" s="2"/>
    </row>
    <row r="34" spans="1:16" x14ac:dyDescent="0.2">
      <c r="A34" s="2"/>
      <c r="B34" s="2"/>
      <c r="C34" s="2"/>
      <c r="D34" s="2"/>
      <c r="E34" s="2"/>
      <c r="F34" s="2"/>
      <c r="G34" s="2"/>
      <c r="H34" s="2"/>
      <c r="I34" s="2"/>
      <c r="J34" s="2"/>
      <c r="K34" s="2"/>
      <c r="L34" s="2"/>
      <c r="M34" s="2"/>
      <c r="N34" s="2"/>
      <c r="O34" s="2"/>
      <c r="P34" s="2"/>
    </row>
    <row r="35" spans="1:16" x14ac:dyDescent="0.2">
      <c r="A35" s="2"/>
      <c r="B35" s="2"/>
      <c r="C35" s="2"/>
      <c r="D35" s="2"/>
      <c r="E35" s="2"/>
      <c r="F35" s="2"/>
      <c r="G35" s="2"/>
      <c r="H35" s="2"/>
      <c r="I35" s="2"/>
      <c r="J35" s="2"/>
      <c r="K35" s="2"/>
      <c r="L35" s="2"/>
      <c r="M35" s="2"/>
      <c r="N35" s="2"/>
      <c r="O35" s="2"/>
      <c r="P35" s="2"/>
    </row>
    <row r="36" spans="1:16" x14ac:dyDescent="0.2">
      <c r="A36" s="2"/>
      <c r="B36" s="2"/>
      <c r="C36" s="2"/>
      <c r="D36" s="2"/>
      <c r="E36" s="2"/>
      <c r="F36" s="2"/>
      <c r="G36" s="2"/>
      <c r="H36" s="2"/>
      <c r="I36" s="2"/>
      <c r="J36" s="2"/>
      <c r="K36" s="2"/>
      <c r="L36" s="2"/>
      <c r="M36" s="2"/>
      <c r="N36" s="2"/>
      <c r="O36" s="2"/>
      <c r="P36" s="2"/>
    </row>
    <row r="37" spans="1:16" x14ac:dyDescent="0.2">
      <c r="A37" s="2"/>
      <c r="B37" s="2"/>
      <c r="C37" s="2"/>
      <c r="D37" s="2"/>
      <c r="E37" s="2"/>
      <c r="F37" s="2"/>
      <c r="G37" s="2"/>
      <c r="H37" s="2"/>
      <c r="I37" s="2"/>
      <c r="J37" s="2"/>
      <c r="K37" s="2"/>
      <c r="L37" s="2"/>
      <c r="M37" s="2"/>
      <c r="N37" s="2"/>
      <c r="O37" s="2"/>
      <c r="P37" s="2"/>
    </row>
    <row r="38" spans="1:16" x14ac:dyDescent="0.2">
      <c r="A38" s="2"/>
      <c r="B38" s="2"/>
      <c r="C38" s="2"/>
      <c r="D38" s="2"/>
      <c r="E38" s="2"/>
      <c r="F38" s="2"/>
      <c r="G38" s="2"/>
      <c r="H38" s="2"/>
      <c r="I38" s="2"/>
      <c r="J38" s="2"/>
      <c r="K38" s="2"/>
      <c r="L38" s="2"/>
      <c r="M38" s="2"/>
      <c r="N38" s="2"/>
      <c r="O38" s="2"/>
      <c r="P38" s="2"/>
    </row>
    <row r="39" spans="1:16" x14ac:dyDescent="0.2">
      <c r="A39" s="2"/>
      <c r="B39" s="2"/>
      <c r="C39" s="2"/>
      <c r="D39" s="2"/>
      <c r="E39" s="2"/>
      <c r="F39" s="2"/>
      <c r="G39" s="2"/>
      <c r="H39" s="2"/>
      <c r="I39" s="2"/>
      <c r="J39" s="2"/>
      <c r="K39" s="2"/>
      <c r="L39" s="2"/>
      <c r="M39" s="2"/>
      <c r="N39" s="2"/>
      <c r="O39" s="2"/>
      <c r="P39" s="2"/>
    </row>
    <row r="40" spans="1:16" x14ac:dyDescent="0.2">
      <c r="A40" s="2"/>
      <c r="B40" s="2"/>
      <c r="C40" s="2"/>
      <c r="D40" s="2"/>
      <c r="E40" s="2"/>
      <c r="F40" s="2"/>
      <c r="G40" s="2"/>
      <c r="H40" s="2"/>
      <c r="I40" s="2"/>
      <c r="J40" s="2"/>
      <c r="K40" s="2"/>
      <c r="L40" s="2"/>
      <c r="M40" s="2"/>
      <c r="N40" s="2"/>
      <c r="O40" s="2"/>
      <c r="P40" s="2"/>
    </row>
    <row r="41" spans="1:16" x14ac:dyDescent="0.2">
      <c r="A41" s="2"/>
      <c r="B41" s="2"/>
      <c r="C41" s="2"/>
      <c r="D41" s="2"/>
      <c r="E41" s="2"/>
      <c r="F41" s="2"/>
      <c r="G41" s="2"/>
      <c r="H41" s="2"/>
      <c r="I41" s="2"/>
      <c r="J41" s="2"/>
      <c r="K41" s="2"/>
      <c r="L41" s="2"/>
      <c r="M41" s="2"/>
      <c r="N41" s="2"/>
      <c r="O41" s="2"/>
      <c r="P41" s="2"/>
    </row>
    <row r="42" spans="1:16" x14ac:dyDescent="0.2">
      <c r="A42" s="2"/>
      <c r="B42" s="2"/>
      <c r="C42" s="2"/>
      <c r="D42" s="2"/>
      <c r="E42" s="2"/>
      <c r="F42" s="2"/>
      <c r="G42" s="2"/>
      <c r="H42" s="2"/>
      <c r="I42" s="2"/>
      <c r="J42" s="2"/>
      <c r="K42" s="2"/>
      <c r="L42" s="2"/>
      <c r="M42" s="2"/>
      <c r="N42" s="2"/>
      <c r="O42" s="2"/>
      <c r="P42" s="2"/>
    </row>
    <row r="43" spans="1:16" x14ac:dyDescent="0.2">
      <c r="A43" s="2"/>
      <c r="B43" s="2"/>
      <c r="C43" s="2"/>
      <c r="D43" s="2"/>
      <c r="E43" s="2"/>
      <c r="F43" s="2"/>
      <c r="G43" s="2"/>
      <c r="H43" s="2"/>
      <c r="I43" s="2"/>
      <c r="J43" s="2"/>
      <c r="K43" s="2"/>
      <c r="L43" s="2"/>
      <c r="M43" s="2"/>
      <c r="N43" s="2"/>
      <c r="O43" s="2"/>
      <c r="P43" s="2"/>
    </row>
    <row r="44" spans="1:16" x14ac:dyDescent="0.2">
      <c r="A44" s="2"/>
      <c r="B44" s="2"/>
      <c r="C44" s="2"/>
      <c r="D44" s="2"/>
      <c r="E44" s="2"/>
      <c r="F44" s="2"/>
      <c r="G44" s="2"/>
      <c r="H44" s="2"/>
      <c r="I44" s="2"/>
      <c r="J44" s="2"/>
      <c r="K44" s="2"/>
      <c r="L44" s="2"/>
      <c r="M44" s="2"/>
      <c r="N44" s="2"/>
      <c r="O44" s="2"/>
      <c r="P44" s="2"/>
    </row>
    <row r="45" spans="1:16" x14ac:dyDescent="0.2">
      <c r="A45" s="2"/>
      <c r="B45" s="2"/>
      <c r="C45" s="2"/>
      <c r="D45" s="2"/>
      <c r="E45" s="2"/>
      <c r="F45" s="2"/>
      <c r="G45" s="2"/>
      <c r="H45" s="2"/>
      <c r="I45" s="2"/>
      <c r="J45" s="2"/>
      <c r="K45" s="2"/>
      <c r="L45" s="2"/>
      <c r="M45" s="2"/>
      <c r="N45" s="2"/>
      <c r="O45" s="2"/>
      <c r="P45" s="2"/>
    </row>
    <row r="46" spans="1:16" x14ac:dyDescent="0.2">
      <c r="A46" s="2"/>
      <c r="B46" s="2"/>
      <c r="C46" s="2"/>
      <c r="D46" s="2"/>
      <c r="E46" s="2"/>
      <c r="F46" s="2"/>
      <c r="G46" s="2"/>
      <c r="H46" s="2"/>
      <c r="I46" s="2"/>
      <c r="J46" s="2"/>
      <c r="K46" s="2"/>
      <c r="L46" s="2"/>
      <c r="M46" s="2"/>
      <c r="N46" s="2"/>
      <c r="O46" s="2"/>
      <c r="P46" s="2"/>
    </row>
    <row r="47" spans="1:16" x14ac:dyDescent="0.2">
      <c r="A47" s="2"/>
      <c r="B47" s="2"/>
      <c r="C47" s="2"/>
      <c r="D47" s="2"/>
      <c r="E47" s="2"/>
      <c r="F47" s="2"/>
      <c r="G47" s="2"/>
      <c r="H47" s="2"/>
      <c r="I47" s="2"/>
      <c r="J47" s="2"/>
      <c r="K47" s="2"/>
      <c r="L47" s="2"/>
      <c r="M47" s="2"/>
      <c r="N47" s="2"/>
      <c r="O47" s="2"/>
      <c r="P47" s="2"/>
    </row>
    <row r="48" spans="1:16" x14ac:dyDescent="0.2">
      <c r="A48" s="2"/>
      <c r="B48" s="2"/>
      <c r="C48" s="2"/>
      <c r="D48" s="2"/>
      <c r="E48" s="2"/>
      <c r="F48" s="2"/>
      <c r="G48" s="2"/>
      <c r="H48" s="2"/>
      <c r="I48" s="2"/>
      <c r="J48" s="2"/>
      <c r="K48" s="2"/>
      <c r="L48" s="2"/>
      <c r="M48" s="2"/>
      <c r="N48" s="2"/>
      <c r="O48" s="2"/>
      <c r="P48" s="2"/>
    </row>
    <row r="49" spans="1:16" x14ac:dyDescent="0.2">
      <c r="A49" s="2"/>
      <c r="B49" s="2"/>
      <c r="C49" s="2"/>
      <c r="D49" s="2"/>
      <c r="E49" s="2"/>
      <c r="F49" s="2"/>
      <c r="G49" s="2"/>
      <c r="H49" s="2"/>
      <c r="I49" s="2"/>
      <c r="J49" s="2"/>
      <c r="K49" s="2"/>
      <c r="L49" s="2"/>
      <c r="M49" s="2"/>
      <c r="N49" s="2"/>
      <c r="O49" s="2"/>
      <c r="P49" s="2"/>
    </row>
    <row r="50" spans="1:16" x14ac:dyDescent="0.2">
      <c r="A50" s="2"/>
      <c r="B50" s="2"/>
      <c r="C50" s="2"/>
      <c r="D50" s="2"/>
      <c r="E50" s="2"/>
      <c r="F50" s="2"/>
      <c r="G50" s="2"/>
      <c r="H50" s="2"/>
      <c r="I50" s="2"/>
      <c r="J50" s="2"/>
      <c r="K50" s="2"/>
      <c r="L50" s="2"/>
      <c r="M50" s="2"/>
      <c r="N50" s="2"/>
      <c r="O50" s="2"/>
      <c r="P50" s="2"/>
    </row>
  </sheetData>
  <mergeCells count="1">
    <mergeCell ref="G1:H1"/>
  </mergeCells>
  <phoneticPr fontId="20" type="noConversion"/>
  <conditionalFormatting sqref="I7">
    <cfRule type="cellIs" dxfId="5" priority="5" stopIfTrue="1" operator="equal">
      <formula>"X"</formula>
    </cfRule>
    <cfRule type="cellIs" dxfId="4" priority="6" stopIfTrue="1" operator="notEqual">
      <formula>"X"</formula>
    </cfRule>
  </conditionalFormatting>
  <conditionalFormatting sqref="I10 I20">
    <cfRule type="cellIs" dxfId="3" priority="3" stopIfTrue="1" operator="equal">
      <formula>"X"</formula>
    </cfRule>
    <cfRule type="cellIs" dxfId="2" priority="4" stopIfTrue="1" operator="notEqual">
      <formula>"X"</formula>
    </cfRule>
  </conditionalFormatting>
  <conditionalFormatting sqref="I23">
    <cfRule type="expression" dxfId="1" priority="1" stopIfTrue="1">
      <formula>AND($I$7="X",$I$10="X",$I$20="X")</formula>
    </cfRule>
    <cfRule type="expression" dxfId="0" priority="2" stopIfTrue="1">
      <formula>OR($I$7=" ",$I$10=" ",$I$20=" ")</formula>
    </cfRule>
  </conditionalFormatting>
  <pageMargins left="0.7" right="0.7" top="0.75" bottom="0.75" header="0.3" footer="0.3"/>
  <pageSetup orientation="portrait" horizontalDpi="1200" verticalDpi="12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
  <sheetViews>
    <sheetView workbookViewId="0">
      <selection activeCell="A3" sqref="A3"/>
    </sheetView>
  </sheetViews>
  <sheetFormatPr defaultRowHeight="12.75" x14ac:dyDescent="0.2"/>
  <sheetData>
    <row r="1" spans="1:1" x14ac:dyDescent="0.2">
      <c r="A1" s="92" t="s">
        <v>310</v>
      </c>
    </row>
  </sheetData>
  <phoneticPr fontId="2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249977111117893"/>
  </sheetPr>
  <dimension ref="A1:I81"/>
  <sheetViews>
    <sheetView workbookViewId="0">
      <selection activeCell="I27" sqref="I27"/>
    </sheetView>
  </sheetViews>
  <sheetFormatPr defaultRowHeight="12.75" x14ac:dyDescent="0.2"/>
  <sheetData>
    <row r="1" spans="1:9" x14ac:dyDescent="0.2">
      <c r="A1" s="92" t="s">
        <v>311</v>
      </c>
      <c r="B1" s="19"/>
      <c r="C1" s="19"/>
      <c r="D1" s="19"/>
    </row>
    <row r="2" spans="1:9" x14ac:dyDescent="0.2">
      <c r="B2" s="19" t="s">
        <v>21</v>
      </c>
      <c r="C2" s="19" t="s">
        <v>20</v>
      </c>
      <c r="D2" s="19" t="s">
        <v>22</v>
      </c>
      <c r="E2" s="19" t="s">
        <v>24</v>
      </c>
      <c r="F2" s="19" t="s">
        <v>23</v>
      </c>
      <c r="G2" s="19" t="s">
        <v>25</v>
      </c>
      <c r="I2" t="s">
        <v>3</v>
      </c>
    </row>
    <row r="3" spans="1:9" x14ac:dyDescent="0.2">
      <c r="B3" s="19">
        <f>SQRT(D3-(C3)^2)</f>
        <v>3.5199431813596083</v>
      </c>
      <c r="C3" s="20">
        <v>-1.9</v>
      </c>
      <c r="D3" s="20">
        <v>16</v>
      </c>
      <c r="E3" s="19">
        <f>SQRT(G3-(F4)^2)</f>
        <v>3.5745629103430252</v>
      </c>
      <c r="F3" s="19">
        <v>-1.9</v>
      </c>
      <c r="G3" s="20">
        <v>16.2</v>
      </c>
      <c r="I3" t="s">
        <v>3</v>
      </c>
    </row>
    <row r="4" spans="1:9" x14ac:dyDescent="0.2">
      <c r="B4" s="19">
        <f t="shared" ref="B4:B40" si="0">SQRT(D4-(C4)^2)</f>
        <v>3.5464771252610667</v>
      </c>
      <c r="C4" s="20">
        <f>C3+0.05</f>
        <v>-1.8499999999999999</v>
      </c>
      <c r="D4" s="20">
        <v>16</v>
      </c>
      <c r="E4" s="19">
        <f t="shared" ref="E4:E40" si="1">SQRT(G4-(F5)^2)</f>
        <v>3.6</v>
      </c>
      <c r="F4" s="19">
        <f>F3+0.05</f>
        <v>-1.8499999999999999</v>
      </c>
      <c r="G4" s="20">
        <v>16.2</v>
      </c>
    </row>
    <row r="5" spans="1:9" x14ac:dyDescent="0.2">
      <c r="B5" s="19">
        <f t="shared" si="0"/>
        <v>3.5721142198983507</v>
      </c>
      <c r="C5" s="20">
        <f t="shared" ref="C5:C40" si="2">C4+0.05</f>
        <v>-1.7999999999999998</v>
      </c>
      <c r="D5" s="20">
        <v>16</v>
      </c>
      <c r="E5" s="19">
        <f t="shared" si="1"/>
        <v>3.6245689398878866</v>
      </c>
      <c r="F5" s="20">
        <f t="shared" ref="F5:F40" si="3">F4+0.05</f>
        <v>-1.7999999999999998</v>
      </c>
      <c r="G5" s="20">
        <v>16.2</v>
      </c>
    </row>
    <row r="6" spans="1:9" x14ac:dyDescent="0.2">
      <c r="B6" s="19">
        <f t="shared" si="0"/>
        <v>3.5968736424845398</v>
      </c>
      <c r="C6" s="20">
        <f t="shared" si="2"/>
        <v>-1.7499999999999998</v>
      </c>
      <c r="D6" s="20">
        <v>16</v>
      </c>
      <c r="E6" s="19">
        <f t="shared" si="1"/>
        <v>3.6482872693909401</v>
      </c>
      <c r="F6" s="20">
        <f t="shared" si="3"/>
        <v>-1.7499999999999998</v>
      </c>
      <c r="G6" s="20">
        <v>16.2</v>
      </c>
    </row>
    <row r="7" spans="1:9" x14ac:dyDescent="0.2">
      <c r="B7" s="19">
        <f t="shared" si="0"/>
        <v>3.6207733980463348</v>
      </c>
      <c r="C7" s="20">
        <f t="shared" si="2"/>
        <v>-1.6999999999999997</v>
      </c>
      <c r="D7" s="20">
        <v>16</v>
      </c>
      <c r="E7" s="19">
        <f t="shared" si="1"/>
        <v>3.6711714751561253</v>
      </c>
      <c r="F7" s="20">
        <f t="shared" si="3"/>
        <v>-1.6999999999999997</v>
      </c>
      <c r="G7" s="20">
        <v>16.2</v>
      </c>
    </row>
    <row r="8" spans="1:9" x14ac:dyDescent="0.2">
      <c r="B8" s="19">
        <f t="shared" si="0"/>
        <v>3.6438304022004102</v>
      </c>
      <c r="C8" s="20">
        <f t="shared" si="2"/>
        <v>-1.6499999999999997</v>
      </c>
      <c r="D8" s="20">
        <v>16</v>
      </c>
      <c r="E8" s="19">
        <f t="shared" si="1"/>
        <v>3.6932370625238775</v>
      </c>
      <c r="F8" s="20">
        <f t="shared" si="3"/>
        <v>-1.6499999999999997</v>
      </c>
      <c r="G8" s="20">
        <v>16.2</v>
      </c>
    </row>
    <row r="9" spans="1:9" x14ac:dyDescent="0.2">
      <c r="B9" s="19">
        <f t="shared" si="0"/>
        <v>3.6660605559646724</v>
      </c>
      <c r="C9" s="20">
        <f t="shared" si="2"/>
        <v>-1.5999999999999996</v>
      </c>
      <c r="D9" s="20">
        <v>16</v>
      </c>
      <c r="E9" s="19">
        <f t="shared" si="1"/>
        <v>3.7144986202716512</v>
      </c>
      <c r="F9" s="20">
        <f t="shared" si="3"/>
        <v>-1.5999999999999996</v>
      </c>
      <c r="G9" s="20">
        <v>16.2</v>
      </c>
    </row>
    <row r="10" spans="1:9" x14ac:dyDescent="0.2">
      <c r="B10" s="19">
        <f t="shared" si="0"/>
        <v>3.6874788134984584</v>
      </c>
      <c r="C10" s="20">
        <f t="shared" si="2"/>
        <v>-1.5499999999999996</v>
      </c>
      <c r="D10" s="20">
        <v>16</v>
      </c>
      <c r="E10" s="19">
        <f t="shared" si="1"/>
        <v>3.73496987939662</v>
      </c>
      <c r="F10" s="20">
        <f t="shared" si="3"/>
        <v>-1.5499999999999996</v>
      </c>
      <c r="G10" s="20">
        <v>16.2</v>
      </c>
    </row>
    <row r="11" spans="1:9" x14ac:dyDescent="0.2">
      <c r="B11" s="19">
        <f t="shared" si="0"/>
        <v>3.7080992435478319</v>
      </c>
      <c r="C11" s="20">
        <f t="shared" si="2"/>
        <v>-1.4999999999999996</v>
      </c>
      <c r="D11" s="20">
        <v>16</v>
      </c>
      <c r="E11" s="19">
        <f t="shared" si="1"/>
        <v>3.7546637665708498</v>
      </c>
      <c r="F11" s="20">
        <f t="shared" si="3"/>
        <v>-1.4999999999999996</v>
      </c>
      <c r="G11" s="20">
        <v>16.2</v>
      </c>
    </row>
    <row r="12" spans="1:9" x14ac:dyDescent="0.2">
      <c r="B12" s="19">
        <f t="shared" si="0"/>
        <v>3.7279350852717381</v>
      </c>
      <c r="C12" s="20">
        <f t="shared" si="2"/>
        <v>-1.4499999999999995</v>
      </c>
      <c r="D12" s="20">
        <v>16</v>
      </c>
      <c r="E12" s="19">
        <f t="shared" si="1"/>
        <v>3.7735924528226414</v>
      </c>
      <c r="F12" s="20">
        <f t="shared" si="3"/>
        <v>-1.4499999999999995</v>
      </c>
      <c r="G12" s="20">
        <v>16.2</v>
      </c>
    </row>
    <row r="13" spans="1:9" x14ac:dyDescent="0.2">
      <c r="B13" s="19">
        <f t="shared" si="0"/>
        <v>3.746998799039039</v>
      </c>
      <c r="C13" s="20">
        <f t="shared" si="2"/>
        <v>-1.3999999999999995</v>
      </c>
      <c r="D13" s="20">
        <v>16</v>
      </c>
      <c r="E13" s="19">
        <f t="shared" si="1"/>
        <v>3.7917673979293616</v>
      </c>
      <c r="F13" s="20">
        <f t="shared" si="3"/>
        <v>-1.3999999999999995</v>
      </c>
      <c r="G13" s="20">
        <v>16.2</v>
      </c>
    </row>
    <row r="14" spans="1:9" x14ac:dyDescent="0.2">
      <c r="B14" s="19">
        <f t="shared" si="0"/>
        <v>3.7653021127128699</v>
      </c>
      <c r="C14" s="20">
        <f t="shared" si="2"/>
        <v>-1.3499999999999994</v>
      </c>
      <c r="D14" s="20">
        <v>16</v>
      </c>
      <c r="E14" s="19">
        <f t="shared" si="1"/>
        <v>3.8091993909481823</v>
      </c>
      <c r="F14" s="20">
        <f t="shared" si="3"/>
        <v>-1.3499999999999994</v>
      </c>
      <c r="G14" s="20">
        <v>16.2</v>
      </c>
    </row>
    <row r="15" spans="1:9" x14ac:dyDescent="0.2">
      <c r="B15" s="19">
        <f t="shared" si="0"/>
        <v>3.7828560638755477</v>
      </c>
      <c r="C15" s="20">
        <f t="shared" si="2"/>
        <v>-1.2999999999999994</v>
      </c>
      <c r="D15" s="20">
        <v>16</v>
      </c>
      <c r="E15" s="19">
        <f t="shared" si="1"/>
        <v>3.8258985872602533</v>
      </c>
      <c r="F15" s="20">
        <f t="shared" si="3"/>
        <v>-1.2999999999999994</v>
      </c>
      <c r="G15" s="20">
        <v>16.2</v>
      </c>
    </row>
    <row r="16" spans="1:9" x14ac:dyDescent="0.2">
      <c r="B16" s="19">
        <f t="shared" si="0"/>
        <v>3.799671038392666</v>
      </c>
      <c r="C16" s="20">
        <f t="shared" si="2"/>
        <v>-1.2499999999999993</v>
      </c>
      <c r="D16" s="20">
        <v>16</v>
      </c>
      <c r="E16" s="19">
        <f t="shared" si="1"/>
        <v>3.8418745424597094</v>
      </c>
      <c r="F16" s="20">
        <f t="shared" si="3"/>
        <v>-1.2499999999999993</v>
      </c>
      <c r="G16" s="20">
        <v>16.2</v>
      </c>
    </row>
    <row r="17" spans="2:7" x14ac:dyDescent="0.2">
      <c r="B17" s="19">
        <f t="shared" si="0"/>
        <v>3.8157568056677831</v>
      </c>
      <c r="C17" s="20">
        <f t="shared" si="2"/>
        <v>-1.1999999999999993</v>
      </c>
      <c r="D17" s="20">
        <v>16</v>
      </c>
      <c r="E17" s="19">
        <f t="shared" si="1"/>
        <v>3.8571362433805731</v>
      </c>
      <c r="F17" s="20">
        <f t="shared" si="3"/>
        <v>-1.1999999999999993</v>
      </c>
      <c r="G17" s="20">
        <v>16.2</v>
      </c>
    </row>
    <row r="18" spans="2:7" x14ac:dyDescent="0.2">
      <c r="B18" s="19">
        <f t="shared" si="0"/>
        <v>3.8311225508981051</v>
      </c>
      <c r="C18" s="20">
        <f t="shared" si="2"/>
        <v>-1.1499999999999992</v>
      </c>
      <c r="D18" s="20">
        <v>16</v>
      </c>
      <c r="E18" s="19">
        <f t="shared" si="1"/>
        <v>3.871692136521188</v>
      </c>
      <c r="F18" s="20">
        <f t="shared" si="3"/>
        <v>-1.1499999999999992</v>
      </c>
      <c r="G18" s="20">
        <v>16.2</v>
      </c>
    </row>
    <row r="19" spans="2:7" x14ac:dyDescent="0.2">
      <c r="B19" s="19">
        <f t="shared" si="0"/>
        <v>3.8457769046058825</v>
      </c>
      <c r="C19" s="20">
        <f t="shared" si="2"/>
        <v>-1.0999999999999992</v>
      </c>
      <c r="D19" s="20">
        <v>16</v>
      </c>
      <c r="E19" s="19">
        <f t="shared" si="1"/>
        <v>3.8855501540965856</v>
      </c>
      <c r="F19" s="20">
        <f t="shared" si="3"/>
        <v>-1.0999999999999992</v>
      </c>
      <c r="G19" s="20">
        <v>16.2</v>
      </c>
    </row>
    <row r="20" spans="2:7" x14ac:dyDescent="0.2">
      <c r="B20" s="19">
        <f t="shared" si="0"/>
        <v>3.8597279696890556</v>
      </c>
      <c r="C20" s="20">
        <f t="shared" si="2"/>
        <v>-1.0499999999999992</v>
      </c>
      <c r="D20" s="20">
        <v>16</v>
      </c>
      <c r="E20" s="19">
        <f t="shared" si="1"/>
        <v>3.8987177379235858</v>
      </c>
      <c r="F20" s="20">
        <f t="shared" si="3"/>
        <v>-1.0499999999999992</v>
      </c>
      <c r="G20" s="20">
        <v>16.2</v>
      </c>
    </row>
    <row r="21" spans="2:7" x14ac:dyDescent="0.2">
      <c r="B21" s="19">
        <f t="shared" si="0"/>
        <v>3.872983346207417</v>
      </c>
      <c r="C21" s="20">
        <f t="shared" si="2"/>
        <v>-0.99999999999999911</v>
      </c>
      <c r="D21" s="20">
        <v>16</v>
      </c>
      <c r="E21" s="19">
        <f t="shared" si="1"/>
        <v>3.9112018613208908</v>
      </c>
      <c r="F21" s="20">
        <f t="shared" si="3"/>
        <v>-0.99999999999999911</v>
      </c>
      <c r="G21" s="20">
        <v>16.2</v>
      </c>
    </row>
    <row r="22" spans="2:7" x14ac:dyDescent="0.2">
      <c r="B22" s="19">
        <f t="shared" si="0"/>
        <v>3.885550154096586</v>
      </c>
      <c r="C22" s="20">
        <f t="shared" si="2"/>
        <v>-0.94999999999999907</v>
      </c>
      <c r="D22" s="20">
        <v>16</v>
      </c>
      <c r="E22" s="19">
        <f t="shared" si="1"/>
        <v>3.9230090491866063</v>
      </c>
      <c r="F22" s="20">
        <f t="shared" si="3"/>
        <v>-0.94999999999999907</v>
      </c>
      <c r="G22" s="20">
        <v>16.2</v>
      </c>
    </row>
    <row r="23" spans="2:7" x14ac:dyDescent="0.2">
      <c r="B23" s="19">
        <f t="shared" si="0"/>
        <v>3.8974350539810154</v>
      </c>
      <c r="C23" s="20">
        <f t="shared" si="2"/>
        <v>-0.89999999999999902</v>
      </c>
      <c r="D23" s="20">
        <v>16</v>
      </c>
      <c r="E23" s="19">
        <f t="shared" si="1"/>
        <v>3.9341453963980539</v>
      </c>
      <c r="F23" s="20">
        <f t="shared" si="3"/>
        <v>-0.89999999999999902</v>
      </c>
      <c r="G23" s="20">
        <v>16.2</v>
      </c>
    </row>
    <row r="24" spans="2:7" x14ac:dyDescent="0.2">
      <c r="B24" s="19">
        <f t="shared" si="0"/>
        <v>3.9086442662386149</v>
      </c>
      <c r="C24" s="20">
        <f t="shared" si="2"/>
        <v>-0.84999999999999898</v>
      </c>
      <c r="D24" s="20">
        <v>16</v>
      </c>
      <c r="E24" s="19">
        <f t="shared" si="1"/>
        <v>3.944616584663204</v>
      </c>
      <c r="F24" s="20">
        <f t="shared" si="3"/>
        <v>-0.84999999999999898</v>
      </c>
      <c r="G24" s="20">
        <v>16.2</v>
      </c>
    </row>
    <row r="25" spans="2:7" x14ac:dyDescent="0.2">
      <c r="B25" s="19">
        <f t="shared" si="0"/>
        <v>3.9191835884530852</v>
      </c>
      <c r="C25" s="20">
        <f t="shared" si="2"/>
        <v>-0.79999999999999893</v>
      </c>
      <c r="D25" s="20">
        <v>16</v>
      </c>
      <c r="E25" s="19">
        <f t="shared" si="1"/>
        <v>3.9544278979392202</v>
      </c>
      <c r="F25" s="20">
        <f t="shared" si="3"/>
        <v>-0.79999999999999893</v>
      </c>
      <c r="G25" s="20">
        <v>16.2</v>
      </c>
    </row>
    <row r="26" spans="2:7" x14ac:dyDescent="0.2">
      <c r="B26" s="19">
        <f t="shared" si="0"/>
        <v>3.9290584113754279</v>
      </c>
      <c r="C26" s="20">
        <f t="shared" si="2"/>
        <v>-0.74999999999999889</v>
      </c>
      <c r="D26" s="20">
        <v>16</v>
      </c>
      <c r="E26" s="19">
        <f t="shared" si="1"/>
        <v>3.963584236521283</v>
      </c>
      <c r="F26" s="20">
        <f t="shared" si="3"/>
        <v>-0.74999999999999889</v>
      </c>
      <c r="G26" s="20">
        <v>16.2</v>
      </c>
    </row>
    <row r="27" spans="2:7" x14ac:dyDescent="0.2">
      <c r="B27" s="19">
        <f t="shared" si="0"/>
        <v>3.9382737335030433</v>
      </c>
      <c r="C27" s="20">
        <f t="shared" si="2"/>
        <v>-0.69999999999999885</v>
      </c>
      <c r="D27" s="20">
        <v>16</v>
      </c>
      <c r="E27" s="19">
        <f t="shared" si="1"/>
        <v>3.9720901298938323</v>
      </c>
      <c r="F27" s="20">
        <f t="shared" si="3"/>
        <v>-0.69999999999999885</v>
      </c>
      <c r="G27" s="20">
        <v>16.2</v>
      </c>
    </row>
    <row r="28" spans="2:7" x14ac:dyDescent="0.2">
      <c r="B28" s="19">
        <f t="shared" si="0"/>
        <v>3.9468341743731776</v>
      </c>
      <c r="C28" s="20">
        <f t="shared" si="2"/>
        <v>-0.6499999999999988</v>
      </c>
      <c r="D28" s="20">
        <v>16</v>
      </c>
      <c r="E28" s="21">
        <f t="shared" si="1"/>
        <v>3.9799497484264799</v>
      </c>
      <c r="F28" s="20">
        <f t="shared" si="3"/>
        <v>-0.6499999999999988</v>
      </c>
      <c r="G28" s="20">
        <v>16.2</v>
      </c>
    </row>
    <row r="29" spans="2:7" x14ac:dyDescent="0.2">
      <c r="B29" s="19">
        <f t="shared" si="0"/>
        <v>3.954743986657038</v>
      </c>
      <c r="C29" s="20">
        <f t="shared" si="2"/>
        <v>-0.59999999999999876</v>
      </c>
      <c r="D29" s="20">
        <v>16</v>
      </c>
      <c r="E29" s="19">
        <f t="shared" si="1"/>
        <v>3.987166913987926</v>
      </c>
      <c r="F29" s="20">
        <f t="shared" si="3"/>
        <v>-0.59999999999999876</v>
      </c>
      <c r="G29" s="20">
        <v>16.2</v>
      </c>
    </row>
    <row r="30" spans="2:7" x14ac:dyDescent="0.2">
      <c r="B30" s="19">
        <f t="shared" si="0"/>
        <v>3.9620070671315064</v>
      </c>
      <c r="C30" s="20">
        <f t="shared" si="2"/>
        <v>-0.54999999999999871</v>
      </c>
      <c r="D30" s="20">
        <v>16</v>
      </c>
      <c r="E30" s="19">
        <f t="shared" si="1"/>
        <v>3.993745109543172</v>
      </c>
      <c r="F30" s="20">
        <f t="shared" si="3"/>
        <v>-0.54999999999999871</v>
      </c>
      <c r="G30" s="20">
        <v>16.2</v>
      </c>
    </row>
    <row r="31" spans="2:7" x14ac:dyDescent="0.2">
      <c r="B31" s="19">
        <f t="shared" si="0"/>
        <v>3.9686269665968861</v>
      </c>
      <c r="C31" s="20">
        <f t="shared" si="2"/>
        <v>-0.49999999999999872</v>
      </c>
      <c r="D31" s="20">
        <v>16</v>
      </c>
      <c r="E31" s="19">
        <f t="shared" si="1"/>
        <v>3.999687487792015</v>
      </c>
      <c r="F31" s="20">
        <f t="shared" si="3"/>
        <v>-0.49999999999999872</v>
      </c>
      <c r="G31" s="20">
        <v>16.2</v>
      </c>
    </row>
    <row r="32" spans="2:7" x14ac:dyDescent="0.2">
      <c r="B32" s="19">
        <f t="shared" si="0"/>
        <v>3.97460689880144</v>
      </c>
      <c r="C32" s="20">
        <f t="shared" si="2"/>
        <v>-0.44999999999999873</v>
      </c>
      <c r="D32" s="20">
        <v>16</v>
      </c>
      <c r="E32" s="19">
        <f t="shared" si="1"/>
        <v>4.0049968789001573</v>
      </c>
      <c r="F32" s="20">
        <f t="shared" si="3"/>
        <v>-0.44999999999999873</v>
      </c>
      <c r="G32" s="20">
        <v>16.2</v>
      </c>
    </row>
    <row r="33" spans="2:9" x14ac:dyDescent="0.2">
      <c r="B33" s="19">
        <f t="shared" si="0"/>
        <v>3.9799497484264799</v>
      </c>
      <c r="C33" s="20">
        <f t="shared" si="2"/>
        <v>-0.39999999999999875</v>
      </c>
      <c r="D33" s="20">
        <v>16</v>
      </c>
      <c r="E33" s="19">
        <f t="shared" si="1"/>
        <v>4.0096757973681614</v>
      </c>
      <c r="F33" s="20">
        <f t="shared" si="3"/>
        <v>-0.39999999999999875</v>
      </c>
      <c r="G33" s="20">
        <v>16.2</v>
      </c>
    </row>
    <row r="34" spans="2:9" x14ac:dyDescent="0.2">
      <c r="B34" s="19">
        <f t="shared" si="0"/>
        <v>3.9846580781793564</v>
      </c>
      <c r="C34" s="20">
        <f t="shared" si="2"/>
        <v>-0.34999999999999876</v>
      </c>
      <c r="D34" s="20">
        <v>16</v>
      </c>
      <c r="E34" s="19">
        <f t="shared" si="1"/>
        <v>4.0137264480778958</v>
      </c>
      <c r="F34" s="20">
        <f t="shared" si="3"/>
        <v>-0.34999999999999876</v>
      </c>
      <c r="G34" s="20">
        <v>16.2</v>
      </c>
    </row>
    <row r="35" spans="2:9" x14ac:dyDescent="0.2">
      <c r="B35" s="19">
        <f t="shared" si="0"/>
        <v>3.9887341350358261</v>
      </c>
      <c r="C35" s="20">
        <f t="shared" si="2"/>
        <v>-0.29999999999999877</v>
      </c>
      <c r="D35" s="20">
        <v>16</v>
      </c>
      <c r="E35" s="19">
        <f t="shared" si="1"/>
        <v>4.0171507315509087</v>
      </c>
      <c r="F35" s="20">
        <f t="shared" si="3"/>
        <v>-0.29999999999999877</v>
      </c>
      <c r="G35" s="20">
        <v>16.2</v>
      </c>
    </row>
    <row r="36" spans="2:9" x14ac:dyDescent="0.2">
      <c r="B36" s="19">
        <f t="shared" si="0"/>
        <v>3.9921798556678278</v>
      </c>
      <c r="C36" s="20">
        <f t="shared" si="2"/>
        <v>-0.24999999999999878</v>
      </c>
      <c r="D36" s="20">
        <v>16</v>
      </c>
      <c r="E36" s="19">
        <f t="shared" si="1"/>
        <v>4.0199502484483558</v>
      </c>
      <c r="F36" s="20">
        <f t="shared" si="3"/>
        <v>-0.24999999999999878</v>
      </c>
      <c r="G36" s="20">
        <v>16.2</v>
      </c>
    </row>
    <row r="37" spans="2:9" x14ac:dyDescent="0.2">
      <c r="B37" s="19">
        <f t="shared" si="0"/>
        <v>3.9949968710876358</v>
      </c>
      <c r="C37" s="20">
        <f t="shared" si="2"/>
        <v>-0.19999999999999879</v>
      </c>
      <c r="D37" s="20">
        <v>16</v>
      </c>
      <c r="E37" s="19">
        <f t="shared" si="1"/>
        <v>4.0221263033375765</v>
      </c>
      <c r="F37" s="20">
        <f t="shared" si="3"/>
        <v>-0.19999999999999879</v>
      </c>
      <c r="G37" s="20">
        <v>16.2</v>
      </c>
    </row>
    <row r="38" spans="2:9" x14ac:dyDescent="0.2">
      <c r="B38" s="19">
        <f t="shared" si="0"/>
        <v>3.9971865105346285</v>
      </c>
      <c r="C38" s="20">
        <f t="shared" si="2"/>
        <v>-0.1499999999999988</v>
      </c>
      <c r="D38" s="20">
        <v>16</v>
      </c>
      <c r="E38" s="19">
        <f t="shared" si="1"/>
        <v>4.0236799077461418</v>
      </c>
      <c r="F38" s="20">
        <f t="shared" si="3"/>
        <v>-0.1499999999999988</v>
      </c>
      <c r="G38" s="20">
        <v>16.2</v>
      </c>
    </row>
    <row r="39" spans="2:9" x14ac:dyDescent="0.2">
      <c r="B39" s="19">
        <f t="shared" si="0"/>
        <v>3.9987498046264411</v>
      </c>
      <c r="C39" s="20">
        <f t="shared" si="2"/>
        <v>-9.9999999999998798E-2</v>
      </c>
      <c r="D39" s="20">
        <v>16</v>
      </c>
      <c r="E39" s="19">
        <f t="shared" si="1"/>
        <v>4.0246117825201475</v>
      </c>
      <c r="F39" s="20">
        <f t="shared" si="3"/>
        <v>-9.9999999999998798E-2</v>
      </c>
      <c r="G39" s="20">
        <v>16.2</v>
      </c>
    </row>
    <row r="40" spans="2:9" x14ac:dyDescent="0.2">
      <c r="B40" s="19">
        <f t="shared" si="0"/>
        <v>3.999687487792015</v>
      </c>
      <c r="C40" s="20">
        <f t="shared" si="2"/>
        <v>-4.9999999999998795E-2</v>
      </c>
      <c r="D40" s="20">
        <v>16</v>
      </c>
      <c r="E40" s="19">
        <f t="shared" si="1"/>
        <v>4.0249223594996213</v>
      </c>
      <c r="F40" s="20">
        <f t="shared" si="3"/>
        <v>-4.9999999999998795E-2</v>
      </c>
      <c r="G40" s="20">
        <v>16.2</v>
      </c>
    </row>
    <row r="41" spans="2:9" x14ac:dyDescent="0.2">
      <c r="B41" s="246">
        <v>4</v>
      </c>
      <c r="C41" s="240">
        <v>0</v>
      </c>
      <c r="D41" s="240">
        <v>16</v>
      </c>
      <c r="E41" s="247">
        <f>SQRT(G41-(F41)^2)</f>
        <v>4.0249223594996213</v>
      </c>
      <c r="F41" s="247">
        <v>0</v>
      </c>
      <c r="G41" s="20">
        <v>16.2</v>
      </c>
      <c r="I41" t="s">
        <v>3</v>
      </c>
    </row>
    <row r="42" spans="2:9" x14ac:dyDescent="0.2">
      <c r="B42">
        <f>SQRT(D42-(C42)^2)</f>
        <v>3.999687487792015</v>
      </c>
      <c r="C42">
        <v>0.05</v>
      </c>
      <c r="D42">
        <v>16</v>
      </c>
      <c r="E42">
        <f t="shared" ref="E42:E79" si="4">SQRT(G42-(F42)^2)</f>
        <v>4.0246117825201475</v>
      </c>
      <c r="F42">
        <v>0.05</v>
      </c>
      <c r="G42" s="20">
        <v>16.2</v>
      </c>
    </row>
    <row r="43" spans="2:9" x14ac:dyDescent="0.2">
      <c r="B43">
        <f t="shared" ref="B43:B79" si="5">SQRT(D43-(C43)^2)</f>
        <v>3.9987498046264411</v>
      </c>
      <c r="C43">
        <f>C42+0.05</f>
        <v>0.1</v>
      </c>
      <c r="D43">
        <v>16</v>
      </c>
      <c r="E43">
        <f t="shared" si="4"/>
        <v>4.0236799077461418</v>
      </c>
      <c r="F43">
        <f>F42+0.05</f>
        <v>0.1</v>
      </c>
      <c r="G43" s="20">
        <v>16.2</v>
      </c>
    </row>
    <row r="44" spans="2:9" x14ac:dyDescent="0.2">
      <c r="B44">
        <f t="shared" si="5"/>
        <v>3.9971865105346285</v>
      </c>
      <c r="C44">
        <f t="shared" ref="C44:C79" si="6">C43+0.05</f>
        <v>0.15000000000000002</v>
      </c>
      <c r="D44">
        <v>16</v>
      </c>
      <c r="E44">
        <f t="shared" si="4"/>
        <v>4.0221263033375765</v>
      </c>
      <c r="F44">
        <f t="shared" ref="F44:F79" si="7">F43+0.05</f>
        <v>0.15000000000000002</v>
      </c>
      <c r="G44" s="20">
        <v>16.2</v>
      </c>
    </row>
    <row r="45" spans="2:9" x14ac:dyDescent="0.2">
      <c r="B45">
        <f t="shared" si="5"/>
        <v>3.9949968710876358</v>
      </c>
      <c r="C45">
        <f t="shared" si="6"/>
        <v>0.2</v>
      </c>
      <c r="D45">
        <v>16</v>
      </c>
      <c r="E45">
        <f t="shared" si="4"/>
        <v>4.0199502484483558</v>
      </c>
      <c r="F45">
        <f t="shared" si="7"/>
        <v>0.2</v>
      </c>
      <c r="G45" s="20">
        <v>16.2</v>
      </c>
    </row>
    <row r="46" spans="2:9" x14ac:dyDescent="0.2">
      <c r="B46">
        <f t="shared" si="5"/>
        <v>3.9921798556678278</v>
      </c>
      <c r="C46">
        <f t="shared" si="6"/>
        <v>0.25</v>
      </c>
      <c r="D46">
        <v>16</v>
      </c>
      <c r="E46">
        <f t="shared" si="4"/>
        <v>4.0171507315509087</v>
      </c>
      <c r="F46">
        <f t="shared" si="7"/>
        <v>0.25</v>
      </c>
      <c r="G46" s="20">
        <v>16.2</v>
      </c>
    </row>
    <row r="47" spans="2:9" x14ac:dyDescent="0.2">
      <c r="B47">
        <f t="shared" si="5"/>
        <v>3.9887341350358261</v>
      </c>
      <c r="C47">
        <f t="shared" si="6"/>
        <v>0.3</v>
      </c>
      <c r="D47">
        <v>16</v>
      </c>
      <c r="E47">
        <f t="shared" si="4"/>
        <v>4.0137264480778958</v>
      </c>
      <c r="F47">
        <f t="shared" si="7"/>
        <v>0.3</v>
      </c>
      <c r="G47" s="20">
        <v>16.2</v>
      </c>
    </row>
    <row r="48" spans="2:9" x14ac:dyDescent="0.2">
      <c r="B48">
        <f t="shared" si="5"/>
        <v>3.9846580781793559</v>
      </c>
      <c r="C48">
        <f t="shared" si="6"/>
        <v>0.35</v>
      </c>
      <c r="D48">
        <v>16</v>
      </c>
      <c r="E48">
        <f t="shared" si="4"/>
        <v>4.0096757973681614</v>
      </c>
      <c r="F48">
        <f t="shared" si="7"/>
        <v>0.35</v>
      </c>
      <c r="G48" s="20">
        <v>16.2</v>
      </c>
    </row>
    <row r="49" spans="2:7" x14ac:dyDescent="0.2">
      <c r="B49">
        <f t="shared" si="5"/>
        <v>3.9799497484264799</v>
      </c>
      <c r="C49">
        <f t="shared" si="6"/>
        <v>0.39999999999999997</v>
      </c>
      <c r="D49">
        <v>16</v>
      </c>
      <c r="E49">
        <f t="shared" si="4"/>
        <v>4.0049968789001573</v>
      </c>
      <c r="F49">
        <f t="shared" si="7"/>
        <v>0.39999999999999997</v>
      </c>
      <c r="G49" s="20">
        <v>16.2</v>
      </c>
    </row>
    <row r="50" spans="2:7" x14ac:dyDescent="0.2">
      <c r="B50">
        <f t="shared" si="5"/>
        <v>3.97460689880144</v>
      </c>
      <c r="C50">
        <f t="shared" si="6"/>
        <v>0.44999999999999996</v>
      </c>
      <c r="D50">
        <v>16</v>
      </c>
      <c r="E50">
        <f t="shared" si="4"/>
        <v>3.999687487792015</v>
      </c>
      <c r="F50">
        <f t="shared" si="7"/>
        <v>0.44999999999999996</v>
      </c>
      <c r="G50" s="20">
        <v>16.2</v>
      </c>
    </row>
    <row r="51" spans="2:7" x14ac:dyDescent="0.2">
      <c r="B51">
        <f t="shared" si="5"/>
        <v>3.9686269665968861</v>
      </c>
      <c r="C51">
        <f t="shared" si="6"/>
        <v>0.49999999999999994</v>
      </c>
      <c r="D51">
        <v>16</v>
      </c>
      <c r="E51">
        <f t="shared" si="4"/>
        <v>3.9937451095431715</v>
      </c>
      <c r="F51">
        <f t="shared" si="7"/>
        <v>0.49999999999999994</v>
      </c>
      <c r="G51" s="20">
        <v>16.2</v>
      </c>
    </row>
    <row r="52" spans="2:7" x14ac:dyDescent="0.2">
      <c r="B52">
        <f t="shared" si="5"/>
        <v>3.9620070671315064</v>
      </c>
      <c r="C52">
        <f t="shared" si="6"/>
        <v>0.54999999999999993</v>
      </c>
      <c r="D52">
        <v>16</v>
      </c>
      <c r="E52">
        <f t="shared" si="4"/>
        <v>3.9871669139879256</v>
      </c>
      <c r="F52">
        <f t="shared" si="7"/>
        <v>0.54999999999999993</v>
      </c>
      <c r="G52" s="20">
        <v>16.2</v>
      </c>
    </row>
    <row r="53" spans="2:7" x14ac:dyDescent="0.2">
      <c r="B53">
        <f t="shared" si="5"/>
        <v>3.954743986657038</v>
      </c>
      <c r="C53">
        <f t="shared" si="6"/>
        <v>0.6</v>
      </c>
      <c r="D53">
        <v>16</v>
      </c>
      <c r="E53">
        <f t="shared" si="4"/>
        <v>3.9799497484264799</v>
      </c>
      <c r="F53">
        <f t="shared" si="7"/>
        <v>0.6</v>
      </c>
      <c r="G53" s="20">
        <v>16.2</v>
      </c>
    </row>
    <row r="54" spans="2:7" x14ac:dyDescent="0.2">
      <c r="B54">
        <f t="shared" si="5"/>
        <v>3.9468341743731772</v>
      </c>
      <c r="C54">
        <f t="shared" si="6"/>
        <v>0.65</v>
      </c>
      <c r="D54">
        <v>16</v>
      </c>
      <c r="E54">
        <f t="shared" si="4"/>
        <v>3.9720901298938323</v>
      </c>
      <c r="F54">
        <f t="shared" si="7"/>
        <v>0.65</v>
      </c>
      <c r="G54" s="20">
        <v>16.2</v>
      </c>
    </row>
    <row r="55" spans="2:7" x14ac:dyDescent="0.2">
      <c r="B55">
        <f t="shared" si="5"/>
        <v>3.9382737335030433</v>
      </c>
      <c r="C55">
        <f t="shared" si="6"/>
        <v>0.70000000000000007</v>
      </c>
      <c r="D55">
        <v>16</v>
      </c>
      <c r="E55">
        <f t="shared" si="4"/>
        <v>3.9635842365212826</v>
      </c>
      <c r="F55">
        <f t="shared" si="7"/>
        <v>0.70000000000000007</v>
      </c>
      <c r="G55" s="20">
        <v>16.2</v>
      </c>
    </row>
    <row r="56" spans="2:7" x14ac:dyDescent="0.2">
      <c r="B56">
        <f t="shared" si="5"/>
        <v>3.9290584113754279</v>
      </c>
      <c r="C56">
        <f t="shared" si="6"/>
        <v>0.75000000000000011</v>
      </c>
      <c r="D56">
        <v>16</v>
      </c>
      <c r="E56">
        <f t="shared" si="4"/>
        <v>3.9544278979392202</v>
      </c>
      <c r="F56">
        <f t="shared" si="7"/>
        <v>0.75000000000000011</v>
      </c>
      <c r="G56" s="20">
        <v>16.2</v>
      </c>
    </row>
    <row r="57" spans="2:7" x14ac:dyDescent="0.2">
      <c r="B57">
        <f t="shared" si="5"/>
        <v>3.9191835884530848</v>
      </c>
      <c r="C57">
        <f t="shared" si="6"/>
        <v>0.80000000000000016</v>
      </c>
      <c r="D57">
        <v>16</v>
      </c>
      <c r="E57">
        <f t="shared" si="4"/>
        <v>3.944616584663204</v>
      </c>
      <c r="F57">
        <f t="shared" si="7"/>
        <v>0.80000000000000016</v>
      </c>
      <c r="G57" s="20">
        <v>16.2</v>
      </c>
    </row>
    <row r="58" spans="2:7" x14ac:dyDescent="0.2">
      <c r="B58">
        <f t="shared" si="5"/>
        <v>3.9086442662386149</v>
      </c>
      <c r="C58">
        <f t="shared" si="6"/>
        <v>0.8500000000000002</v>
      </c>
      <c r="D58">
        <v>16</v>
      </c>
      <c r="E58">
        <f t="shared" si="4"/>
        <v>3.9341453963980535</v>
      </c>
      <c r="F58">
        <f t="shared" si="7"/>
        <v>0.8500000000000002</v>
      </c>
      <c r="G58" s="20">
        <v>16.2</v>
      </c>
    </row>
    <row r="59" spans="2:7" x14ac:dyDescent="0.2">
      <c r="B59">
        <f t="shared" si="5"/>
        <v>3.8974350539810154</v>
      </c>
      <c r="C59">
        <f t="shared" si="6"/>
        <v>0.90000000000000024</v>
      </c>
      <c r="D59">
        <v>16</v>
      </c>
      <c r="E59">
        <f t="shared" si="4"/>
        <v>3.9230090491866059</v>
      </c>
      <c r="F59">
        <f t="shared" si="7"/>
        <v>0.90000000000000024</v>
      </c>
      <c r="G59" s="20">
        <v>16.2</v>
      </c>
    </row>
    <row r="60" spans="2:7" x14ac:dyDescent="0.2">
      <c r="B60">
        <f t="shared" si="5"/>
        <v>3.8855501540965856</v>
      </c>
      <c r="C60">
        <f t="shared" si="6"/>
        <v>0.95000000000000029</v>
      </c>
      <c r="D60">
        <v>16</v>
      </c>
      <c r="E60">
        <f t="shared" si="4"/>
        <v>3.9112018613208908</v>
      </c>
      <c r="F60">
        <f t="shared" si="7"/>
        <v>0.95000000000000029</v>
      </c>
      <c r="G60" s="20">
        <v>16.2</v>
      </c>
    </row>
    <row r="61" spans="2:7" x14ac:dyDescent="0.2">
      <c r="B61">
        <f t="shared" si="5"/>
        <v>3.872983346207417</v>
      </c>
      <c r="C61">
        <f t="shared" si="6"/>
        <v>1.0000000000000002</v>
      </c>
      <c r="D61">
        <v>16</v>
      </c>
      <c r="E61">
        <f t="shared" si="4"/>
        <v>3.8987177379235853</v>
      </c>
      <c r="F61">
        <f t="shared" si="7"/>
        <v>1.0000000000000002</v>
      </c>
      <c r="G61" s="20">
        <v>16.2</v>
      </c>
    </row>
    <row r="62" spans="2:7" x14ac:dyDescent="0.2">
      <c r="B62">
        <f t="shared" si="5"/>
        <v>3.8597279696890556</v>
      </c>
      <c r="C62">
        <f t="shared" si="6"/>
        <v>1.0500000000000003</v>
      </c>
      <c r="D62">
        <v>16</v>
      </c>
      <c r="E62">
        <f t="shared" si="4"/>
        <v>3.8855501540965856</v>
      </c>
      <c r="F62">
        <f t="shared" si="7"/>
        <v>1.0500000000000003</v>
      </c>
      <c r="G62" s="20">
        <v>16.2</v>
      </c>
    </row>
    <row r="63" spans="2:7" x14ac:dyDescent="0.2">
      <c r="B63">
        <f t="shared" si="5"/>
        <v>3.8457769046058821</v>
      </c>
      <c r="C63">
        <f t="shared" si="6"/>
        <v>1.1000000000000003</v>
      </c>
      <c r="D63">
        <v>16</v>
      </c>
      <c r="E63">
        <f t="shared" si="4"/>
        <v>3.8716921365211876</v>
      </c>
      <c r="F63">
        <f t="shared" si="7"/>
        <v>1.1000000000000003</v>
      </c>
      <c r="G63" s="20">
        <v>16.2</v>
      </c>
    </row>
    <row r="64" spans="2:7" x14ac:dyDescent="0.2">
      <c r="B64">
        <f t="shared" si="5"/>
        <v>3.8311225508981046</v>
      </c>
      <c r="C64">
        <f t="shared" si="6"/>
        <v>1.1500000000000004</v>
      </c>
      <c r="D64">
        <v>16</v>
      </c>
      <c r="E64">
        <f t="shared" si="4"/>
        <v>3.8571362433805727</v>
      </c>
      <c r="F64">
        <f t="shared" si="7"/>
        <v>1.1500000000000004</v>
      </c>
      <c r="G64" s="20">
        <v>16.2</v>
      </c>
    </row>
    <row r="65" spans="2:7" x14ac:dyDescent="0.2">
      <c r="B65">
        <f t="shared" si="5"/>
        <v>3.8157568056677826</v>
      </c>
      <c r="C65">
        <f t="shared" si="6"/>
        <v>1.2000000000000004</v>
      </c>
      <c r="D65">
        <v>16</v>
      </c>
      <c r="E65">
        <f t="shared" si="4"/>
        <v>3.8418745424597089</v>
      </c>
      <c r="F65">
        <f t="shared" si="7"/>
        <v>1.2000000000000004</v>
      </c>
      <c r="G65" s="20">
        <v>16.2</v>
      </c>
    </row>
    <row r="66" spans="2:7" x14ac:dyDescent="0.2">
      <c r="B66">
        <f t="shared" si="5"/>
        <v>3.7996710383926655</v>
      </c>
      <c r="C66">
        <f t="shared" si="6"/>
        <v>1.2500000000000004</v>
      </c>
      <c r="D66">
        <v>16</v>
      </c>
      <c r="E66">
        <f t="shared" si="4"/>
        <v>3.8258985872602529</v>
      </c>
      <c r="F66">
        <f t="shared" si="7"/>
        <v>1.2500000000000004</v>
      </c>
      <c r="G66" s="20">
        <v>16.2</v>
      </c>
    </row>
    <row r="67" spans="2:7" x14ac:dyDescent="0.2">
      <c r="B67">
        <f t="shared" si="5"/>
        <v>3.7828560638755473</v>
      </c>
      <c r="C67">
        <f t="shared" si="6"/>
        <v>1.3000000000000005</v>
      </c>
      <c r="D67">
        <v>16</v>
      </c>
      <c r="E67">
        <f t="shared" si="4"/>
        <v>3.8091993909481818</v>
      </c>
      <c r="F67">
        <f t="shared" si="7"/>
        <v>1.3000000000000005</v>
      </c>
      <c r="G67" s="20">
        <v>16.2</v>
      </c>
    </row>
    <row r="68" spans="2:7" x14ac:dyDescent="0.2">
      <c r="B68">
        <f t="shared" si="5"/>
        <v>3.7653021127128694</v>
      </c>
      <c r="C68">
        <f t="shared" si="6"/>
        <v>1.3500000000000005</v>
      </c>
      <c r="D68">
        <v>16</v>
      </c>
      <c r="E68">
        <f t="shared" si="4"/>
        <v>3.7917673979293611</v>
      </c>
      <c r="F68">
        <f t="shared" si="7"/>
        <v>1.3500000000000005</v>
      </c>
      <c r="G68" s="20">
        <v>16.2</v>
      </c>
    </row>
    <row r="69" spans="2:7" x14ac:dyDescent="0.2">
      <c r="B69">
        <f t="shared" si="5"/>
        <v>3.746998799039039</v>
      </c>
      <c r="C69">
        <f t="shared" si="6"/>
        <v>1.4000000000000006</v>
      </c>
      <c r="D69">
        <v>16</v>
      </c>
      <c r="E69">
        <f t="shared" si="4"/>
        <v>3.7735924528226414</v>
      </c>
      <c r="F69">
        <f t="shared" si="7"/>
        <v>1.4000000000000006</v>
      </c>
      <c r="G69" s="20">
        <v>16.2</v>
      </c>
    </row>
    <row r="70" spans="2:7" x14ac:dyDescent="0.2">
      <c r="B70">
        <f t="shared" si="5"/>
        <v>3.7279350852717377</v>
      </c>
      <c r="C70">
        <f t="shared" si="6"/>
        <v>1.4500000000000006</v>
      </c>
      <c r="D70">
        <v>16</v>
      </c>
      <c r="E70">
        <f t="shared" si="4"/>
        <v>3.7546637665708493</v>
      </c>
      <c r="F70">
        <f t="shared" si="7"/>
        <v>1.4500000000000006</v>
      </c>
      <c r="G70" s="20">
        <v>16.2</v>
      </c>
    </row>
    <row r="71" spans="2:7" x14ac:dyDescent="0.2">
      <c r="B71">
        <f t="shared" si="5"/>
        <v>3.708099243547831</v>
      </c>
      <c r="C71">
        <f t="shared" si="6"/>
        <v>1.5000000000000007</v>
      </c>
      <c r="D71">
        <v>16</v>
      </c>
      <c r="E71">
        <f t="shared" si="4"/>
        <v>3.7349698793966195</v>
      </c>
      <c r="F71">
        <f t="shared" si="7"/>
        <v>1.5000000000000007</v>
      </c>
      <c r="G71" s="20">
        <v>16.2</v>
      </c>
    </row>
    <row r="72" spans="2:7" x14ac:dyDescent="0.2">
      <c r="B72">
        <f t="shared" si="5"/>
        <v>3.6874788134984584</v>
      </c>
      <c r="C72">
        <f t="shared" si="6"/>
        <v>1.5500000000000007</v>
      </c>
      <c r="D72">
        <v>16</v>
      </c>
      <c r="E72">
        <f t="shared" si="4"/>
        <v>3.7144986202716508</v>
      </c>
      <c r="F72">
        <f t="shared" si="7"/>
        <v>1.5500000000000007</v>
      </c>
      <c r="G72" s="20">
        <v>16.2</v>
      </c>
    </row>
    <row r="73" spans="2:7" x14ac:dyDescent="0.2">
      <c r="B73">
        <f t="shared" si="5"/>
        <v>3.6660605559646715</v>
      </c>
      <c r="C73">
        <f t="shared" si="6"/>
        <v>1.6000000000000008</v>
      </c>
      <c r="D73">
        <v>16</v>
      </c>
      <c r="E73">
        <f t="shared" si="4"/>
        <v>3.6932370625238771</v>
      </c>
      <c r="F73">
        <f t="shared" si="7"/>
        <v>1.6000000000000008</v>
      </c>
      <c r="G73" s="20">
        <v>16.2</v>
      </c>
    </row>
    <row r="74" spans="2:7" x14ac:dyDescent="0.2">
      <c r="B74">
        <f t="shared" si="5"/>
        <v>3.6438304022004093</v>
      </c>
      <c r="C74">
        <f t="shared" si="6"/>
        <v>1.6500000000000008</v>
      </c>
      <c r="D74">
        <v>16</v>
      </c>
      <c r="E74">
        <f t="shared" si="4"/>
        <v>3.6711714751561244</v>
      </c>
      <c r="F74">
        <f t="shared" si="7"/>
        <v>1.6500000000000008</v>
      </c>
      <c r="G74" s="20">
        <v>16.2</v>
      </c>
    </row>
    <row r="75" spans="2:7" x14ac:dyDescent="0.2">
      <c r="B75">
        <f t="shared" si="5"/>
        <v>3.6207733980463344</v>
      </c>
      <c r="C75">
        <f t="shared" si="6"/>
        <v>1.7000000000000008</v>
      </c>
      <c r="D75">
        <v>16</v>
      </c>
      <c r="E75">
        <f t="shared" si="4"/>
        <v>3.6482872693909396</v>
      </c>
      <c r="F75">
        <f t="shared" si="7"/>
        <v>1.7000000000000008</v>
      </c>
      <c r="G75" s="20">
        <v>16.2</v>
      </c>
    </row>
    <row r="76" spans="2:7" x14ac:dyDescent="0.2">
      <c r="B76">
        <f t="shared" si="5"/>
        <v>3.5968736424845393</v>
      </c>
      <c r="C76">
        <f t="shared" si="6"/>
        <v>1.7500000000000009</v>
      </c>
      <c r="D76">
        <v>16</v>
      </c>
      <c r="E76">
        <f t="shared" si="4"/>
        <v>3.6245689398878862</v>
      </c>
      <c r="F76">
        <f t="shared" si="7"/>
        <v>1.7500000000000009</v>
      </c>
      <c r="G76" s="20">
        <v>16.2</v>
      </c>
    </row>
    <row r="77" spans="2:7" x14ac:dyDescent="0.2">
      <c r="B77">
        <f t="shared" si="5"/>
        <v>3.5721142198983498</v>
      </c>
      <c r="C77">
        <f t="shared" si="6"/>
        <v>1.8000000000000009</v>
      </c>
      <c r="D77">
        <v>16</v>
      </c>
      <c r="E77">
        <f t="shared" si="4"/>
        <v>3.5999999999999992</v>
      </c>
      <c r="F77">
        <f t="shared" si="7"/>
        <v>1.8000000000000009</v>
      </c>
      <c r="G77" s="20">
        <v>16.2</v>
      </c>
    </row>
    <row r="78" spans="2:7" x14ac:dyDescent="0.2">
      <c r="B78">
        <f t="shared" si="5"/>
        <v>3.5464771252610663</v>
      </c>
      <c r="C78">
        <f t="shared" si="6"/>
        <v>1.850000000000001</v>
      </c>
      <c r="D78">
        <v>16</v>
      </c>
      <c r="E78">
        <f t="shared" si="4"/>
        <v>3.5745629103430248</v>
      </c>
      <c r="F78">
        <f t="shared" si="7"/>
        <v>1.850000000000001</v>
      </c>
      <c r="G78" s="20">
        <v>16.2</v>
      </c>
    </row>
    <row r="79" spans="2:7" x14ac:dyDescent="0.2">
      <c r="B79">
        <f t="shared" si="5"/>
        <v>3.5199431813596078</v>
      </c>
      <c r="C79">
        <f t="shared" si="6"/>
        <v>1.900000000000001</v>
      </c>
      <c r="D79">
        <v>16</v>
      </c>
      <c r="E79">
        <f t="shared" si="4"/>
        <v>3.5482389998420336</v>
      </c>
      <c r="F79">
        <f t="shared" si="7"/>
        <v>1.900000000000001</v>
      </c>
      <c r="G79" s="20">
        <v>16.2</v>
      </c>
    </row>
    <row r="81" spans="3:3" x14ac:dyDescent="0.2">
      <c r="C81" t="s">
        <v>3</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sheetPr>
  <dimension ref="A1:Z52"/>
  <sheetViews>
    <sheetView workbookViewId="0">
      <selection activeCell="E5" sqref="E5"/>
    </sheetView>
  </sheetViews>
  <sheetFormatPr defaultRowHeight="12.75" x14ac:dyDescent="0.2"/>
  <cols>
    <col min="3" max="3" width="12.28515625" customWidth="1"/>
    <col min="4" max="4" width="13.28515625" customWidth="1"/>
    <col min="5" max="5" width="123.7109375" customWidth="1"/>
  </cols>
  <sheetData>
    <row r="1" spans="1:26" ht="18.75" thickBot="1" x14ac:dyDescent="0.3">
      <c r="A1" s="269" t="s">
        <v>3</v>
      </c>
      <c r="B1" s="270" t="s">
        <v>3</v>
      </c>
      <c r="C1" s="73"/>
      <c r="D1" s="144" t="s">
        <v>313</v>
      </c>
      <c r="E1" s="73"/>
      <c r="F1" s="73"/>
      <c r="G1" s="73"/>
      <c r="H1" s="73"/>
      <c r="I1" s="73"/>
      <c r="J1" s="73"/>
      <c r="K1" s="73"/>
      <c r="L1" s="73"/>
      <c r="M1" s="73"/>
      <c r="N1" s="73"/>
      <c r="O1" s="73"/>
      <c r="P1" s="73"/>
      <c r="Q1" s="73"/>
      <c r="R1" s="73"/>
      <c r="S1" s="73"/>
      <c r="T1" s="73"/>
      <c r="U1" s="73"/>
      <c r="V1" s="73"/>
      <c r="W1" s="73"/>
      <c r="X1" s="73"/>
      <c r="Y1" s="73"/>
      <c r="Z1" s="73"/>
    </row>
    <row r="2" spans="1:26" ht="18.75" thickBot="1" x14ac:dyDescent="0.3">
      <c r="A2" s="271"/>
      <c r="B2" s="272"/>
      <c r="C2" s="2"/>
      <c r="D2" s="2"/>
      <c r="E2" s="2"/>
      <c r="F2" s="2"/>
      <c r="G2" s="2"/>
      <c r="H2" s="2"/>
      <c r="I2" s="2"/>
      <c r="J2" s="2"/>
      <c r="K2" s="2"/>
      <c r="L2" s="2"/>
      <c r="M2" s="2"/>
      <c r="N2" s="2"/>
      <c r="O2" s="2"/>
      <c r="P2" s="2"/>
      <c r="Q2" s="2"/>
      <c r="R2" s="2"/>
      <c r="S2" s="2"/>
      <c r="T2" s="2"/>
      <c r="U2" s="2"/>
      <c r="V2" s="2"/>
      <c r="W2" s="2"/>
      <c r="X2" s="2"/>
      <c r="Y2" s="2"/>
      <c r="Z2" s="2"/>
    </row>
    <row r="3" spans="1:26" x14ac:dyDescent="0.2">
      <c r="A3" s="2"/>
      <c r="B3" s="277" t="s">
        <v>314</v>
      </c>
      <c r="C3" s="278" t="s">
        <v>315</v>
      </c>
      <c r="D3" s="278" t="s">
        <v>316</v>
      </c>
      <c r="E3" s="279" t="s">
        <v>317</v>
      </c>
      <c r="F3" s="2"/>
      <c r="G3" s="2"/>
      <c r="H3" s="2"/>
      <c r="I3" s="2"/>
      <c r="J3" s="2"/>
      <c r="K3" s="2"/>
      <c r="L3" s="2"/>
      <c r="M3" s="2"/>
      <c r="N3" s="2"/>
      <c r="O3" s="2"/>
      <c r="P3" s="2"/>
      <c r="Q3" s="2"/>
      <c r="R3" s="2"/>
      <c r="S3" s="2"/>
      <c r="T3" s="2"/>
      <c r="U3" s="2"/>
      <c r="V3" s="2"/>
      <c r="W3" s="2"/>
      <c r="X3" s="2"/>
      <c r="Y3" s="2"/>
      <c r="Z3" s="2"/>
    </row>
    <row r="4" spans="1:26" x14ac:dyDescent="0.2">
      <c r="A4" s="2"/>
      <c r="B4" s="282" t="s">
        <v>319</v>
      </c>
      <c r="C4" s="283">
        <v>40086</v>
      </c>
      <c r="D4" s="281" t="s">
        <v>113</v>
      </c>
      <c r="E4" s="280" t="s">
        <v>322</v>
      </c>
      <c r="F4" s="2"/>
      <c r="G4" s="2"/>
      <c r="H4" s="2"/>
      <c r="I4" s="2"/>
      <c r="J4" s="2"/>
      <c r="K4" s="2"/>
      <c r="L4" s="2"/>
      <c r="M4" s="2"/>
      <c r="N4" s="2"/>
      <c r="O4" s="2"/>
      <c r="P4" s="2"/>
      <c r="Q4" s="2"/>
      <c r="R4" s="2"/>
      <c r="S4" s="2"/>
      <c r="T4" s="2"/>
      <c r="U4" s="2"/>
      <c r="V4" s="2"/>
      <c r="W4" s="2"/>
      <c r="X4" s="2"/>
      <c r="Y4" s="2"/>
      <c r="Z4" s="2"/>
    </row>
    <row r="5" spans="1:26" ht="28.5" customHeight="1" x14ac:dyDescent="0.2">
      <c r="A5" s="2"/>
      <c r="B5" s="273" t="s">
        <v>320</v>
      </c>
      <c r="C5" s="274">
        <v>40410</v>
      </c>
      <c r="D5" s="273" t="s">
        <v>113</v>
      </c>
      <c r="E5" s="275" t="s">
        <v>326</v>
      </c>
      <c r="F5" s="2"/>
      <c r="G5" s="2"/>
      <c r="H5" s="2"/>
      <c r="I5" s="2"/>
      <c r="J5" s="2"/>
      <c r="K5" s="2"/>
      <c r="L5" s="2"/>
      <c r="M5" s="2"/>
      <c r="N5" s="2"/>
      <c r="O5" s="2"/>
      <c r="P5" s="2"/>
      <c r="Q5" s="2"/>
      <c r="R5" s="2"/>
      <c r="S5" s="2"/>
      <c r="T5" s="2"/>
      <c r="U5" s="2"/>
      <c r="V5" s="2"/>
      <c r="W5" s="2"/>
      <c r="X5" s="2"/>
      <c r="Y5" s="2"/>
      <c r="Z5" s="2"/>
    </row>
    <row r="6" spans="1:26" ht="27" customHeight="1" x14ac:dyDescent="0.2">
      <c r="A6" s="2"/>
      <c r="B6" s="273" t="s">
        <v>321</v>
      </c>
      <c r="C6" s="274">
        <v>40423</v>
      </c>
      <c r="D6" s="273" t="s">
        <v>113</v>
      </c>
      <c r="E6" s="275" t="s">
        <v>318</v>
      </c>
      <c r="F6" s="2"/>
      <c r="G6" s="2"/>
      <c r="H6" s="2"/>
      <c r="I6" s="2"/>
      <c r="J6" s="2"/>
      <c r="K6" s="2"/>
      <c r="L6" s="2"/>
      <c r="M6" s="2"/>
      <c r="N6" s="2"/>
      <c r="O6" s="2"/>
      <c r="P6" s="2"/>
      <c r="Q6" s="2"/>
      <c r="R6" s="2"/>
      <c r="S6" s="2"/>
      <c r="T6" s="2"/>
      <c r="U6" s="2"/>
      <c r="V6" s="2"/>
      <c r="W6" s="2"/>
      <c r="X6" s="2"/>
      <c r="Y6" s="2"/>
      <c r="Z6" s="2"/>
    </row>
    <row r="7" spans="1:26" ht="31.5" customHeight="1" x14ac:dyDescent="0.2">
      <c r="A7" s="2"/>
      <c r="B7" s="273"/>
      <c r="C7" s="273"/>
      <c r="D7" s="273"/>
      <c r="E7" s="273"/>
      <c r="F7" s="2"/>
      <c r="G7" s="2"/>
      <c r="H7" s="2"/>
      <c r="I7" s="2"/>
      <c r="J7" s="2"/>
      <c r="K7" s="2"/>
      <c r="L7" s="2"/>
      <c r="M7" s="2"/>
      <c r="N7" s="2"/>
      <c r="O7" s="2"/>
      <c r="P7" s="2"/>
      <c r="Q7" s="2"/>
      <c r="R7" s="2"/>
      <c r="S7" s="2"/>
      <c r="T7" s="2"/>
      <c r="U7" s="2"/>
      <c r="V7" s="2"/>
      <c r="W7" s="2"/>
      <c r="X7" s="2"/>
      <c r="Y7" s="2"/>
      <c r="Z7" s="2"/>
    </row>
    <row r="8" spans="1:26" ht="30" customHeight="1" x14ac:dyDescent="0.2">
      <c r="A8" s="2"/>
      <c r="B8" s="273"/>
      <c r="C8" s="273"/>
      <c r="D8" s="273"/>
      <c r="E8" s="273"/>
      <c r="F8" s="2"/>
      <c r="G8" s="2"/>
      <c r="H8" s="2"/>
      <c r="I8" s="2"/>
      <c r="J8" s="2"/>
      <c r="K8" s="2"/>
      <c r="L8" s="2"/>
      <c r="M8" s="2"/>
      <c r="N8" s="2"/>
      <c r="O8" s="2"/>
      <c r="P8" s="2"/>
      <c r="Q8" s="2"/>
      <c r="R8" s="2"/>
      <c r="S8" s="2"/>
      <c r="T8" s="2"/>
      <c r="U8" s="2"/>
      <c r="V8" s="2"/>
      <c r="W8" s="2"/>
      <c r="X8" s="2"/>
      <c r="Y8" s="2"/>
      <c r="Z8" s="2"/>
    </row>
    <row r="9" spans="1:26" x14ac:dyDescent="0.2">
      <c r="A9" s="2"/>
      <c r="B9" s="273"/>
      <c r="C9" s="273"/>
      <c r="D9" s="273"/>
      <c r="E9" s="273"/>
      <c r="F9" s="2"/>
      <c r="G9" s="2"/>
      <c r="H9" s="2"/>
      <c r="I9" s="2"/>
      <c r="J9" s="2"/>
      <c r="K9" s="2"/>
      <c r="L9" s="2"/>
      <c r="M9" s="2"/>
      <c r="N9" s="2"/>
      <c r="O9" s="2"/>
      <c r="P9" s="2"/>
      <c r="Q9" s="2"/>
      <c r="R9" s="2"/>
      <c r="S9" s="2"/>
      <c r="T9" s="2"/>
      <c r="U9" s="2"/>
      <c r="V9" s="2"/>
      <c r="W9" s="2"/>
      <c r="X9" s="2"/>
      <c r="Y9" s="2"/>
      <c r="Z9" s="2"/>
    </row>
    <row r="10" spans="1:26" x14ac:dyDescent="0.2">
      <c r="A10" s="2"/>
      <c r="B10" s="273"/>
      <c r="C10" s="273"/>
      <c r="D10" s="273"/>
      <c r="E10" s="273"/>
      <c r="F10" s="2"/>
      <c r="G10" s="2"/>
      <c r="H10" s="2"/>
      <c r="I10" s="2"/>
      <c r="J10" s="2"/>
      <c r="K10" s="2"/>
      <c r="L10" s="2"/>
      <c r="M10" s="2"/>
      <c r="N10" s="2"/>
      <c r="O10" s="2"/>
      <c r="P10" s="2"/>
      <c r="Q10" s="2"/>
      <c r="R10" s="2"/>
      <c r="S10" s="2"/>
      <c r="T10" s="2"/>
      <c r="U10" s="2"/>
      <c r="V10" s="2"/>
      <c r="W10" s="2"/>
      <c r="X10" s="2"/>
      <c r="Y10" s="2"/>
      <c r="Z10" s="2"/>
    </row>
    <row r="11" spans="1:26" x14ac:dyDescent="0.2">
      <c r="A11" s="2"/>
      <c r="B11" s="273"/>
      <c r="C11" s="273"/>
      <c r="D11" s="273"/>
      <c r="E11" s="273"/>
      <c r="F11" s="2"/>
      <c r="G11" s="2"/>
      <c r="H11" s="2"/>
      <c r="I11" s="2"/>
      <c r="J11" s="2"/>
      <c r="K11" s="2"/>
      <c r="L11" s="2"/>
      <c r="M11" s="2"/>
      <c r="N11" s="2"/>
      <c r="O11" s="2"/>
      <c r="P11" s="2"/>
      <c r="Q11" s="2"/>
      <c r="R11" s="2"/>
      <c r="S11" s="2"/>
      <c r="T11" s="2"/>
      <c r="U11" s="2"/>
      <c r="V11" s="2"/>
      <c r="W11" s="2"/>
      <c r="X11" s="2"/>
      <c r="Y11" s="2"/>
      <c r="Z11" s="2"/>
    </row>
    <row r="12" spans="1:26" x14ac:dyDescent="0.2">
      <c r="A12" s="2"/>
      <c r="B12" s="273"/>
      <c r="C12" s="273"/>
      <c r="D12" s="273"/>
      <c r="E12" s="273"/>
      <c r="F12" s="2"/>
      <c r="G12" s="2"/>
      <c r="H12" s="2"/>
      <c r="I12" s="2"/>
      <c r="J12" s="2"/>
      <c r="K12" s="2"/>
      <c r="L12" s="2"/>
      <c r="M12" s="2"/>
      <c r="N12" s="2"/>
      <c r="O12" s="2"/>
      <c r="P12" s="2"/>
      <c r="Q12" s="2"/>
      <c r="R12" s="2"/>
      <c r="S12" s="2"/>
      <c r="T12" s="2"/>
      <c r="U12" s="2"/>
      <c r="V12" s="2"/>
      <c r="W12" s="2"/>
      <c r="X12" s="2"/>
      <c r="Y12" s="2"/>
      <c r="Z12" s="2"/>
    </row>
    <row r="13" spans="1:26" x14ac:dyDescent="0.2">
      <c r="A13" s="2"/>
      <c r="B13" s="273"/>
      <c r="C13" s="273"/>
      <c r="D13" s="273"/>
      <c r="E13" s="273"/>
      <c r="F13" s="2"/>
      <c r="G13" s="2"/>
      <c r="H13" s="2"/>
      <c r="I13" s="2"/>
      <c r="J13" s="2"/>
      <c r="K13" s="2"/>
      <c r="L13" s="2"/>
      <c r="M13" s="2"/>
      <c r="N13" s="2"/>
      <c r="O13" s="2"/>
      <c r="P13" s="2"/>
      <c r="Q13" s="2"/>
      <c r="R13" s="2"/>
      <c r="S13" s="2"/>
      <c r="T13" s="2"/>
      <c r="U13" s="2"/>
      <c r="V13" s="2"/>
      <c r="W13" s="2"/>
      <c r="X13" s="2"/>
      <c r="Y13" s="2"/>
      <c r="Z13" s="2"/>
    </row>
    <row r="14" spans="1:26" x14ac:dyDescent="0.2">
      <c r="A14" s="2"/>
      <c r="B14" s="273"/>
      <c r="C14" s="273"/>
      <c r="D14" s="273"/>
      <c r="E14" s="273"/>
      <c r="F14" s="2"/>
      <c r="G14" s="2"/>
      <c r="H14" s="2"/>
      <c r="I14" s="2"/>
      <c r="J14" s="2"/>
      <c r="K14" s="2"/>
      <c r="L14" s="2"/>
      <c r="M14" s="2"/>
      <c r="N14" s="2"/>
      <c r="O14" s="2"/>
      <c r="P14" s="2"/>
      <c r="Q14" s="2"/>
      <c r="R14" s="2"/>
      <c r="S14" s="2"/>
      <c r="T14" s="2"/>
      <c r="U14" s="2"/>
      <c r="V14" s="2"/>
      <c r="W14" s="2"/>
      <c r="X14" s="2"/>
      <c r="Y14" s="2"/>
      <c r="Z14" s="2"/>
    </row>
    <row r="15" spans="1:26"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F51" s="2"/>
      <c r="G51" s="2"/>
      <c r="H51" s="2"/>
      <c r="I51" s="2"/>
      <c r="J51" s="2"/>
      <c r="K51" s="2"/>
      <c r="L51" s="2"/>
      <c r="M51" s="2"/>
      <c r="N51" s="2"/>
      <c r="O51" s="2"/>
      <c r="P51" s="2"/>
      <c r="Q51" s="2"/>
      <c r="R51" s="2"/>
      <c r="S51" s="2"/>
      <c r="T51" s="2"/>
      <c r="U51" s="2"/>
      <c r="V51" s="2"/>
      <c r="W51" s="2"/>
      <c r="X51" s="2"/>
      <c r="Y51" s="2"/>
      <c r="Z51" s="2"/>
    </row>
    <row r="52" spans="1:26" x14ac:dyDescent="0.2">
      <c r="A52" s="2"/>
      <c r="F52" s="2"/>
      <c r="G52" s="2"/>
      <c r="H52" s="2"/>
      <c r="I52" s="2"/>
      <c r="J52" s="2"/>
      <c r="K52" s="2"/>
      <c r="L52" s="2"/>
      <c r="M52" s="2"/>
      <c r="N52" s="2"/>
      <c r="O52" s="2"/>
      <c r="P52" s="2"/>
      <c r="Q52" s="2"/>
      <c r="R52" s="2"/>
      <c r="S52" s="2"/>
      <c r="T52" s="2"/>
      <c r="U52" s="2"/>
      <c r="V52" s="2"/>
      <c r="W52" s="2"/>
      <c r="X52" s="2"/>
      <c r="Y52" s="2"/>
      <c r="Z52" s="2"/>
    </row>
  </sheetData>
  <phoneticPr fontId="2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FFC000"/>
  </sheetPr>
  <dimension ref="A1:T54"/>
  <sheetViews>
    <sheetView workbookViewId="0">
      <selection activeCell="B28" sqref="B28"/>
    </sheetView>
  </sheetViews>
  <sheetFormatPr defaultRowHeight="12.75" x14ac:dyDescent="0.2"/>
  <cols>
    <col min="1" max="1" width="26" customWidth="1"/>
    <col min="2" max="2" width="15.5703125" customWidth="1"/>
    <col min="4" max="4" width="9.5703125" bestFit="1" customWidth="1"/>
  </cols>
  <sheetData>
    <row r="1" spans="1:20" ht="24" thickBot="1" x14ac:dyDescent="0.4">
      <c r="A1" s="178" t="s">
        <v>251</v>
      </c>
      <c r="B1" s="23"/>
      <c r="C1" s="23"/>
      <c r="D1" s="23"/>
      <c r="E1" s="57"/>
      <c r="F1" s="57" t="str">
        <f>'1-Title Page'!F7</f>
        <v>Jan A. King</v>
      </c>
      <c r="G1" s="57"/>
      <c r="H1" s="23"/>
      <c r="I1" s="57" t="str">
        <f>'1-Title Page'!F23</f>
        <v>2009 September 30</v>
      </c>
      <c r="J1" s="57"/>
      <c r="K1" s="57" t="str">
        <f>'1-Title Page'!F20</f>
        <v>Ref/U-V/1.6</v>
      </c>
      <c r="L1" s="57"/>
      <c r="M1" s="172" t="s">
        <v>241</v>
      </c>
      <c r="N1" s="23"/>
      <c r="O1" s="23"/>
      <c r="P1" s="23"/>
      <c r="Q1" s="23"/>
      <c r="R1" s="23"/>
      <c r="S1" s="23"/>
      <c r="T1" s="24"/>
    </row>
    <row r="2" spans="1:20" ht="18.75" thickBot="1" x14ac:dyDescent="0.3">
      <c r="A2" s="159" t="str">
        <f>'1-Title Page'!F3</f>
        <v>Reference U/V Transponder</v>
      </c>
      <c r="B2" s="1"/>
      <c r="C2" s="1"/>
      <c r="D2" s="1"/>
      <c r="E2" s="1"/>
      <c r="F2" s="1"/>
      <c r="G2" s="1"/>
      <c r="H2" s="1"/>
      <c r="I2" s="1"/>
      <c r="J2" s="1"/>
      <c r="K2" s="1"/>
      <c r="L2" s="1"/>
      <c r="M2" s="1"/>
      <c r="N2" s="1"/>
      <c r="O2" s="1"/>
      <c r="P2" s="1"/>
      <c r="Q2" s="1"/>
      <c r="R2" s="1"/>
      <c r="S2" s="1"/>
      <c r="T2" s="1"/>
    </row>
    <row r="3" spans="1:20" ht="13.5" thickBot="1" x14ac:dyDescent="0.25">
      <c r="A3" s="2"/>
      <c r="B3" s="2"/>
      <c r="C3" s="2"/>
      <c r="D3" s="90" t="s">
        <v>28</v>
      </c>
      <c r="E3" s="25" t="s">
        <v>29</v>
      </c>
      <c r="F3" s="25"/>
      <c r="G3" s="2"/>
      <c r="H3" s="2"/>
      <c r="I3" s="53" t="s">
        <v>30</v>
      </c>
      <c r="J3" s="26" t="s">
        <v>31</v>
      </c>
      <c r="K3" s="2"/>
      <c r="L3" s="3" t="s">
        <v>97</v>
      </c>
      <c r="M3" s="2"/>
      <c r="N3" s="2"/>
      <c r="O3" s="2"/>
      <c r="P3" s="2"/>
      <c r="Q3" s="2"/>
      <c r="R3" s="1"/>
      <c r="S3" s="1"/>
      <c r="T3" s="1"/>
    </row>
    <row r="4" spans="1:20" x14ac:dyDescent="0.2">
      <c r="A4" s="2" t="s">
        <v>99</v>
      </c>
      <c r="B4" s="56" t="s">
        <v>242</v>
      </c>
      <c r="C4" s="2"/>
      <c r="D4" s="54" t="s">
        <v>32</v>
      </c>
      <c r="E4" s="25" t="s">
        <v>106</v>
      </c>
      <c r="F4" s="25"/>
      <c r="G4" s="2"/>
      <c r="H4" s="2"/>
      <c r="I4" s="52" t="s">
        <v>96</v>
      </c>
      <c r="J4" s="26" t="s">
        <v>98</v>
      </c>
      <c r="K4" s="2"/>
      <c r="L4" s="2"/>
      <c r="M4" s="2"/>
      <c r="N4" s="2"/>
      <c r="O4" s="2"/>
      <c r="P4" s="2"/>
      <c r="Q4" s="2"/>
      <c r="R4" s="1"/>
      <c r="S4" s="1"/>
      <c r="T4" s="1"/>
    </row>
    <row r="5" spans="1:20" x14ac:dyDescent="0.2">
      <c r="A5" s="2"/>
      <c r="B5" s="2"/>
      <c r="C5" s="2"/>
      <c r="D5" s="30"/>
      <c r="E5" s="150" t="s">
        <v>234</v>
      </c>
      <c r="F5" s="25"/>
      <c r="G5" s="2"/>
      <c r="H5" s="2"/>
      <c r="I5" s="2"/>
      <c r="J5" s="27"/>
      <c r="K5" s="2"/>
      <c r="L5" s="2"/>
      <c r="M5" s="2"/>
      <c r="N5" s="2"/>
      <c r="O5" s="2"/>
      <c r="P5" s="2"/>
      <c r="Q5" s="2"/>
      <c r="R5" s="1"/>
      <c r="S5" s="1"/>
      <c r="T5" s="1"/>
    </row>
    <row r="6" spans="1:20" ht="18" x14ac:dyDescent="0.25">
      <c r="A6" s="286" t="s">
        <v>252</v>
      </c>
      <c r="B6" s="286"/>
      <c r="C6" s="286"/>
      <c r="Q6" s="2"/>
      <c r="R6" s="1"/>
      <c r="S6" s="1"/>
      <c r="T6" s="1"/>
    </row>
    <row r="7" spans="1:20" x14ac:dyDescent="0.2">
      <c r="A7" s="3" t="s">
        <v>34</v>
      </c>
      <c r="B7" s="3"/>
      <c r="C7" s="3"/>
      <c r="Q7" s="2"/>
      <c r="R7" s="1"/>
      <c r="S7" s="1"/>
      <c r="T7" s="1"/>
    </row>
    <row r="8" spans="1:20" x14ac:dyDescent="0.2">
      <c r="A8" s="10" t="s">
        <v>4</v>
      </c>
      <c r="B8" s="11" t="s">
        <v>5</v>
      </c>
      <c r="C8" s="12" t="s">
        <v>6</v>
      </c>
      <c r="Q8" s="2"/>
      <c r="R8" s="1"/>
      <c r="S8" s="1"/>
      <c r="T8" s="1"/>
    </row>
    <row r="9" spans="1:20" x14ac:dyDescent="0.2">
      <c r="A9" s="13" t="s">
        <v>7</v>
      </c>
      <c r="B9" s="14">
        <v>6378.1660000000002</v>
      </c>
      <c r="C9" s="13" t="s">
        <v>8</v>
      </c>
      <c r="Q9" s="2"/>
      <c r="R9" s="1"/>
      <c r="S9" s="1"/>
      <c r="T9" s="1"/>
    </row>
    <row r="10" spans="1:20" x14ac:dyDescent="0.2">
      <c r="A10" s="13" t="s">
        <v>26</v>
      </c>
      <c r="B10" s="146">
        <v>35786</v>
      </c>
      <c r="C10" s="13" t="s">
        <v>8</v>
      </c>
      <c r="Q10" s="2"/>
      <c r="R10" s="1"/>
      <c r="S10" s="1"/>
      <c r="T10" s="1"/>
    </row>
    <row r="11" spans="1:20" x14ac:dyDescent="0.2">
      <c r="A11" s="13" t="s">
        <v>27</v>
      </c>
      <c r="B11" s="146">
        <v>35786</v>
      </c>
      <c r="C11" s="13" t="s">
        <v>8</v>
      </c>
      <c r="Q11" s="2"/>
      <c r="R11" s="1"/>
      <c r="S11" s="1"/>
      <c r="T11" s="1"/>
    </row>
    <row r="12" spans="1:20" x14ac:dyDescent="0.2">
      <c r="A12" s="2" t="s">
        <v>9</v>
      </c>
      <c r="B12" s="14">
        <f>(B10+B11+2*B9)/2</f>
        <v>42164.165999999997</v>
      </c>
      <c r="C12" s="2" t="s">
        <v>8</v>
      </c>
      <c r="Q12" s="2"/>
      <c r="R12" s="1"/>
      <c r="S12" s="1"/>
      <c r="T12" s="1"/>
    </row>
    <row r="13" spans="1:20" x14ac:dyDescent="0.2">
      <c r="A13" s="2" t="s">
        <v>10</v>
      </c>
      <c r="B13" s="15">
        <f>((B10+B9)-(B11+B9))/((B10+B9)+(B11+B9))</f>
        <v>0</v>
      </c>
      <c r="C13" s="2"/>
      <c r="Q13" s="2"/>
      <c r="R13" s="1"/>
      <c r="S13" s="1"/>
      <c r="T13" s="1"/>
    </row>
    <row r="14" spans="1:20" x14ac:dyDescent="0.2">
      <c r="A14" s="157" t="s">
        <v>244</v>
      </c>
      <c r="B14" s="66">
        <v>0.05</v>
      </c>
      <c r="C14" s="2" t="s">
        <v>11</v>
      </c>
      <c r="Q14" s="2"/>
      <c r="R14" s="1"/>
      <c r="S14" s="1"/>
      <c r="T14" s="1"/>
    </row>
    <row r="15" spans="1:20" x14ac:dyDescent="0.2">
      <c r="A15" s="2" t="s">
        <v>12</v>
      </c>
      <c r="B15" s="67">
        <v>180</v>
      </c>
      <c r="C15" s="2" t="s">
        <v>11</v>
      </c>
      <c r="Q15" s="2"/>
      <c r="R15" s="1"/>
      <c r="S15" s="1"/>
      <c r="T15" s="1"/>
    </row>
    <row r="16" spans="1:20" x14ac:dyDescent="0.2">
      <c r="A16" s="2" t="s">
        <v>13</v>
      </c>
      <c r="B16" s="68">
        <v>0</v>
      </c>
      <c r="C16" s="2" t="s">
        <v>11</v>
      </c>
      <c r="Q16" s="2"/>
      <c r="R16" s="1"/>
      <c r="S16" s="1"/>
      <c r="T16" s="1"/>
    </row>
    <row r="17" spans="1:20" x14ac:dyDescent="0.2">
      <c r="A17" s="2" t="s">
        <v>14</v>
      </c>
      <c r="B17" s="69">
        <v>0</v>
      </c>
      <c r="C17" s="2" t="s">
        <v>11</v>
      </c>
      <c r="Q17" s="2"/>
      <c r="R17" s="1"/>
      <c r="S17" s="1"/>
      <c r="T17" s="1"/>
    </row>
    <row r="18" spans="1:20" x14ac:dyDescent="0.2">
      <c r="A18" s="2" t="s">
        <v>15</v>
      </c>
      <c r="B18" s="31">
        <f xml:space="preserve"> 84.4892*((B12/B9)^1.5)</f>
        <v>1436.0605189102585</v>
      </c>
      <c r="C18" s="2" t="s">
        <v>16</v>
      </c>
      <c r="Q18" s="2"/>
      <c r="R18" s="1"/>
      <c r="S18" s="1"/>
      <c r="T18" s="1"/>
    </row>
    <row r="19" spans="1:20" x14ac:dyDescent="0.2">
      <c r="A19" s="2" t="s">
        <v>17</v>
      </c>
      <c r="B19" s="17">
        <f>19.919482*((B9/B12)^3.5)*(1-1.25*((SIN(B14/57.29578))^2))/((1-B13^2)^2)</f>
        <v>2.6817030744750073E-2</v>
      </c>
      <c r="C19" s="2" t="s">
        <v>18</v>
      </c>
      <c r="Q19" s="2"/>
      <c r="R19" s="1"/>
      <c r="S19" s="1"/>
      <c r="T19" s="1"/>
    </row>
    <row r="20" spans="1:20" x14ac:dyDescent="0.2">
      <c r="A20" s="2" t="s">
        <v>19</v>
      </c>
      <c r="B20" s="17">
        <f>(-9.9597408/(1-B13^2)^2)*((B9/B12)^3.5)*COS(B14/57.29578)</f>
        <v>-1.3408522761501122E-2</v>
      </c>
      <c r="C20" s="2" t="s">
        <v>18</v>
      </c>
      <c r="Q20" s="2"/>
      <c r="R20" s="1"/>
      <c r="S20" s="1"/>
      <c r="T20" s="1"/>
    </row>
    <row r="21" spans="1:20" x14ac:dyDescent="0.2">
      <c r="A21" s="2" t="s">
        <v>95</v>
      </c>
      <c r="B21" s="70" t="s">
        <v>107</v>
      </c>
      <c r="C21" s="2" t="s">
        <v>18</v>
      </c>
      <c r="Q21" s="2"/>
      <c r="R21" s="1"/>
      <c r="S21" s="1"/>
      <c r="T21" s="1"/>
    </row>
    <row r="22" spans="1:20" x14ac:dyDescent="0.2">
      <c r="A22" s="2" t="s">
        <v>33</v>
      </c>
      <c r="B22" s="16">
        <f>(B10+B11)/2</f>
        <v>35786</v>
      </c>
      <c r="C22" s="2" t="s">
        <v>8</v>
      </c>
      <c r="Q22" s="2"/>
      <c r="R22" s="1"/>
      <c r="S22" s="1"/>
      <c r="T22" s="1"/>
    </row>
    <row r="23" spans="1:20" x14ac:dyDescent="0.2">
      <c r="A23" s="2" t="s">
        <v>36</v>
      </c>
      <c r="B23" s="29">
        <f>B22+B9</f>
        <v>42164.165999999997</v>
      </c>
      <c r="C23" s="2" t="s">
        <v>8</v>
      </c>
      <c r="Q23" s="2"/>
      <c r="R23" s="1"/>
      <c r="S23" s="1"/>
      <c r="T23" s="1"/>
    </row>
    <row r="24" spans="1:20" x14ac:dyDescent="0.2">
      <c r="A24" s="2" t="s">
        <v>44</v>
      </c>
      <c r="B24" s="16" t="e">
        <f>57.2958*ACOS((0.98561)/(-9.95974/(((1-B13^2)^2))*(B9/B12)^3.5))</f>
        <v>#NUM!</v>
      </c>
      <c r="C24" s="2" t="s">
        <v>11</v>
      </c>
      <c r="Q24" s="2"/>
      <c r="R24" s="1"/>
      <c r="S24" s="1"/>
      <c r="T24" s="1"/>
    </row>
    <row r="25" spans="1:20" x14ac:dyDescent="0.2">
      <c r="A25" s="2"/>
      <c r="B25" s="241"/>
      <c r="C25" s="2"/>
      <c r="Q25" s="2"/>
      <c r="R25" s="1"/>
      <c r="S25" s="1"/>
      <c r="T25" s="1"/>
    </row>
    <row r="26" spans="1:20" ht="15.75" x14ac:dyDescent="0.25">
      <c r="A26" s="287" t="s">
        <v>300</v>
      </c>
      <c r="B26" s="287"/>
      <c r="C26" s="2"/>
      <c r="Q26" s="2"/>
      <c r="R26" s="1"/>
      <c r="S26" s="1"/>
      <c r="T26" s="1"/>
    </row>
    <row r="27" spans="1:20" ht="12.75" customHeight="1" x14ac:dyDescent="0.25">
      <c r="A27" s="287" t="s">
        <v>3</v>
      </c>
      <c r="B27" s="287"/>
      <c r="C27" s="164"/>
      <c r="Q27" s="2"/>
      <c r="R27" s="1"/>
      <c r="S27" s="1"/>
      <c r="T27" s="1"/>
    </row>
    <row r="28" spans="1:20" x14ac:dyDescent="0.2">
      <c r="A28" s="157" t="s">
        <v>302</v>
      </c>
      <c r="B28" s="55">
        <v>10</v>
      </c>
      <c r="C28" s="2" t="s">
        <v>11</v>
      </c>
      <c r="Q28" s="2"/>
      <c r="R28" s="1"/>
      <c r="S28" s="1"/>
      <c r="T28" s="1"/>
    </row>
    <row r="29" spans="1:20" ht="13.5" thickBot="1" x14ac:dyDescent="0.25">
      <c r="A29" s="2"/>
      <c r="B29" s="18"/>
      <c r="C29" s="2"/>
      <c r="D29" s="164"/>
      <c r="E29" s="164"/>
      <c r="F29" s="164"/>
      <c r="G29" s="164"/>
      <c r="H29" s="164"/>
      <c r="I29" s="164"/>
      <c r="J29" s="164"/>
      <c r="K29" s="164"/>
      <c r="L29" s="164"/>
      <c r="M29" s="164"/>
      <c r="N29" s="164"/>
      <c r="O29" s="164"/>
      <c r="P29" s="164"/>
      <c r="Q29" s="164"/>
      <c r="R29" s="1"/>
      <c r="S29" s="1"/>
      <c r="T29" s="1"/>
    </row>
    <row r="30" spans="1:20" ht="15.75" thickBot="1" x14ac:dyDescent="0.25">
      <c r="A30" s="157" t="s">
        <v>304</v>
      </c>
      <c r="B30" s="33">
        <f>B9*((((B23^2/B9^2)-(COS(B28/57.2958))^2)^0.5)-SIN(B28/57.2958))</f>
        <v>40586.11896138086</v>
      </c>
      <c r="C30" s="2" t="s">
        <v>35</v>
      </c>
      <c r="D30" s="133"/>
      <c r="E30" s="2"/>
      <c r="F30" s="2"/>
      <c r="G30" s="133"/>
      <c r="H30" s="2"/>
      <c r="I30" s="2"/>
      <c r="J30" s="2"/>
      <c r="K30" s="2"/>
      <c r="L30" s="2"/>
      <c r="M30" s="2"/>
      <c r="N30" s="2"/>
      <c r="O30" s="2"/>
      <c r="P30" s="2"/>
      <c r="Q30" s="2"/>
      <c r="R30" s="1"/>
      <c r="S30" s="1"/>
      <c r="T30" s="1"/>
    </row>
    <row r="31" spans="1:20" ht="15" x14ac:dyDescent="0.2">
      <c r="A31" s="2"/>
      <c r="B31" s="81"/>
      <c r="C31" s="81"/>
      <c r="D31" s="133"/>
      <c r="E31" s="2"/>
      <c r="F31" s="2"/>
      <c r="G31" s="133"/>
      <c r="H31" s="2"/>
      <c r="I31" s="2"/>
      <c r="J31" s="2"/>
      <c r="K31" s="2"/>
      <c r="L31" s="2"/>
      <c r="M31" s="2"/>
      <c r="N31" s="2"/>
      <c r="O31" s="2"/>
      <c r="P31" s="2"/>
      <c r="Q31" s="2"/>
      <c r="R31" s="1"/>
      <c r="S31" s="1"/>
      <c r="T31" s="1"/>
    </row>
    <row r="32" spans="1:20" ht="18" x14ac:dyDescent="0.25">
      <c r="A32" s="288" t="s">
        <v>301</v>
      </c>
      <c r="B32" s="288"/>
      <c r="C32" s="167"/>
      <c r="D32" s="168"/>
      <c r="E32" s="169"/>
      <c r="F32" s="169"/>
      <c r="G32" s="170"/>
      <c r="H32" s="169"/>
      <c r="I32" s="81"/>
      <c r="J32" s="242" t="s">
        <v>3</v>
      </c>
      <c r="K32" s="81"/>
      <c r="L32" s="81"/>
      <c r="M32" s="81"/>
      <c r="N32" s="81"/>
      <c r="O32" s="81"/>
      <c r="P32" s="81"/>
      <c r="Q32" s="2"/>
      <c r="R32" s="1"/>
      <c r="S32" s="1"/>
      <c r="T32" s="1"/>
    </row>
    <row r="33" spans="1:20" ht="15.75" x14ac:dyDescent="0.25">
      <c r="A33" s="288" t="s">
        <v>3</v>
      </c>
      <c r="B33" s="288"/>
      <c r="C33" s="81"/>
      <c r="D33" s="81"/>
      <c r="E33" s="81"/>
      <c r="F33" s="81"/>
      <c r="G33" s="81"/>
      <c r="H33" s="81"/>
      <c r="I33" s="171"/>
      <c r="J33" s="81"/>
      <c r="K33" s="81"/>
      <c r="L33" s="81"/>
      <c r="M33" s="81"/>
      <c r="N33" s="166"/>
      <c r="O33" s="81"/>
      <c r="P33" s="81"/>
      <c r="Q33" s="2"/>
      <c r="R33" s="1"/>
      <c r="S33" s="1"/>
      <c r="T33" s="1"/>
    </row>
    <row r="34" spans="1:20" ht="15" x14ac:dyDescent="0.2">
      <c r="A34" s="157" t="s">
        <v>303</v>
      </c>
      <c r="B34" s="55">
        <v>30</v>
      </c>
      <c r="C34" s="2" t="s">
        <v>11</v>
      </c>
      <c r="D34" s="168"/>
      <c r="E34" s="169"/>
      <c r="F34" s="169"/>
      <c r="G34" s="170"/>
      <c r="H34" s="169"/>
      <c r="I34" s="81"/>
      <c r="J34" s="81"/>
      <c r="K34" s="81"/>
      <c r="L34" s="81"/>
      <c r="M34" s="81"/>
      <c r="N34" s="81"/>
      <c r="O34" s="81"/>
      <c r="P34" s="81"/>
      <c r="Q34" s="2"/>
      <c r="R34" s="1"/>
      <c r="S34" s="1"/>
      <c r="T34" s="1"/>
    </row>
    <row r="35" spans="1:20" ht="13.5" thickBot="1" x14ac:dyDescent="0.25">
      <c r="A35" s="2"/>
      <c r="B35" s="18"/>
      <c r="C35" s="2"/>
      <c r="D35" s="81"/>
      <c r="E35" s="81"/>
      <c r="F35" s="81"/>
      <c r="G35" s="81"/>
      <c r="H35" s="81"/>
      <c r="I35" s="81"/>
      <c r="J35" s="81"/>
      <c r="K35" s="81"/>
      <c r="L35" s="81"/>
      <c r="M35" s="81"/>
      <c r="N35" s="81"/>
      <c r="O35" s="81"/>
      <c r="P35" s="81"/>
      <c r="Q35" s="2"/>
      <c r="R35" s="1"/>
      <c r="S35" s="1"/>
      <c r="T35" s="1"/>
    </row>
    <row r="36" spans="1:20" ht="13.5" thickBot="1" x14ac:dyDescent="0.25">
      <c r="A36" s="157" t="s">
        <v>305</v>
      </c>
      <c r="B36" s="33">
        <f>B9*((((B23^2/B9^2)-(COS(B34/57.2958))^2)^0.5)-SIN(B34/57.2958))</f>
        <v>38611.709135946898</v>
      </c>
      <c r="C36" s="2" t="s">
        <v>35</v>
      </c>
      <c r="D36" s="81"/>
      <c r="E36" s="242" t="s">
        <v>3</v>
      </c>
      <c r="F36" s="81"/>
      <c r="G36" s="81"/>
      <c r="H36" s="81"/>
      <c r="I36" s="81"/>
      <c r="J36" s="81"/>
      <c r="K36" s="81"/>
      <c r="L36" s="81"/>
      <c r="M36" s="81"/>
      <c r="N36" s="81"/>
      <c r="O36" s="81"/>
      <c r="P36" s="81"/>
      <c r="Q36" s="2"/>
      <c r="R36" s="1"/>
      <c r="S36" s="1"/>
      <c r="T36" s="1"/>
    </row>
    <row r="37" spans="1:20" x14ac:dyDescent="0.2">
      <c r="A37" s="2"/>
      <c r="B37" s="81"/>
      <c r="C37" s="81"/>
      <c r="D37" s="81"/>
      <c r="E37" s="81"/>
      <c r="F37" s="81"/>
      <c r="G37" s="81"/>
      <c r="H37" s="81"/>
      <c r="I37" s="81"/>
      <c r="J37" s="81"/>
      <c r="K37" s="81"/>
      <c r="L37" s="81"/>
      <c r="M37" s="81"/>
      <c r="N37" s="81"/>
      <c r="O37" s="81"/>
      <c r="P37" s="81"/>
      <c r="Q37" s="2"/>
      <c r="R37" s="1"/>
      <c r="S37" s="1"/>
      <c r="T37" s="1"/>
    </row>
    <row r="38" spans="1:20" x14ac:dyDescent="0.2">
      <c r="A38" s="2"/>
      <c r="B38" s="2"/>
      <c r="C38" s="2"/>
      <c r="D38" s="81"/>
      <c r="E38" s="81"/>
      <c r="F38" s="81"/>
      <c r="G38" s="81"/>
      <c r="H38" s="81"/>
      <c r="I38" s="81"/>
      <c r="J38" s="81"/>
      <c r="K38" s="81"/>
      <c r="L38" s="81"/>
      <c r="M38" s="81"/>
      <c r="N38" s="81"/>
      <c r="O38" s="81"/>
      <c r="P38" s="81"/>
      <c r="Q38" s="2"/>
      <c r="R38" s="1"/>
      <c r="S38" s="1"/>
      <c r="T38" s="1"/>
    </row>
    <row r="39" spans="1:20" x14ac:dyDescent="0.2">
      <c r="A39" s="1"/>
      <c r="B39" s="1"/>
      <c r="C39" s="1"/>
      <c r="D39" s="81"/>
      <c r="E39" s="81"/>
      <c r="F39" s="81"/>
      <c r="G39" s="81"/>
      <c r="H39" s="81"/>
      <c r="I39" s="81"/>
      <c r="J39" s="81"/>
      <c r="K39" s="81"/>
      <c r="L39" s="81"/>
      <c r="M39" s="81"/>
      <c r="N39" s="81"/>
      <c r="O39" s="81"/>
      <c r="P39" s="81"/>
      <c r="Q39" s="2"/>
      <c r="R39" s="1"/>
      <c r="S39" s="1"/>
      <c r="T39" s="1"/>
    </row>
    <row r="40" spans="1:20" x14ac:dyDescent="0.2">
      <c r="A40" s="1"/>
      <c r="B40" s="1"/>
      <c r="C40" s="1"/>
      <c r="D40" s="2"/>
      <c r="E40" s="2"/>
      <c r="F40" s="2"/>
      <c r="G40" s="2"/>
      <c r="H40" s="2"/>
      <c r="I40" s="2"/>
      <c r="J40" s="2"/>
      <c r="K40" s="2"/>
      <c r="L40" s="2"/>
      <c r="M40" s="2"/>
      <c r="N40" s="2"/>
      <c r="O40" s="2"/>
      <c r="P40" s="2"/>
      <c r="Q40" s="2"/>
      <c r="R40" s="1"/>
      <c r="S40" s="1"/>
      <c r="T40" s="1"/>
    </row>
    <row r="41" spans="1:20" x14ac:dyDescent="0.2">
      <c r="A41" s="1"/>
      <c r="B41" s="1"/>
      <c r="C41" s="1"/>
      <c r="D41" s="1"/>
      <c r="E41" s="1"/>
      <c r="F41" s="1"/>
      <c r="G41" s="1"/>
      <c r="H41" s="1"/>
      <c r="I41" s="1"/>
      <c r="J41" s="1"/>
      <c r="K41" s="1"/>
      <c r="L41" s="1"/>
      <c r="M41" s="1"/>
      <c r="N41" s="1"/>
      <c r="O41" s="1"/>
      <c r="P41" s="1"/>
      <c r="Q41" s="1"/>
      <c r="R41" s="1"/>
      <c r="S41" s="1"/>
      <c r="T41" s="1"/>
    </row>
    <row r="42" spans="1:20" x14ac:dyDescent="0.2">
      <c r="A42" s="1"/>
      <c r="B42" s="1"/>
      <c r="C42" s="1"/>
      <c r="D42" s="1"/>
      <c r="E42" s="1"/>
      <c r="F42" s="1"/>
      <c r="G42" s="1"/>
      <c r="H42" s="1"/>
      <c r="I42" s="1"/>
      <c r="J42" s="1"/>
      <c r="K42" s="1"/>
      <c r="L42" s="1"/>
      <c r="M42" s="1"/>
      <c r="N42" s="1"/>
      <c r="O42" s="1"/>
      <c r="P42" s="1"/>
      <c r="Q42" s="1"/>
      <c r="R42" s="1"/>
      <c r="S42" s="1"/>
      <c r="T42" s="1"/>
    </row>
    <row r="43" spans="1:20" x14ac:dyDescent="0.2">
      <c r="A43" s="1"/>
      <c r="B43" s="1"/>
      <c r="C43" s="1"/>
      <c r="D43" s="1"/>
      <c r="E43" s="1"/>
      <c r="F43" s="1"/>
      <c r="G43" s="1"/>
      <c r="H43" s="1"/>
      <c r="I43" s="1"/>
      <c r="J43" s="1"/>
      <c r="K43" s="1"/>
      <c r="L43" s="1"/>
      <c r="M43" s="1"/>
      <c r="N43" s="1"/>
      <c r="O43" s="1"/>
      <c r="P43" s="1"/>
      <c r="Q43" s="1"/>
      <c r="R43" s="1"/>
      <c r="S43" s="1"/>
      <c r="T43" s="1"/>
    </row>
    <row r="44" spans="1:20" x14ac:dyDescent="0.2">
      <c r="A44" s="1"/>
      <c r="B44" s="1"/>
      <c r="C44" s="1"/>
      <c r="D44" s="1"/>
      <c r="E44" s="1"/>
      <c r="F44" s="1"/>
      <c r="G44" s="1"/>
      <c r="H44" s="1"/>
      <c r="I44" s="1"/>
      <c r="J44" s="1"/>
      <c r="K44" s="1"/>
      <c r="L44" s="1"/>
      <c r="M44" s="1"/>
      <c r="N44" s="1"/>
      <c r="O44" s="1"/>
      <c r="P44" s="1"/>
      <c r="Q44" s="1"/>
      <c r="R44" s="1"/>
      <c r="S44" s="1"/>
      <c r="T44" s="1"/>
    </row>
    <row r="45" spans="1:20" x14ac:dyDescent="0.2">
      <c r="A45" s="1"/>
      <c r="B45" s="1"/>
      <c r="C45" s="1"/>
      <c r="D45" s="1"/>
      <c r="E45" s="1"/>
      <c r="F45" s="1"/>
      <c r="G45" s="1"/>
      <c r="H45" s="1"/>
      <c r="I45" s="1"/>
      <c r="J45" s="1"/>
      <c r="K45" s="1"/>
      <c r="L45" s="1"/>
      <c r="M45" s="1"/>
      <c r="N45" s="1"/>
      <c r="O45" s="1"/>
      <c r="P45" s="1"/>
      <c r="Q45" s="1"/>
      <c r="R45" s="1"/>
      <c r="S45" s="1"/>
      <c r="T45" s="1"/>
    </row>
    <row r="46" spans="1:20" x14ac:dyDescent="0.2">
      <c r="A46" s="1"/>
      <c r="B46" s="1"/>
      <c r="C46" s="1"/>
      <c r="D46" s="1"/>
      <c r="E46" s="1"/>
      <c r="F46" s="1"/>
      <c r="G46" s="1"/>
      <c r="H46" s="1"/>
      <c r="I46" s="1"/>
      <c r="J46" s="1"/>
      <c r="K46" s="1"/>
      <c r="L46" s="1"/>
      <c r="M46" s="1"/>
      <c r="N46" s="1"/>
      <c r="O46" s="1"/>
      <c r="P46" s="1"/>
      <c r="Q46" s="1"/>
      <c r="R46" s="1"/>
      <c r="S46" s="1"/>
      <c r="T46" s="1"/>
    </row>
    <row r="47" spans="1:20" x14ac:dyDescent="0.2">
      <c r="A47" s="1"/>
      <c r="B47" s="1"/>
      <c r="C47" s="1"/>
      <c r="D47" s="1"/>
      <c r="E47" s="1"/>
      <c r="F47" s="1"/>
      <c r="G47" s="1"/>
      <c r="H47" s="1"/>
      <c r="I47" s="1"/>
      <c r="J47" s="1"/>
      <c r="K47" s="1"/>
      <c r="L47" s="1"/>
      <c r="M47" s="1"/>
      <c r="N47" s="1"/>
      <c r="O47" s="1"/>
      <c r="P47" s="1"/>
      <c r="Q47" s="1"/>
      <c r="R47" s="1"/>
      <c r="S47" s="1"/>
      <c r="T47" s="1"/>
    </row>
    <row r="48" spans="1:20" x14ac:dyDescent="0.2">
      <c r="A48" s="1"/>
      <c r="B48" s="1"/>
      <c r="C48" s="1"/>
      <c r="D48" s="1"/>
      <c r="E48" s="1"/>
      <c r="F48" s="1"/>
      <c r="G48" s="1"/>
      <c r="H48" s="1"/>
      <c r="I48" s="1"/>
      <c r="J48" s="1"/>
      <c r="K48" s="1"/>
      <c r="L48" s="1"/>
      <c r="M48" s="1"/>
      <c r="N48" s="1"/>
      <c r="O48" s="1"/>
      <c r="P48" s="1"/>
      <c r="Q48" s="1"/>
      <c r="R48" s="1"/>
      <c r="S48" s="1"/>
      <c r="T48" s="1"/>
    </row>
    <row r="49" spans="1:20" x14ac:dyDescent="0.2">
      <c r="A49" s="1"/>
      <c r="B49" s="1"/>
      <c r="C49" s="1"/>
      <c r="D49" s="1"/>
      <c r="E49" s="1"/>
      <c r="F49" s="1"/>
      <c r="G49" s="1"/>
      <c r="H49" s="1"/>
      <c r="I49" s="1"/>
      <c r="J49" s="1"/>
      <c r="K49" s="1"/>
      <c r="L49" s="1"/>
      <c r="M49" s="1"/>
      <c r="N49" s="1"/>
      <c r="O49" s="1"/>
      <c r="P49" s="1"/>
      <c r="Q49" s="1"/>
      <c r="R49" s="1"/>
      <c r="S49" s="1"/>
      <c r="T49" s="1"/>
    </row>
    <row r="50" spans="1:20" x14ac:dyDescent="0.2">
      <c r="A50" s="1"/>
      <c r="B50" s="1"/>
      <c r="C50" s="1"/>
      <c r="D50" s="1"/>
      <c r="E50" s="1"/>
      <c r="F50" s="1"/>
      <c r="G50" s="1"/>
      <c r="H50" s="1"/>
      <c r="I50" s="1"/>
      <c r="J50" s="1"/>
      <c r="K50" s="1"/>
      <c r="L50" s="1"/>
      <c r="M50" s="1"/>
      <c r="N50" s="1"/>
      <c r="O50" s="1"/>
      <c r="P50" s="1"/>
      <c r="Q50" s="1"/>
      <c r="R50" s="1"/>
      <c r="S50" s="1"/>
      <c r="T50" s="1"/>
    </row>
    <row r="51" spans="1:20" x14ac:dyDescent="0.2">
      <c r="A51" s="1"/>
      <c r="B51" s="1"/>
      <c r="C51" s="1"/>
      <c r="D51" s="1"/>
      <c r="E51" s="1"/>
      <c r="F51" s="1"/>
      <c r="G51" s="1"/>
      <c r="H51" s="1"/>
      <c r="I51" s="1"/>
      <c r="J51" s="1"/>
      <c r="K51" s="1"/>
      <c r="L51" s="1"/>
      <c r="M51" s="1"/>
      <c r="N51" s="1"/>
      <c r="O51" s="1"/>
      <c r="P51" s="1"/>
      <c r="Q51" s="1"/>
      <c r="R51" s="1"/>
      <c r="S51" s="1"/>
      <c r="T51" s="1"/>
    </row>
    <row r="52" spans="1:20" x14ac:dyDescent="0.2">
      <c r="D52" s="1"/>
      <c r="E52" s="1"/>
      <c r="F52" s="1"/>
      <c r="G52" s="1"/>
      <c r="H52" s="1"/>
      <c r="I52" s="1"/>
      <c r="J52" s="1"/>
      <c r="K52" s="1"/>
      <c r="L52" s="1"/>
      <c r="M52" s="1"/>
      <c r="N52" s="1"/>
      <c r="O52" s="1"/>
      <c r="P52" s="1"/>
      <c r="Q52" s="1"/>
      <c r="R52" s="1"/>
      <c r="S52" s="1"/>
      <c r="T52" s="1"/>
    </row>
    <row r="53" spans="1:20" x14ac:dyDescent="0.2">
      <c r="D53" s="1"/>
      <c r="E53" s="1"/>
      <c r="F53" s="1"/>
      <c r="G53" s="1"/>
      <c r="H53" s="1"/>
      <c r="I53" s="1"/>
      <c r="J53" s="1"/>
      <c r="K53" s="1"/>
      <c r="L53" s="1"/>
      <c r="M53" s="1"/>
      <c r="N53" s="1"/>
      <c r="O53" s="1"/>
      <c r="P53" s="1"/>
      <c r="Q53" s="1"/>
      <c r="R53" s="1"/>
      <c r="S53" s="1"/>
      <c r="T53" s="1"/>
    </row>
    <row r="54" spans="1:20" x14ac:dyDescent="0.2">
      <c r="A54" s="92" t="s">
        <v>3</v>
      </c>
    </row>
  </sheetData>
  <mergeCells count="5">
    <mergeCell ref="A6:C6"/>
    <mergeCell ref="A27:B27"/>
    <mergeCell ref="A33:B33"/>
    <mergeCell ref="A26:B26"/>
    <mergeCell ref="A32:B32"/>
  </mergeCells>
  <phoneticPr fontId="0" type="noConversion"/>
  <pageMargins left="0.75" right="0.75" top="1" bottom="1" header="0.5" footer="0.5"/>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Q45"/>
  <sheetViews>
    <sheetView workbookViewId="0">
      <selection activeCell="G3" sqref="G3"/>
    </sheetView>
  </sheetViews>
  <sheetFormatPr defaultRowHeight="12.75" x14ac:dyDescent="0.2"/>
  <cols>
    <col min="2" max="2" width="26.85546875" customWidth="1"/>
    <col min="3" max="3" width="18.42578125" customWidth="1"/>
    <col min="5" max="5" width="15.28515625" customWidth="1"/>
    <col min="8" max="8" width="15.7109375" customWidth="1"/>
    <col min="10" max="10" width="14.28515625" customWidth="1"/>
    <col min="12" max="12" width="9.7109375" bestFit="1" customWidth="1"/>
  </cols>
  <sheetData>
    <row r="1" spans="1:17" ht="21" thickBot="1" x14ac:dyDescent="0.35">
      <c r="A1" s="173"/>
      <c r="B1" s="177" t="s">
        <v>37</v>
      </c>
      <c r="C1" s="174" t="s">
        <v>165</v>
      </c>
      <c r="D1" s="175"/>
      <c r="E1" s="175"/>
      <c r="F1" s="175"/>
      <c r="G1" s="175"/>
      <c r="H1" s="175"/>
      <c r="I1" s="175"/>
      <c r="J1" s="175"/>
      <c r="K1" s="175"/>
      <c r="L1" s="175"/>
      <c r="M1" s="175"/>
      <c r="N1" s="175"/>
      <c r="O1" s="175"/>
      <c r="P1" s="175"/>
      <c r="Q1" s="176"/>
    </row>
    <row r="2" spans="1:17" ht="21" thickBot="1" x14ac:dyDescent="0.35">
      <c r="A2" s="1"/>
      <c r="B2" s="162"/>
      <c r="C2" s="163"/>
      <c r="D2" s="164"/>
      <c r="E2" s="164"/>
      <c r="F2" s="164"/>
      <c r="G2" s="205"/>
      <c r="H2" s="164"/>
      <c r="I2" s="164"/>
      <c r="J2" s="164"/>
      <c r="K2" s="164"/>
      <c r="L2" s="164"/>
      <c r="M2" s="164"/>
      <c r="N2" s="164"/>
      <c r="O2" s="164"/>
      <c r="P2" s="164"/>
      <c r="Q2" s="164"/>
    </row>
    <row r="3" spans="1:17" ht="21" thickBot="1" x14ac:dyDescent="0.35">
      <c r="A3" s="1"/>
      <c r="B3" s="162"/>
      <c r="C3" s="163"/>
      <c r="D3" s="164"/>
      <c r="E3" s="164"/>
      <c r="F3" s="164"/>
      <c r="G3" s="206" t="s">
        <v>241</v>
      </c>
      <c r="H3" s="164"/>
      <c r="I3" s="164"/>
      <c r="J3" s="164"/>
      <c r="K3" s="164"/>
      <c r="L3" s="164"/>
      <c r="M3" s="164"/>
      <c r="N3" s="164"/>
      <c r="O3" s="164"/>
      <c r="P3" s="164"/>
      <c r="Q3" s="164"/>
    </row>
    <row r="4" spans="1:17" ht="15.75" x14ac:dyDescent="0.25">
      <c r="A4" s="1"/>
      <c r="B4" s="1"/>
      <c r="C4" s="252" t="s">
        <v>164</v>
      </c>
      <c r="D4" s="1"/>
      <c r="E4" s="253" t="s">
        <v>193</v>
      </c>
      <c r="F4" s="1"/>
      <c r="G4" s="1"/>
      <c r="H4" s="253" t="s">
        <v>40</v>
      </c>
      <c r="I4" s="1"/>
      <c r="J4" s="253" t="s">
        <v>296</v>
      </c>
      <c r="K4" s="1"/>
      <c r="L4" s="254" t="s">
        <v>298</v>
      </c>
      <c r="M4" s="1"/>
      <c r="N4" s="1"/>
      <c r="O4" s="1"/>
      <c r="P4" s="1"/>
      <c r="Q4" s="1"/>
    </row>
    <row r="5" spans="1:17" ht="15" x14ac:dyDescent="0.2">
      <c r="A5" s="1"/>
      <c r="B5" s="1"/>
      <c r="C5" s="252"/>
      <c r="D5" s="1"/>
      <c r="E5" s="253"/>
      <c r="F5" s="1"/>
      <c r="G5" s="1"/>
      <c r="H5" s="253"/>
      <c r="I5" s="1"/>
      <c r="J5" s="1"/>
      <c r="K5" s="1"/>
      <c r="L5" s="1"/>
      <c r="M5" s="1"/>
      <c r="N5" s="1"/>
      <c r="O5" s="1"/>
      <c r="P5" s="1"/>
      <c r="Q5" s="1"/>
    </row>
    <row r="6" spans="1:17" ht="18" x14ac:dyDescent="0.25">
      <c r="A6" s="1"/>
      <c r="B6" s="255" t="s">
        <v>42</v>
      </c>
      <c r="C6" s="265">
        <v>437.45</v>
      </c>
      <c r="D6" s="256" t="s">
        <v>38</v>
      </c>
      <c r="E6" s="257">
        <f>299.8/C6</f>
        <v>0.68533546691050407</v>
      </c>
      <c r="F6" s="258" t="s">
        <v>39</v>
      </c>
      <c r="G6" s="258"/>
      <c r="H6" s="259">
        <f>22+20*LOG10(('2-Orbit'!B30*1000)/E6)</f>
        <v>177.4494863268778</v>
      </c>
      <c r="I6" s="258" t="s">
        <v>41</v>
      </c>
      <c r="J6" s="260">
        <f>'2-Orbit'!B30</f>
        <v>40586.11896138086</v>
      </c>
      <c r="K6" s="258" t="s">
        <v>297</v>
      </c>
      <c r="L6" s="261">
        <f>'2-Orbit'!B28</f>
        <v>10</v>
      </c>
      <c r="M6" s="262" t="s">
        <v>299</v>
      </c>
      <c r="N6" s="1"/>
      <c r="O6" s="1"/>
      <c r="P6" s="1"/>
      <c r="Q6" s="1"/>
    </row>
    <row r="7" spans="1:17" ht="18" x14ac:dyDescent="0.25">
      <c r="A7" s="289" t="s">
        <v>306</v>
      </c>
      <c r="B7" s="289"/>
      <c r="C7" s="165"/>
      <c r="D7" s="256"/>
      <c r="E7" s="257"/>
      <c r="F7" s="258"/>
      <c r="G7" s="258"/>
      <c r="H7" s="259"/>
      <c r="I7" s="258"/>
      <c r="J7" s="1"/>
      <c r="K7" s="1"/>
      <c r="L7" s="1"/>
      <c r="M7" s="1"/>
      <c r="N7" s="1"/>
      <c r="O7" s="1"/>
      <c r="P7" s="1"/>
      <c r="Q7" s="1"/>
    </row>
    <row r="8" spans="1:17" ht="18" x14ac:dyDescent="0.25">
      <c r="A8" s="1"/>
      <c r="B8" s="255"/>
      <c r="C8" s="165"/>
      <c r="D8" s="256"/>
      <c r="E8" s="257"/>
      <c r="F8" s="258"/>
      <c r="G8" s="258"/>
      <c r="H8" s="259"/>
      <c r="I8" s="258"/>
      <c r="J8" s="1"/>
      <c r="K8" s="1"/>
      <c r="L8" s="1"/>
      <c r="M8" s="1"/>
      <c r="N8" s="1"/>
      <c r="O8" s="1"/>
      <c r="P8" s="1"/>
      <c r="Q8" s="1"/>
    </row>
    <row r="9" spans="1:17" ht="18" x14ac:dyDescent="0.25">
      <c r="A9" s="1"/>
      <c r="B9" s="255"/>
      <c r="C9" s="165"/>
      <c r="D9" s="256"/>
      <c r="E9" s="257"/>
      <c r="F9" s="258"/>
      <c r="G9" s="258"/>
      <c r="H9" s="263" t="s">
        <v>194</v>
      </c>
      <c r="I9" s="258"/>
      <c r="J9" s="263"/>
      <c r="K9" s="1"/>
      <c r="L9" s="1"/>
      <c r="M9" s="1"/>
      <c r="N9" s="1"/>
      <c r="O9" s="1"/>
      <c r="P9" s="1"/>
      <c r="Q9" s="1"/>
    </row>
    <row r="10" spans="1:17" ht="18" x14ac:dyDescent="0.25">
      <c r="A10" s="1"/>
      <c r="B10" s="255"/>
      <c r="C10" s="165"/>
      <c r="D10" s="256"/>
      <c r="E10" s="257"/>
      <c r="F10" s="258"/>
      <c r="G10" s="258"/>
      <c r="H10" s="259"/>
      <c r="I10" s="258"/>
      <c r="J10" s="1"/>
      <c r="K10" s="1"/>
      <c r="L10" s="1"/>
      <c r="M10" s="1"/>
      <c r="N10" s="1"/>
      <c r="O10" s="1"/>
      <c r="P10" s="1"/>
      <c r="Q10" s="1"/>
    </row>
    <row r="11" spans="1:17" ht="15.75" x14ac:dyDescent="0.25">
      <c r="A11" s="1"/>
      <c r="B11" s="1"/>
      <c r="C11" s="1" t="s">
        <v>3</v>
      </c>
      <c r="D11" s="1"/>
      <c r="E11" s="1"/>
      <c r="F11" s="1"/>
      <c r="G11" s="1"/>
      <c r="H11" s="1"/>
      <c r="I11" s="1"/>
      <c r="J11" s="263"/>
      <c r="K11" s="1"/>
      <c r="L11" s="1"/>
      <c r="M11" s="1"/>
      <c r="N11" s="1"/>
      <c r="O11" s="166"/>
      <c r="P11" s="1"/>
      <c r="Q11" s="1"/>
    </row>
    <row r="12" spans="1:17" ht="18" x14ac:dyDescent="0.25">
      <c r="A12" s="1"/>
      <c r="B12" s="255" t="s">
        <v>43</v>
      </c>
      <c r="C12" s="265">
        <v>145.9</v>
      </c>
      <c r="D12" s="256" t="s">
        <v>38</v>
      </c>
      <c r="E12" s="257">
        <f>299.8/C12</f>
        <v>2.0548320767649075</v>
      </c>
      <c r="F12" s="258" t="s">
        <v>39</v>
      </c>
      <c r="G12" s="258"/>
      <c r="H12" s="259">
        <f>22+20*LOG10(('2-Orbit'!B36*1000)/E12)</f>
        <v>167.47885378696427</v>
      </c>
      <c r="I12" s="258" t="s">
        <v>41</v>
      </c>
      <c r="J12" s="260">
        <f>'2-Orbit'!B36</f>
        <v>38611.709135946898</v>
      </c>
      <c r="K12" s="258" t="s">
        <v>8</v>
      </c>
      <c r="L12" s="264">
        <f>'2-Orbit'!B34</f>
        <v>30</v>
      </c>
      <c r="M12" s="262" t="s">
        <v>299</v>
      </c>
      <c r="N12" s="1"/>
      <c r="O12" s="1"/>
      <c r="P12" s="1"/>
      <c r="Q12" s="1"/>
    </row>
    <row r="13" spans="1:17" ht="15" x14ac:dyDescent="0.2">
      <c r="A13" s="289" t="s">
        <v>307</v>
      </c>
      <c r="B13" s="289"/>
      <c r="C13" s="1"/>
      <c r="D13" s="1"/>
      <c r="E13" s="1"/>
      <c r="F13" s="1"/>
      <c r="G13" s="1"/>
      <c r="H13" s="1"/>
      <c r="I13" s="1"/>
      <c r="J13" s="1"/>
      <c r="K13" s="1"/>
      <c r="L13" s="1"/>
      <c r="M13" s="1"/>
      <c r="N13" s="1"/>
      <c r="O13" s="1"/>
      <c r="P13" s="1"/>
      <c r="Q13" s="1"/>
    </row>
    <row r="14" spans="1:17" x14ac:dyDescent="0.2">
      <c r="A14" s="1"/>
      <c r="B14" s="1"/>
      <c r="C14" s="1"/>
      <c r="D14" s="1"/>
      <c r="E14" s="1"/>
      <c r="F14" s="1"/>
      <c r="G14" s="1"/>
      <c r="H14" s="1"/>
      <c r="I14" s="1"/>
      <c r="J14" s="1"/>
      <c r="K14" s="1"/>
      <c r="L14" s="1"/>
      <c r="M14" s="1"/>
      <c r="N14" s="1"/>
      <c r="O14" s="1"/>
      <c r="P14" s="1"/>
      <c r="Q14" s="1"/>
    </row>
    <row r="15" spans="1:17" x14ac:dyDescent="0.2">
      <c r="A15" s="1"/>
      <c r="B15" s="1"/>
      <c r="C15" s="1"/>
      <c r="D15" s="1"/>
      <c r="E15" s="1"/>
      <c r="F15" s="1"/>
      <c r="G15" s="1"/>
      <c r="H15" s="1"/>
      <c r="I15" s="1"/>
      <c r="J15" s="1"/>
      <c r="K15" s="1"/>
      <c r="L15" s="1"/>
      <c r="M15" s="1"/>
      <c r="N15" s="1"/>
      <c r="O15" s="1"/>
      <c r="P15" s="1"/>
      <c r="Q15" s="1"/>
    </row>
    <row r="16" spans="1:17" x14ac:dyDescent="0.2">
      <c r="A16" s="1"/>
      <c r="B16" s="1"/>
      <c r="C16" s="1"/>
      <c r="D16" s="1"/>
      <c r="E16" s="1"/>
      <c r="F16" s="1"/>
      <c r="G16" s="1"/>
      <c r="H16" s="1"/>
      <c r="I16" s="1"/>
      <c r="J16" s="1"/>
      <c r="K16" s="1"/>
      <c r="L16" s="1"/>
      <c r="M16" s="1"/>
      <c r="N16" s="1"/>
      <c r="O16" s="1"/>
      <c r="P16" s="1"/>
      <c r="Q16" s="1"/>
    </row>
    <row r="17" spans="1:17" x14ac:dyDescent="0.2">
      <c r="A17" s="1"/>
      <c r="B17" s="1"/>
      <c r="C17" s="1"/>
      <c r="D17" s="1"/>
      <c r="E17" s="1"/>
      <c r="F17" s="1"/>
      <c r="G17" s="1"/>
      <c r="H17" s="1"/>
      <c r="I17" s="1"/>
      <c r="J17" s="1"/>
      <c r="K17" s="1"/>
      <c r="L17" s="1"/>
      <c r="M17" s="1"/>
      <c r="N17" s="1"/>
      <c r="O17" s="1"/>
      <c r="P17" s="1"/>
      <c r="Q17" s="1"/>
    </row>
    <row r="18" spans="1:17" x14ac:dyDescent="0.2">
      <c r="A18" s="1"/>
      <c r="B18" s="1"/>
      <c r="C18" s="1"/>
      <c r="D18" s="1"/>
      <c r="E18" s="1"/>
      <c r="F18" s="1"/>
      <c r="G18" s="1"/>
      <c r="H18" s="1"/>
      <c r="I18" s="1"/>
      <c r="J18" s="1"/>
      <c r="K18" s="1"/>
      <c r="L18" s="1"/>
      <c r="M18" s="1"/>
      <c r="N18" s="1"/>
      <c r="O18" s="1"/>
      <c r="P18" s="1"/>
      <c r="Q18" s="1"/>
    </row>
    <row r="19" spans="1:17" x14ac:dyDescent="0.2">
      <c r="A19" s="1"/>
      <c r="B19" s="1"/>
      <c r="C19" s="1"/>
      <c r="D19" s="1"/>
      <c r="E19" s="1"/>
      <c r="F19" s="1"/>
      <c r="G19" s="1"/>
      <c r="H19" s="1"/>
      <c r="I19" s="1"/>
      <c r="J19" s="1"/>
      <c r="K19" s="1"/>
      <c r="L19" s="1"/>
      <c r="M19" s="1"/>
      <c r="N19" s="1"/>
      <c r="O19" s="1"/>
      <c r="P19" s="1"/>
      <c r="Q19" s="1"/>
    </row>
    <row r="20" spans="1:17" x14ac:dyDescent="0.2">
      <c r="A20" s="1"/>
      <c r="B20" s="1"/>
      <c r="C20" s="1"/>
      <c r="D20" s="1"/>
      <c r="E20" s="1"/>
      <c r="F20" s="1"/>
      <c r="G20" s="155" t="s">
        <v>241</v>
      </c>
      <c r="H20" s="1"/>
      <c r="I20" s="1"/>
      <c r="J20" s="1"/>
      <c r="K20" s="1"/>
      <c r="L20" s="1"/>
      <c r="M20" s="1"/>
      <c r="N20" s="1"/>
      <c r="O20" s="1"/>
      <c r="P20" s="1"/>
      <c r="Q20" s="1"/>
    </row>
    <row r="21" spans="1:17" x14ac:dyDescent="0.2">
      <c r="A21" s="1"/>
      <c r="B21" s="1"/>
      <c r="C21" s="1"/>
      <c r="D21" s="1"/>
      <c r="E21" s="1"/>
      <c r="F21" s="1"/>
      <c r="G21" s="1"/>
      <c r="H21" s="1"/>
      <c r="I21" s="1"/>
      <c r="J21" s="1"/>
      <c r="K21" s="1"/>
      <c r="L21" s="1"/>
      <c r="M21" s="1"/>
      <c r="N21" s="1"/>
      <c r="O21" s="1"/>
      <c r="P21" s="1"/>
      <c r="Q21" s="1"/>
    </row>
    <row r="22" spans="1:17" x14ac:dyDescent="0.2">
      <c r="A22" s="1"/>
      <c r="B22" s="1"/>
      <c r="C22" s="1"/>
      <c r="D22" s="1"/>
      <c r="E22" s="1"/>
      <c r="F22" s="1"/>
      <c r="G22" s="1"/>
      <c r="H22" s="1"/>
      <c r="I22" s="1"/>
      <c r="J22" s="1"/>
      <c r="K22" s="1"/>
      <c r="L22" s="1"/>
      <c r="M22" s="1"/>
      <c r="N22" s="1"/>
      <c r="O22" s="1"/>
      <c r="P22" s="1"/>
      <c r="Q22" s="1"/>
    </row>
    <row r="23" spans="1:17" x14ac:dyDescent="0.2">
      <c r="A23" s="1"/>
      <c r="B23" s="1"/>
      <c r="C23" s="1"/>
      <c r="D23" s="1"/>
      <c r="E23" s="1"/>
      <c r="F23" s="1"/>
      <c r="G23" s="1"/>
      <c r="H23" s="1"/>
      <c r="I23" s="1"/>
      <c r="J23" s="1"/>
      <c r="K23" s="1"/>
      <c r="L23" s="1"/>
      <c r="M23" s="1"/>
      <c r="N23" s="1"/>
      <c r="O23" s="1"/>
      <c r="P23" s="1"/>
      <c r="Q23" s="1"/>
    </row>
    <row r="24" spans="1:17" x14ac:dyDescent="0.2">
      <c r="A24" s="1"/>
      <c r="B24" s="1"/>
      <c r="C24" s="1"/>
      <c r="D24" s="1"/>
      <c r="E24" s="1"/>
      <c r="F24" s="1"/>
      <c r="G24" s="1"/>
      <c r="H24" s="1"/>
      <c r="I24" s="1"/>
      <c r="J24" s="1"/>
      <c r="K24" s="1"/>
      <c r="L24" s="1"/>
      <c r="M24" s="1"/>
      <c r="N24" s="1"/>
      <c r="O24" s="1"/>
      <c r="P24" s="1"/>
      <c r="Q24" s="1"/>
    </row>
    <row r="25" spans="1:17" x14ac:dyDescent="0.2">
      <c r="A25" s="1"/>
      <c r="B25" s="1"/>
      <c r="C25" s="1"/>
      <c r="D25" s="1"/>
      <c r="E25" s="1"/>
      <c r="F25" s="1"/>
      <c r="G25" s="1"/>
      <c r="H25" s="1"/>
      <c r="I25" s="1"/>
      <c r="J25" s="1"/>
      <c r="K25" s="1"/>
      <c r="L25" s="1"/>
      <c r="M25" s="1"/>
      <c r="N25" s="1"/>
      <c r="O25" s="1"/>
      <c r="P25" s="1"/>
      <c r="Q25" s="1"/>
    </row>
    <row r="26" spans="1:17" x14ac:dyDescent="0.2">
      <c r="A26" s="1"/>
      <c r="B26" s="1"/>
      <c r="C26" s="1"/>
      <c r="D26" s="1"/>
      <c r="E26" s="1"/>
      <c r="F26" s="1"/>
      <c r="G26" s="1"/>
      <c r="H26" s="1"/>
      <c r="I26" s="1"/>
      <c r="J26" s="1"/>
      <c r="K26" s="1"/>
      <c r="L26" s="1"/>
      <c r="M26" s="1"/>
      <c r="N26" s="1"/>
      <c r="O26" s="1"/>
      <c r="P26" s="1"/>
      <c r="Q26" s="1"/>
    </row>
    <row r="27" spans="1:17" x14ac:dyDescent="0.2">
      <c r="A27" s="1"/>
      <c r="B27" s="1"/>
      <c r="C27" s="1"/>
      <c r="D27" s="1"/>
      <c r="E27" s="1"/>
      <c r="F27" s="1"/>
      <c r="G27" s="1"/>
      <c r="H27" s="1"/>
      <c r="I27" s="1"/>
      <c r="J27" s="1"/>
      <c r="K27" s="1"/>
      <c r="L27" s="1"/>
      <c r="M27" s="1"/>
      <c r="N27" s="1"/>
      <c r="O27" s="1"/>
      <c r="P27" s="1"/>
      <c r="Q27" s="1"/>
    </row>
    <row r="28" spans="1:17" x14ac:dyDescent="0.2">
      <c r="A28" s="1"/>
      <c r="B28" s="1"/>
      <c r="C28" s="1"/>
      <c r="D28" s="1"/>
      <c r="E28" s="1"/>
      <c r="F28" s="1"/>
      <c r="G28" s="1"/>
      <c r="H28" s="1"/>
      <c r="I28" s="1"/>
      <c r="J28" s="1"/>
      <c r="K28" s="1"/>
      <c r="L28" s="1"/>
      <c r="M28" s="1"/>
      <c r="N28" s="1"/>
      <c r="O28" s="1"/>
      <c r="P28" s="1"/>
      <c r="Q28" s="1"/>
    </row>
    <row r="29" spans="1:17" x14ac:dyDescent="0.2">
      <c r="A29" s="1"/>
      <c r="B29" s="1"/>
      <c r="C29" s="1"/>
      <c r="D29" s="1"/>
      <c r="E29" s="1"/>
      <c r="F29" s="1"/>
      <c r="G29" s="1"/>
      <c r="H29" s="1"/>
      <c r="I29" s="1"/>
      <c r="J29" s="1"/>
      <c r="K29" s="1"/>
      <c r="L29" s="1"/>
      <c r="M29" s="1"/>
      <c r="N29" s="1"/>
      <c r="O29" s="1"/>
      <c r="P29" s="1"/>
      <c r="Q29" s="1"/>
    </row>
    <row r="30" spans="1:17" x14ac:dyDescent="0.2">
      <c r="A30" s="1"/>
      <c r="B30" s="1"/>
      <c r="C30" s="1"/>
      <c r="D30" s="1"/>
      <c r="E30" s="1"/>
      <c r="F30" s="1"/>
      <c r="G30" s="1"/>
      <c r="H30" s="1"/>
      <c r="I30" s="1"/>
      <c r="J30" s="1"/>
      <c r="K30" s="1"/>
      <c r="L30" s="1"/>
      <c r="M30" s="1"/>
      <c r="N30" s="1"/>
      <c r="O30" s="1"/>
      <c r="P30" s="1"/>
      <c r="Q30" s="1"/>
    </row>
    <row r="31" spans="1:17" x14ac:dyDescent="0.2">
      <c r="A31" s="1"/>
      <c r="B31" s="1"/>
      <c r="C31" s="1"/>
      <c r="D31" s="1"/>
      <c r="E31" s="1"/>
      <c r="F31" s="1"/>
      <c r="G31" s="1"/>
      <c r="H31" s="1"/>
      <c r="I31" s="1"/>
      <c r="J31" s="1"/>
      <c r="K31" s="1"/>
      <c r="L31" s="1"/>
      <c r="M31" s="1"/>
      <c r="N31" s="1"/>
      <c r="O31" s="1"/>
      <c r="P31" s="1"/>
      <c r="Q31" s="1"/>
    </row>
    <row r="32" spans="1:17" x14ac:dyDescent="0.2">
      <c r="A32" s="1"/>
      <c r="B32" s="1"/>
      <c r="C32" s="1"/>
      <c r="D32" s="1"/>
      <c r="E32" s="1"/>
      <c r="F32" s="1"/>
      <c r="G32" s="1"/>
      <c r="H32" s="1"/>
      <c r="I32" s="1"/>
      <c r="J32" s="1"/>
      <c r="K32" s="1"/>
      <c r="L32" s="1"/>
      <c r="M32" s="1"/>
      <c r="N32" s="1"/>
      <c r="O32" s="1"/>
      <c r="P32" s="1"/>
      <c r="Q32" s="1"/>
    </row>
    <row r="33" spans="1:17" x14ac:dyDescent="0.2">
      <c r="A33" s="1"/>
      <c r="B33" s="1"/>
      <c r="C33" s="1"/>
      <c r="D33" s="1"/>
      <c r="E33" s="1"/>
      <c r="F33" s="1"/>
      <c r="G33" s="1"/>
      <c r="H33" s="1"/>
      <c r="I33" s="1"/>
      <c r="J33" s="1"/>
      <c r="K33" s="1"/>
      <c r="L33" s="1"/>
      <c r="M33" s="1"/>
      <c r="N33" s="1"/>
      <c r="O33" s="1"/>
      <c r="P33" s="1"/>
      <c r="Q33" s="1"/>
    </row>
    <row r="34" spans="1:17" x14ac:dyDescent="0.2">
      <c r="A34" s="1"/>
      <c r="B34" s="1"/>
      <c r="C34" s="1"/>
      <c r="D34" s="1"/>
      <c r="E34" s="1"/>
      <c r="F34" s="1"/>
      <c r="G34" s="1"/>
      <c r="H34" s="1"/>
      <c r="I34" s="1"/>
      <c r="J34" s="1"/>
      <c r="K34" s="1"/>
      <c r="L34" s="1"/>
      <c r="M34" s="1"/>
      <c r="N34" s="1"/>
      <c r="O34" s="1"/>
      <c r="P34" s="1"/>
      <c r="Q34" s="1"/>
    </row>
    <row r="35" spans="1:17" x14ac:dyDescent="0.2">
      <c r="A35" s="1"/>
      <c r="B35" s="1"/>
      <c r="C35" s="1"/>
      <c r="D35" s="1"/>
      <c r="E35" s="1"/>
      <c r="F35" s="1"/>
      <c r="G35" s="1"/>
      <c r="H35" s="1"/>
      <c r="I35" s="1"/>
      <c r="J35" s="1"/>
      <c r="K35" s="1"/>
      <c r="L35" s="1"/>
      <c r="M35" s="1"/>
      <c r="N35" s="1"/>
      <c r="O35" s="1"/>
      <c r="P35" s="1"/>
      <c r="Q35" s="1"/>
    </row>
    <row r="36" spans="1:17" x14ac:dyDescent="0.2">
      <c r="A36" s="1"/>
      <c r="B36" s="1"/>
      <c r="C36" s="1"/>
      <c r="D36" s="1"/>
      <c r="E36" s="1"/>
      <c r="F36" s="1"/>
      <c r="G36" s="1"/>
      <c r="H36" s="1"/>
      <c r="I36" s="1"/>
      <c r="J36" s="1"/>
      <c r="K36" s="1"/>
      <c r="L36" s="1"/>
      <c r="M36" s="1"/>
      <c r="N36" s="1"/>
      <c r="O36" s="1"/>
      <c r="P36" s="1"/>
      <c r="Q36" s="1"/>
    </row>
    <row r="37" spans="1:17" x14ac:dyDescent="0.2">
      <c r="A37" s="1"/>
      <c r="B37" s="1"/>
      <c r="C37" s="1"/>
      <c r="D37" s="1"/>
      <c r="E37" s="1"/>
      <c r="F37" s="1"/>
      <c r="G37" s="1"/>
      <c r="H37" s="1"/>
      <c r="I37" s="1"/>
      <c r="J37" s="1"/>
      <c r="K37" s="1"/>
      <c r="L37" s="1"/>
      <c r="M37" s="1"/>
      <c r="N37" s="1"/>
      <c r="O37" s="1"/>
      <c r="P37" s="1"/>
      <c r="Q37" s="1"/>
    </row>
    <row r="38" spans="1:17" x14ac:dyDescent="0.2">
      <c r="A38" s="1"/>
      <c r="B38" s="1"/>
      <c r="C38" s="1"/>
      <c r="D38" s="1"/>
      <c r="E38" s="1"/>
      <c r="F38" s="1"/>
      <c r="G38" s="1"/>
      <c r="H38" s="1"/>
      <c r="I38" s="1"/>
      <c r="J38" s="1"/>
      <c r="K38" s="1"/>
      <c r="L38" s="1"/>
      <c r="M38" s="1"/>
      <c r="N38" s="1"/>
      <c r="O38" s="1"/>
      <c r="P38" s="1"/>
      <c r="Q38" s="1"/>
    </row>
    <row r="39" spans="1:17" x14ac:dyDescent="0.2">
      <c r="A39" s="1"/>
      <c r="B39" s="1"/>
      <c r="C39" s="1"/>
      <c r="D39" s="1"/>
      <c r="E39" s="1"/>
      <c r="F39" s="1"/>
      <c r="G39" s="1"/>
      <c r="H39" s="1"/>
      <c r="I39" s="1"/>
      <c r="J39" s="1"/>
      <c r="K39" s="1"/>
      <c r="L39" s="1"/>
      <c r="M39" s="1"/>
      <c r="N39" s="1"/>
      <c r="O39" s="1"/>
      <c r="P39" s="1"/>
      <c r="Q39" s="1"/>
    </row>
    <row r="40" spans="1:17" x14ac:dyDescent="0.2">
      <c r="A40" s="1"/>
      <c r="B40" s="1"/>
      <c r="C40" s="1"/>
      <c r="D40" s="1"/>
      <c r="E40" s="1"/>
      <c r="F40" s="1"/>
      <c r="G40" s="1"/>
      <c r="H40" s="1"/>
      <c r="I40" s="1"/>
      <c r="J40" s="1"/>
      <c r="K40" s="1"/>
      <c r="L40" s="1"/>
      <c r="M40" s="1"/>
      <c r="N40" s="1"/>
      <c r="O40" s="1"/>
      <c r="P40" s="1"/>
      <c r="Q40" s="1"/>
    </row>
    <row r="41" spans="1:17" x14ac:dyDescent="0.2">
      <c r="A41" s="1"/>
      <c r="B41" s="1"/>
      <c r="C41" s="1"/>
      <c r="D41" s="1"/>
      <c r="E41" s="1"/>
      <c r="F41" s="1"/>
      <c r="G41" s="1"/>
      <c r="H41" s="1"/>
      <c r="I41" s="1"/>
      <c r="J41" s="1"/>
      <c r="K41" s="1"/>
      <c r="L41" s="1"/>
      <c r="M41" s="1"/>
      <c r="N41" s="1"/>
      <c r="O41" s="1"/>
      <c r="P41" s="1"/>
      <c r="Q41" s="1"/>
    </row>
    <row r="42" spans="1:17" x14ac:dyDescent="0.2">
      <c r="A42" s="1"/>
      <c r="B42" s="1"/>
      <c r="C42" s="1"/>
      <c r="D42" s="1"/>
      <c r="E42" s="1"/>
      <c r="F42" s="1"/>
      <c r="G42" s="1"/>
      <c r="H42" s="1"/>
      <c r="I42" s="1"/>
      <c r="J42" s="1"/>
      <c r="K42" s="1"/>
      <c r="L42" s="1"/>
      <c r="M42" s="1"/>
      <c r="N42" s="1"/>
      <c r="O42" s="1"/>
      <c r="P42" s="1"/>
      <c r="Q42" s="1"/>
    </row>
    <row r="43" spans="1:17" x14ac:dyDescent="0.2">
      <c r="A43" s="1"/>
      <c r="B43" s="1"/>
      <c r="C43" s="1"/>
      <c r="D43" s="1"/>
      <c r="E43" s="1"/>
      <c r="F43" s="1"/>
      <c r="G43" s="1"/>
      <c r="H43" s="1"/>
      <c r="I43" s="1"/>
      <c r="J43" s="1"/>
      <c r="K43" s="1"/>
      <c r="L43" s="1"/>
      <c r="M43" s="1"/>
      <c r="N43" s="1"/>
      <c r="O43" s="1"/>
      <c r="P43" s="1"/>
      <c r="Q43" s="1"/>
    </row>
    <row r="44" spans="1:17" x14ac:dyDescent="0.2">
      <c r="A44" s="1"/>
      <c r="B44" s="1"/>
      <c r="C44" s="1"/>
      <c r="D44" s="1"/>
      <c r="E44" s="1"/>
      <c r="F44" s="1"/>
      <c r="G44" s="1"/>
      <c r="H44" s="1"/>
      <c r="I44" s="1"/>
      <c r="J44" s="1"/>
      <c r="K44" s="1"/>
      <c r="L44" s="1"/>
      <c r="M44" s="1"/>
      <c r="N44" s="1"/>
      <c r="O44" s="1"/>
      <c r="P44" s="1"/>
      <c r="Q44" s="1"/>
    </row>
    <row r="45" spans="1:17" x14ac:dyDescent="0.2">
      <c r="A45" s="1"/>
      <c r="B45" s="1"/>
      <c r="C45" s="1"/>
      <c r="D45" s="1"/>
      <c r="E45" s="1"/>
      <c r="F45" s="1"/>
      <c r="G45" s="1"/>
      <c r="H45" s="1"/>
      <c r="I45" s="1"/>
      <c r="J45" s="1"/>
      <c r="K45" s="1"/>
      <c r="L45" s="1"/>
      <c r="M45" s="1"/>
      <c r="N45" s="1"/>
      <c r="O45" s="1"/>
      <c r="P45" s="1"/>
      <c r="Q45" s="1"/>
    </row>
  </sheetData>
  <mergeCells count="2">
    <mergeCell ref="A7:B7"/>
    <mergeCell ref="A13:B13"/>
  </mergeCells>
  <phoneticPr fontId="20"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FFFF00"/>
  </sheetPr>
  <dimension ref="A1:AB100"/>
  <sheetViews>
    <sheetView workbookViewId="0">
      <selection activeCell="C31" sqref="C31"/>
    </sheetView>
  </sheetViews>
  <sheetFormatPr defaultRowHeight="12.75" x14ac:dyDescent="0.2"/>
  <cols>
    <col min="1" max="1" width="10.85546875" customWidth="1"/>
    <col min="2" max="2" width="35.7109375" customWidth="1"/>
    <col min="3" max="3" width="9.85546875" bestFit="1" customWidth="1"/>
    <col min="8" max="8" width="30.140625" customWidth="1"/>
    <col min="9" max="9" width="4.140625" customWidth="1"/>
    <col min="12" max="12" width="9.42578125" customWidth="1"/>
    <col min="15" max="16" width="9.28515625" bestFit="1" customWidth="1"/>
  </cols>
  <sheetData>
    <row r="1" spans="1:28" ht="18.75" thickBot="1" x14ac:dyDescent="0.3">
      <c r="A1" s="224"/>
      <c r="B1" s="225" t="s">
        <v>250</v>
      </c>
      <c r="C1" s="23"/>
      <c r="D1" s="23"/>
      <c r="E1" s="23"/>
      <c r="F1" s="23"/>
      <c r="G1" s="23"/>
      <c r="H1" s="57" t="str">
        <f>'1-Title Page'!F3</f>
        <v>Reference U/V Transponder</v>
      </c>
      <c r="I1" s="57"/>
      <c r="J1" s="57" t="str">
        <f>'1-Title Page'!F7</f>
        <v>Jan A. King</v>
      </c>
      <c r="K1" s="57"/>
      <c r="L1" s="57"/>
      <c r="M1" s="57" t="str">
        <f>'1-Title Page'!G1</f>
        <v xml:space="preserve"> Version: 1.6</v>
      </c>
      <c r="N1" s="57"/>
      <c r="O1" s="23"/>
      <c r="P1" s="23"/>
      <c r="Q1" s="23"/>
      <c r="R1" s="23"/>
      <c r="S1" s="23"/>
      <c r="T1" s="23"/>
      <c r="U1" s="23"/>
      <c r="V1" s="23"/>
      <c r="W1" s="23"/>
      <c r="X1" s="23"/>
      <c r="Y1" s="23"/>
      <c r="Z1" s="23"/>
      <c r="AA1" s="24"/>
      <c r="AB1" s="73"/>
    </row>
    <row r="2" spans="1:28" ht="16.5" thickBot="1" x14ac:dyDescent="0.3">
      <c r="A2" s="226" t="s">
        <v>289</v>
      </c>
      <c r="B2" s="227"/>
      <c r="C2" s="206" t="s">
        <v>241</v>
      </c>
      <c r="D2" s="1"/>
      <c r="E2" s="1"/>
      <c r="F2" s="129"/>
      <c r="G2" s="1"/>
      <c r="H2" s="1"/>
      <c r="I2" s="1"/>
      <c r="J2" s="1"/>
      <c r="K2" s="1"/>
      <c r="L2" s="1"/>
      <c r="M2" s="1"/>
      <c r="N2" s="1"/>
      <c r="O2" s="1"/>
      <c r="P2" s="1"/>
      <c r="Q2" s="1"/>
      <c r="R2" s="1"/>
      <c r="S2" s="1"/>
      <c r="T2" s="1"/>
      <c r="U2" s="1"/>
      <c r="V2" s="1"/>
      <c r="W2" s="1"/>
      <c r="X2" s="1"/>
      <c r="Y2" s="1"/>
      <c r="Z2" s="1"/>
      <c r="AA2" s="1"/>
    </row>
    <row r="3" spans="1:28" x14ac:dyDescent="0.2">
      <c r="A3" s="1"/>
      <c r="B3" s="1"/>
      <c r="C3" s="108" t="s">
        <v>3</v>
      </c>
      <c r="D3" s="1"/>
      <c r="E3" s="1"/>
      <c r="F3" s="129"/>
      <c r="G3" s="1"/>
      <c r="H3" s="1"/>
      <c r="I3" s="1"/>
      <c r="J3" s="1"/>
      <c r="K3" s="1"/>
      <c r="L3" s="1"/>
      <c r="M3" s="1"/>
      <c r="N3" s="1"/>
      <c r="O3" s="1"/>
      <c r="P3" s="1"/>
      <c r="Q3" s="1"/>
      <c r="R3" s="1"/>
      <c r="S3" s="1"/>
      <c r="T3" s="1"/>
      <c r="U3" s="1"/>
      <c r="V3" s="1"/>
      <c r="W3" s="1"/>
      <c r="X3" s="1"/>
      <c r="Y3" s="1"/>
      <c r="Z3" s="1"/>
      <c r="AA3" s="1"/>
    </row>
    <row r="4" spans="1:28" x14ac:dyDescent="0.2">
      <c r="A4" s="1"/>
      <c r="B4" s="1"/>
      <c r="C4" s="1"/>
      <c r="D4" s="1"/>
      <c r="E4" s="1"/>
      <c r="F4" s="129"/>
      <c r="G4" s="1"/>
      <c r="H4" s="1"/>
      <c r="I4" s="1"/>
      <c r="J4" s="1"/>
      <c r="K4" s="1"/>
      <c r="L4" s="1"/>
      <c r="M4" s="1"/>
      <c r="N4" s="1"/>
      <c r="O4" s="1"/>
      <c r="P4" s="1"/>
      <c r="Q4" s="1"/>
      <c r="R4" s="1"/>
      <c r="S4" s="1"/>
      <c r="T4" s="1"/>
      <c r="U4" s="1"/>
      <c r="V4" s="1"/>
      <c r="W4" s="1"/>
      <c r="X4" s="1"/>
      <c r="Y4" s="1"/>
      <c r="Z4" s="1"/>
      <c r="AA4" s="1"/>
    </row>
    <row r="5" spans="1:28" x14ac:dyDescent="0.2">
      <c r="A5" s="1"/>
      <c r="B5" s="138" t="s">
        <v>159</v>
      </c>
      <c r="C5" s="1"/>
      <c r="D5" s="121">
        <f>'3-Frequency'!C6</f>
        <v>437.45</v>
      </c>
      <c r="E5" s="117" t="s">
        <v>38</v>
      </c>
      <c r="F5" s="129"/>
      <c r="G5" s="1"/>
      <c r="H5" s="138" t="s">
        <v>162</v>
      </c>
      <c r="I5" s="108"/>
      <c r="J5" s="116">
        <f>D5-D9/2000</f>
        <v>437.34999999999997</v>
      </c>
      <c r="K5" s="117" t="s">
        <v>38</v>
      </c>
      <c r="L5" s="115" t="s">
        <v>166</v>
      </c>
      <c r="M5" s="116">
        <f>D5+D9/2000</f>
        <v>437.55</v>
      </c>
      <c r="N5" s="117" t="s">
        <v>38</v>
      </c>
      <c r="O5" s="1"/>
      <c r="P5" s="1"/>
      <c r="Q5" s="1"/>
      <c r="R5" s="1"/>
      <c r="S5" s="1"/>
      <c r="T5" s="1"/>
      <c r="U5" s="1"/>
      <c r="V5" s="1"/>
      <c r="W5" s="1"/>
      <c r="X5" s="1"/>
      <c r="Y5" s="1"/>
      <c r="Z5" s="1"/>
      <c r="AA5" s="1"/>
    </row>
    <row r="6" spans="1:28" x14ac:dyDescent="0.2">
      <c r="A6" s="1"/>
      <c r="B6" s="1"/>
      <c r="C6" s="1"/>
      <c r="D6" s="1"/>
      <c r="E6" s="1"/>
      <c r="F6" s="129"/>
      <c r="G6" s="1"/>
      <c r="H6" s="1"/>
      <c r="I6" s="1"/>
      <c r="J6" s="1"/>
      <c r="K6" s="1"/>
      <c r="L6" s="1"/>
      <c r="M6" s="1"/>
      <c r="N6" s="1"/>
      <c r="O6" s="1"/>
      <c r="P6" s="1"/>
      <c r="Q6" s="1"/>
      <c r="R6" s="1"/>
      <c r="S6" s="1"/>
      <c r="T6" s="1"/>
      <c r="U6" s="1"/>
      <c r="V6" s="1"/>
      <c r="W6" s="1"/>
      <c r="X6" s="1"/>
      <c r="Y6" s="1"/>
      <c r="Z6" s="1"/>
      <c r="AA6" s="1"/>
    </row>
    <row r="7" spans="1:28" x14ac:dyDescent="0.2">
      <c r="A7" s="1"/>
      <c r="B7" s="138" t="s">
        <v>160</v>
      </c>
      <c r="C7" s="1"/>
      <c r="D7" s="121">
        <f>'3-Frequency'!C12</f>
        <v>145.9</v>
      </c>
      <c r="E7" s="117" t="s">
        <v>38</v>
      </c>
      <c r="F7" s="129"/>
      <c r="G7" s="1"/>
      <c r="H7" s="138" t="s">
        <v>163</v>
      </c>
      <c r="I7" s="108"/>
      <c r="J7" s="116">
        <f>D7-D9/2000</f>
        <v>145.80000000000001</v>
      </c>
      <c r="K7" s="117" t="s">
        <v>38</v>
      </c>
      <c r="L7" s="115" t="s">
        <v>166</v>
      </c>
      <c r="M7" s="116">
        <f>D7+D9/2000</f>
        <v>146</v>
      </c>
      <c r="N7" s="117" t="s">
        <v>38</v>
      </c>
      <c r="O7" s="1"/>
      <c r="P7" s="1"/>
      <c r="Q7" s="1"/>
      <c r="R7" s="1"/>
      <c r="S7" s="1"/>
      <c r="T7" s="1"/>
      <c r="U7" s="1"/>
      <c r="V7" s="1"/>
      <c r="W7" s="1"/>
      <c r="X7" s="1"/>
      <c r="Y7" s="1"/>
      <c r="Z7" s="1"/>
      <c r="AA7" s="1"/>
    </row>
    <row r="8" spans="1:28" x14ac:dyDescent="0.2">
      <c r="A8" s="1"/>
      <c r="B8" s="1"/>
      <c r="C8" s="1"/>
      <c r="D8" s="1"/>
      <c r="E8" s="1"/>
      <c r="F8" s="129"/>
      <c r="G8" s="1"/>
      <c r="H8" s="1"/>
      <c r="I8" s="1"/>
      <c r="J8" s="1"/>
      <c r="K8" s="1"/>
      <c r="L8" s="1"/>
      <c r="M8" s="1"/>
      <c r="N8" s="1"/>
      <c r="O8" s="1"/>
      <c r="P8" s="1"/>
      <c r="Q8" s="1"/>
      <c r="R8" s="1"/>
      <c r="S8" s="1"/>
      <c r="T8" s="1"/>
      <c r="U8" s="1"/>
      <c r="V8" s="1"/>
      <c r="W8" s="1"/>
      <c r="X8" s="1"/>
      <c r="Y8" s="1"/>
      <c r="Z8" s="1"/>
      <c r="AA8" s="1"/>
    </row>
    <row r="9" spans="1:28" x14ac:dyDescent="0.2">
      <c r="A9" s="1"/>
      <c r="B9" s="138" t="s">
        <v>154</v>
      </c>
      <c r="C9" s="1"/>
      <c r="D9" s="266">
        <v>200</v>
      </c>
      <c r="E9" s="113" t="s">
        <v>137</v>
      </c>
      <c r="F9" s="129"/>
      <c r="G9" s="1"/>
      <c r="H9" s="1"/>
      <c r="I9" s="1"/>
      <c r="J9" s="1"/>
      <c r="K9" s="1"/>
      <c r="L9" s="1"/>
      <c r="M9" s="1"/>
      <c r="N9" s="1"/>
      <c r="O9" s="1"/>
      <c r="P9" s="1"/>
      <c r="Q9" s="1"/>
      <c r="R9" s="1"/>
      <c r="S9" s="1"/>
      <c r="T9" s="1"/>
      <c r="U9" s="1"/>
      <c r="V9" s="1"/>
      <c r="W9" s="1"/>
      <c r="X9" s="1"/>
      <c r="Y9" s="1"/>
      <c r="Z9" s="1"/>
      <c r="AA9" s="1"/>
    </row>
    <row r="10" spans="1:28" x14ac:dyDescent="0.2">
      <c r="A10" s="1"/>
      <c r="B10" s="1"/>
      <c r="C10" s="1"/>
      <c r="D10" s="1"/>
      <c r="E10" s="1"/>
      <c r="F10" s="129"/>
      <c r="G10" s="1"/>
      <c r="H10" s="1"/>
      <c r="I10" s="1"/>
      <c r="J10" s="1"/>
      <c r="K10" s="1"/>
      <c r="L10" s="1"/>
      <c r="M10" s="1"/>
      <c r="N10" s="1"/>
      <c r="O10" s="1"/>
      <c r="P10" s="1"/>
      <c r="Q10" s="1"/>
      <c r="R10" s="1"/>
      <c r="S10" s="1"/>
      <c r="T10" s="1"/>
      <c r="U10" s="1"/>
      <c r="V10" s="1"/>
      <c r="W10" s="1"/>
      <c r="X10" s="1"/>
      <c r="Y10" s="1"/>
      <c r="Z10" s="1"/>
      <c r="AA10" s="1"/>
    </row>
    <row r="11" spans="1:28" x14ac:dyDescent="0.2">
      <c r="A11" s="1"/>
      <c r="B11" s="138" t="s">
        <v>155</v>
      </c>
      <c r="C11" s="1"/>
      <c r="D11" s="112">
        <f>'6-Uplink Budget'!B31</f>
        <v>-17.946181957727681</v>
      </c>
      <c r="E11" s="109" t="s">
        <v>73</v>
      </c>
      <c r="F11" s="129"/>
      <c r="G11" s="1"/>
      <c r="H11" s="138" t="s">
        <v>167</v>
      </c>
      <c r="I11" s="1"/>
      <c r="J11" s="267">
        <v>40</v>
      </c>
      <c r="K11" s="113" t="s">
        <v>173</v>
      </c>
      <c r="L11" s="108" t="s">
        <v>174</v>
      </c>
      <c r="M11" s="1"/>
      <c r="N11" s="1"/>
      <c r="O11" s="1"/>
      <c r="P11" s="1"/>
      <c r="Q11" s="1"/>
      <c r="R11" s="1"/>
      <c r="S11" s="1"/>
      <c r="T11" s="1"/>
      <c r="U11" s="1"/>
      <c r="V11" s="1"/>
      <c r="W11" s="1"/>
      <c r="X11" s="1"/>
      <c r="Y11" s="1"/>
      <c r="Z11" s="1"/>
      <c r="AA11" s="1"/>
    </row>
    <row r="12" spans="1:28" x14ac:dyDescent="0.2">
      <c r="A12" s="1"/>
      <c r="B12" s="1"/>
      <c r="C12" s="1"/>
      <c r="D12" s="1"/>
      <c r="E12" s="1"/>
      <c r="F12" s="129"/>
      <c r="G12" s="1"/>
      <c r="H12" s="1"/>
      <c r="I12" s="1"/>
      <c r="J12" s="1"/>
      <c r="K12" s="1"/>
      <c r="L12" s="1"/>
      <c r="M12" s="1"/>
      <c r="N12" s="1"/>
      <c r="O12" s="1"/>
      <c r="P12" s="1"/>
      <c r="Q12" s="1"/>
      <c r="R12" s="1"/>
      <c r="S12" s="1"/>
      <c r="T12" s="1"/>
      <c r="U12" s="1"/>
      <c r="V12" s="1"/>
      <c r="W12" s="1"/>
      <c r="X12" s="1"/>
      <c r="Y12" s="1"/>
      <c r="Z12" s="1"/>
      <c r="AA12" s="1"/>
    </row>
    <row r="13" spans="1:28" x14ac:dyDescent="0.2">
      <c r="A13" s="1"/>
      <c r="B13" s="138" t="s">
        <v>158</v>
      </c>
      <c r="C13" s="1"/>
      <c r="D13" s="268">
        <v>100</v>
      </c>
      <c r="E13" s="113" t="s">
        <v>161</v>
      </c>
      <c r="F13" s="129"/>
      <c r="G13" s="1"/>
      <c r="H13" s="138" t="s">
        <v>168</v>
      </c>
      <c r="I13" s="1"/>
      <c r="J13" s="292" t="s">
        <v>169</v>
      </c>
      <c r="K13" s="293"/>
      <c r="L13" s="1"/>
      <c r="M13" s="108" t="s">
        <v>175</v>
      </c>
      <c r="N13" s="1"/>
      <c r="O13" s="1"/>
      <c r="P13" s="1"/>
      <c r="Q13" s="1"/>
      <c r="R13" s="1"/>
      <c r="S13" s="1"/>
      <c r="T13" s="1"/>
      <c r="U13" s="1"/>
      <c r="V13" s="1"/>
      <c r="W13" s="1"/>
      <c r="X13" s="1"/>
      <c r="Y13" s="1"/>
      <c r="Z13" s="1"/>
      <c r="AA13" s="1"/>
    </row>
    <row r="14" spans="1:28" x14ac:dyDescent="0.2">
      <c r="A14" s="1"/>
      <c r="B14" s="1"/>
      <c r="C14" s="1"/>
      <c r="D14" s="1"/>
      <c r="E14" s="1"/>
      <c r="F14" s="129"/>
      <c r="G14" s="1"/>
      <c r="H14" s="1"/>
      <c r="I14" s="1"/>
      <c r="J14" s="1"/>
      <c r="K14" s="1"/>
      <c r="L14" s="1"/>
      <c r="M14" s="1"/>
      <c r="N14" s="1"/>
      <c r="O14" s="1"/>
      <c r="P14" s="1"/>
      <c r="Q14" s="1"/>
      <c r="R14" s="1"/>
      <c r="S14" s="1"/>
      <c r="T14" s="1"/>
      <c r="U14" s="1"/>
      <c r="V14" s="1"/>
      <c r="W14" s="1"/>
      <c r="X14" s="1"/>
      <c r="Y14" s="1"/>
      <c r="Z14" s="1"/>
      <c r="AA14" s="1"/>
    </row>
    <row r="15" spans="1:28" x14ac:dyDescent="0.2">
      <c r="A15" s="1"/>
      <c r="B15" s="138" t="s">
        <v>227</v>
      </c>
      <c r="C15" s="1"/>
      <c r="D15" s="290">
        <v>0.45</v>
      </c>
      <c r="E15" s="291"/>
      <c r="F15" s="129"/>
      <c r="G15" s="1"/>
      <c r="H15" s="138" t="s">
        <v>170</v>
      </c>
      <c r="I15" s="1"/>
      <c r="J15" s="266">
        <v>3</v>
      </c>
      <c r="K15" s="113" t="s">
        <v>137</v>
      </c>
      <c r="L15" s="1"/>
      <c r="M15" s="108" t="s">
        <v>248</v>
      </c>
      <c r="N15" s="1"/>
      <c r="O15" s="1"/>
      <c r="P15" s="1"/>
      <c r="Q15" s="1"/>
      <c r="R15" s="1"/>
      <c r="S15" s="1"/>
      <c r="T15" s="1"/>
      <c r="U15" s="1"/>
      <c r="V15" s="1"/>
      <c r="W15" s="1"/>
      <c r="X15" s="1"/>
      <c r="Y15" s="1"/>
      <c r="Z15" s="1"/>
      <c r="AA15" s="1"/>
    </row>
    <row r="16" spans="1:28" x14ac:dyDescent="0.2">
      <c r="A16" s="1"/>
      <c r="B16" s="1"/>
      <c r="C16" s="1"/>
      <c r="D16" s="1"/>
      <c r="E16" s="1"/>
      <c r="F16" s="129"/>
      <c r="G16" s="1"/>
      <c r="H16" s="1"/>
      <c r="I16" s="1"/>
      <c r="J16" s="139"/>
      <c r="K16" s="1"/>
      <c r="L16" s="1"/>
      <c r="M16" s="1"/>
      <c r="N16" s="1"/>
      <c r="O16" s="1"/>
      <c r="P16" s="1"/>
      <c r="Q16" s="1"/>
      <c r="R16" s="1"/>
      <c r="S16" s="1"/>
      <c r="T16" s="1"/>
      <c r="U16" s="1"/>
      <c r="V16" s="1"/>
      <c r="W16" s="1"/>
      <c r="X16" s="1"/>
      <c r="Y16" s="1"/>
      <c r="Z16" s="1"/>
      <c r="AA16" s="1"/>
    </row>
    <row r="17" spans="1:27" x14ac:dyDescent="0.2">
      <c r="A17" s="1"/>
      <c r="B17" s="138" t="s">
        <v>156</v>
      </c>
      <c r="C17" s="1"/>
      <c r="D17" s="266">
        <v>22</v>
      </c>
      <c r="E17" s="113" t="s">
        <v>41</v>
      </c>
      <c r="F17" s="129"/>
      <c r="G17" s="1"/>
      <c r="H17" s="138" t="s">
        <v>171</v>
      </c>
      <c r="I17" s="1"/>
      <c r="J17" s="116">
        <f>J11*J15</f>
        <v>120</v>
      </c>
      <c r="K17" s="117" t="s">
        <v>137</v>
      </c>
      <c r="L17" s="1"/>
      <c r="M17" s="124" t="s">
        <v>172</v>
      </c>
      <c r="N17" s="125"/>
      <c r="O17" s="125"/>
      <c r="P17" s="126"/>
      <c r="Q17" s="1"/>
      <c r="R17" s="1"/>
      <c r="S17" s="1"/>
      <c r="T17" s="1"/>
      <c r="U17" s="1"/>
      <c r="V17" s="1"/>
      <c r="W17" s="1"/>
      <c r="X17" s="1"/>
      <c r="Y17" s="1"/>
      <c r="Z17" s="1"/>
      <c r="AA17" s="1"/>
    </row>
    <row r="18" spans="1:27" x14ac:dyDescent="0.2">
      <c r="A18" s="1"/>
      <c r="B18" s="1"/>
      <c r="C18" s="1"/>
      <c r="D18" s="1"/>
      <c r="E18" s="1"/>
      <c r="F18" s="129"/>
      <c r="G18" s="1"/>
      <c r="H18" s="1"/>
      <c r="I18" s="1"/>
      <c r="J18" s="1"/>
      <c r="K18" s="1"/>
      <c r="L18" s="1"/>
      <c r="M18" s="127" t="s">
        <v>235</v>
      </c>
      <c r="N18" s="128"/>
      <c r="O18" s="128"/>
      <c r="P18" s="129"/>
      <c r="Q18" s="1"/>
      <c r="R18" s="1"/>
      <c r="S18" s="1"/>
      <c r="T18" s="1"/>
      <c r="U18" s="1"/>
      <c r="V18" s="1"/>
      <c r="W18" s="1"/>
      <c r="X18" s="1"/>
      <c r="Y18" s="1"/>
      <c r="Z18" s="1"/>
      <c r="AA18" s="1"/>
    </row>
    <row r="19" spans="1:27" x14ac:dyDescent="0.2">
      <c r="A19" s="1"/>
      <c r="B19" s="138" t="s">
        <v>157</v>
      </c>
      <c r="C19" s="1"/>
      <c r="D19" s="122">
        <f>D13/D15</f>
        <v>222.22222222222223</v>
      </c>
      <c r="E19" s="114" t="s">
        <v>161</v>
      </c>
      <c r="F19" s="129"/>
      <c r="G19" s="1"/>
      <c r="H19" s="138" t="s">
        <v>191</v>
      </c>
      <c r="I19" s="1"/>
      <c r="J19" s="110">
        <f>D13/J11</f>
        <v>2.5</v>
      </c>
      <c r="K19" s="109" t="s">
        <v>161</v>
      </c>
      <c r="L19" s="1"/>
      <c r="M19" s="130" t="s">
        <v>176</v>
      </c>
      <c r="N19" s="131"/>
      <c r="O19" s="131"/>
      <c r="P19" s="132"/>
      <c r="Q19" s="1"/>
      <c r="R19" s="1"/>
      <c r="S19" s="1"/>
      <c r="T19" s="1"/>
      <c r="U19" s="1"/>
      <c r="V19" s="1"/>
      <c r="W19" s="1"/>
      <c r="X19" s="1"/>
      <c r="Y19" s="1"/>
      <c r="Z19" s="1"/>
      <c r="AA19" s="1"/>
    </row>
    <row r="20" spans="1:27" x14ac:dyDescent="0.2">
      <c r="A20" s="1"/>
      <c r="B20" s="1"/>
      <c r="C20" s="1"/>
      <c r="D20" s="1"/>
      <c r="E20" s="1"/>
      <c r="F20" s="129"/>
      <c r="G20" s="1"/>
      <c r="H20" s="1"/>
      <c r="I20" s="1"/>
      <c r="J20" s="1"/>
      <c r="K20" s="1"/>
      <c r="L20" s="1"/>
      <c r="M20" s="1"/>
      <c r="N20" s="1"/>
      <c r="O20" s="1"/>
      <c r="P20" s="1"/>
      <c r="Q20" s="1"/>
      <c r="R20" s="1"/>
      <c r="S20" s="1"/>
      <c r="T20" s="1"/>
      <c r="U20" s="1"/>
      <c r="V20" s="1"/>
      <c r="W20" s="1"/>
      <c r="X20" s="1"/>
      <c r="Y20" s="1"/>
      <c r="Z20" s="1"/>
      <c r="AA20" s="1"/>
    </row>
    <row r="21" spans="1:27" x14ac:dyDescent="0.2">
      <c r="A21" s="1"/>
      <c r="B21" s="138" t="s">
        <v>278</v>
      </c>
      <c r="C21" s="1"/>
      <c r="D21" s="112">
        <f>10*LOG10(D13)-('6-Uplink Budget'!B20+'6-Uplink Budget'!B22+'6-Uplink Budget'!B23+'6-Uplink Budget'!B24)</f>
        <v>166.6597862835176</v>
      </c>
      <c r="E21" s="109" t="s">
        <v>41</v>
      </c>
      <c r="F21" s="129"/>
      <c r="G21" s="1"/>
      <c r="H21" s="138" t="s">
        <v>233</v>
      </c>
      <c r="I21" s="1"/>
      <c r="J21" s="112">
        <f>(D9-J17)/J11</f>
        <v>2</v>
      </c>
      <c r="K21" s="109" t="s">
        <v>137</v>
      </c>
      <c r="L21" s="1"/>
      <c r="M21" s="124" t="s">
        <v>192</v>
      </c>
      <c r="N21" s="125"/>
      <c r="O21" s="126"/>
      <c r="P21" s="128"/>
      <c r="Q21" s="1"/>
      <c r="R21" s="1"/>
      <c r="S21" s="1"/>
      <c r="T21" s="1"/>
      <c r="U21" s="1"/>
      <c r="V21" s="1"/>
      <c r="W21" s="1"/>
      <c r="X21" s="1"/>
      <c r="Y21" s="1"/>
      <c r="Z21" s="1"/>
      <c r="AA21" s="1"/>
    </row>
    <row r="22" spans="1:27" x14ac:dyDescent="0.2">
      <c r="A22" s="1"/>
      <c r="B22" s="1"/>
      <c r="C22" s="1"/>
      <c r="D22" s="1"/>
      <c r="E22" s="1"/>
      <c r="F22" s="129"/>
      <c r="G22" s="1"/>
      <c r="H22" s="1"/>
      <c r="I22" s="1"/>
      <c r="J22" s="1"/>
      <c r="K22" s="1"/>
      <c r="L22" s="1"/>
      <c r="M22" s="127" t="s">
        <v>226</v>
      </c>
      <c r="N22" s="128"/>
      <c r="O22" s="129"/>
      <c r="P22" s="128"/>
      <c r="Q22" s="1"/>
      <c r="R22" s="1"/>
      <c r="S22" s="1"/>
      <c r="T22" s="1"/>
      <c r="U22" s="1"/>
      <c r="V22" s="1"/>
      <c r="W22" s="1"/>
      <c r="X22" s="1"/>
      <c r="Y22" s="1"/>
      <c r="Z22" s="1"/>
      <c r="AA22" s="1"/>
    </row>
    <row r="23" spans="1:27" x14ac:dyDescent="0.2">
      <c r="A23" s="1"/>
      <c r="B23" s="1"/>
      <c r="C23" s="1"/>
      <c r="D23" s="1"/>
      <c r="E23" s="1"/>
      <c r="F23" s="129"/>
      <c r="G23" s="1"/>
      <c r="H23" s="1"/>
      <c r="I23" s="1"/>
      <c r="J23" s="1"/>
      <c r="K23" s="1"/>
      <c r="L23" s="1"/>
      <c r="M23" s="130" t="s">
        <v>225</v>
      </c>
      <c r="N23" s="131"/>
      <c r="O23" s="132"/>
      <c r="P23" s="128"/>
      <c r="Q23" s="1"/>
      <c r="R23" s="1"/>
      <c r="S23" s="1"/>
      <c r="T23" s="1"/>
      <c r="U23" s="1"/>
      <c r="V23" s="1"/>
      <c r="W23" s="1"/>
      <c r="X23" s="1"/>
      <c r="Y23" s="1"/>
      <c r="Z23" s="1"/>
      <c r="AA23" s="1"/>
    </row>
    <row r="24" spans="1:27" x14ac:dyDescent="0.2">
      <c r="A24" s="1"/>
      <c r="B24" s="1"/>
      <c r="C24" s="1"/>
      <c r="D24" s="1"/>
      <c r="E24" s="1"/>
      <c r="F24" s="129"/>
      <c r="G24" s="1"/>
      <c r="H24" s="1"/>
      <c r="I24" s="1"/>
      <c r="J24" s="1"/>
      <c r="K24" s="1"/>
      <c r="L24" s="1"/>
      <c r="M24" s="1"/>
      <c r="N24" s="1"/>
      <c r="O24" s="1"/>
      <c r="P24" s="1"/>
      <c r="Q24" s="1"/>
      <c r="R24" s="1"/>
      <c r="S24" s="1"/>
      <c r="T24" s="1"/>
      <c r="U24" s="1"/>
      <c r="V24" s="1"/>
      <c r="W24" s="1"/>
      <c r="X24" s="1"/>
      <c r="Y24" s="1"/>
      <c r="Z24" s="1"/>
      <c r="AA24" s="1"/>
    </row>
    <row r="25" spans="1:27" x14ac:dyDescent="0.2">
      <c r="A25" s="1"/>
      <c r="B25" s="1"/>
      <c r="C25" s="1"/>
      <c r="D25" s="166"/>
      <c r="E25" s="1"/>
      <c r="F25" s="129"/>
      <c r="G25" s="1"/>
      <c r="H25" s="138" t="s">
        <v>203</v>
      </c>
      <c r="I25" s="1"/>
      <c r="J25" s="110">
        <f>D9/J11</f>
        <v>5</v>
      </c>
      <c r="K25" s="109" t="s">
        <v>137</v>
      </c>
      <c r="L25" s="1"/>
      <c r="M25" s="1"/>
      <c r="N25" s="1"/>
      <c r="O25" s="1"/>
      <c r="P25" s="1"/>
      <c r="Q25" s="1"/>
      <c r="R25" s="1"/>
      <c r="S25" s="1"/>
      <c r="T25" s="1"/>
      <c r="U25" s="1"/>
      <c r="V25" s="1"/>
      <c r="W25" s="1"/>
      <c r="X25" s="1"/>
      <c r="Y25" s="1"/>
      <c r="Z25" s="1"/>
      <c r="AA25" s="1"/>
    </row>
    <row r="26" spans="1:27" x14ac:dyDescent="0.2">
      <c r="A26" s="1"/>
      <c r="B26" s="1"/>
      <c r="C26" s="1"/>
      <c r="D26" s="1"/>
      <c r="E26" s="1"/>
      <c r="F26" s="129"/>
      <c r="G26" s="1"/>
      <c r="H26" s="1"/>
      <c r="I26" s="1"/>
      <c r="J26" s="1"/>
      <c r="K26" s="1"/>
      <c r="L26" s="1"/>
      <c r="M26" s="1"/>
      <c r="N26" s="1"/>
      <c r="O26" s="1"/>
      <c r="P26" s="1"/>
      <c r="Q26" s="1"/>
      <c r="R26" s="1"/>
      <c r="S26" s="1"/>
      <c r="T26" s="1"/>
      <c r="U26" s="1"/>
      <c r="V26" s="1"/>
      <c r="W26" s="1"/>
      <c r="X26" s="1"/>
      <c r="Y26" s="1"/>
      <c r="Z26" s="1"/>
      <c r="AA26" s="1"/>
    </row>
    <row r="27" spans="1:27" x14ac:dyDescent="0.2">
      <c r="A27" s="1"/>
      <c r="B27" s="108" t="s">
        <v>3</v>
      </c>
      <c r="C27" s="1"/>
      <c r="D27" s="1"/>
      <c r="E27" s="1"/>
      <c r="F27" s="129"/>
      <c r="G27" s="1"/>
      <c r="H27" s="1"/>
      <c r="I27" s="1"/>
      <c r="J27" s="1"/>
      <c r="K27" s="1"/>
      <c r="L27" s="1"/>
      <c r="M27" s="1"/>
      <c r="N27" s="1"/>
      <c r="O27" s="1"/>
      <c r="P27" s="1"/>
      <c r="Q27" s="1"/>
      <c r="R27" s="1"/>
      <c r="S27" s="1"/>
      <c r="T27" s="1"/>
      <c r="U27" s="1"/>
      <c r="V27" s="1"/>
      <c r="W27" s="1"/>
      <c r="X27" s="1"/>
      <c r="Y27" s="1"/>
      <c r="Z27" s="1"/>
      <c r="AA27" s="1"/>
    </row>
    <row r="28" spans="1:27" x14ac:dyDescent="0.2">
      <c r="A28" s="1"/>
      <c r="B28" s="1"/>
      <c r="C28" s="1"/>
      <c r="D28" s="1"/>
      <c r="E28" s="1"/>
      <c r="F28" s="129"/>
      <c r="G28" s="1"/>
      <c r="H28" s="1"/>
      <c r="I28" s="1"/>
      <c r="J28" s="1"/>
      <c r="K28" s="1"/>
      <c r="L28" s="1"/>
      <c r="M28" s="1"/>
      <c r="N28" s="1"/>
      <c r="O28" s="1"/>
      <c r="P28" s="1"/>
      <c r="Q28" s="1"/>
      <c r="R28" s="1"/>
      <c r="S28" s="1"/>
      <c r="T28" s="1"/>
      <c r="U28" s="1"/>
      <c r="V28" s="1"/>
      <c r="W28" s="1"/>
      <c r="X28" s="1"/>
      <c r="Y28" s="1"/>
      <c r="Z28" s="1"/>
      <c r="AA28" s="1"/>
    </row>
    <row r="29" spans="1:27" x14ac:dyDescent="0.2">
      <c r="A29" s="1"/>
      <c r="B29" s="1"/>
      <c r="C29" s="1"/>
      <c r="D29" s="1"/>
      <c r="E29" s="1"/>
      <c r="F29" s="129"/>
      <c r="G29" s="1"/>
      <c r="H29" s="1"/>
      <c r="I29" s="1"/>
      <c r="J29" s="1"/>
      <c r="K29" s="1"/>
      <c r="L29" s="1"/>
      <c r="M29" s="1"/>
      <c r="N29" s="1"/>
      <c r="O29" s="1"/>
      <c r="P29" s="1"/>
      <c r="Q29" s="1"/>
      <c r="R29" s="1"/>
      <c r="S29" s="1"/>
      <c r="T29" s="1"/>
      <c r="U29" s="1"/>
      <c r="V29" s="1"/>
      <c r="W29" s="1"/>
      <c r="X29" s="1"/>
      <c r="Y29" s="1"/>
      <c r="Z29" s="1"/>
      <c r="AA29" s="1"/>
    </row>
    <row r="30" spans="1:27" ht="13.5" thickBot="1" x14ac:dyDescent="0.25">
      <c r="A30" s="128"/>
      <c r="B30" s="128"/>
      <c r="C30" s="128"/>
      <c r="D30" s="131"/>
      <c r="E30" s="131"/>
      <c r="F30" s="132"/>
      <c r="G30" s="131"/>
      <c r="H30" s="131"/>
      <c r="I30" s="131"/>
      <c r="J30" s="131"/>
      <c r="K30" s="131"/>
      <c r="L30" s="131"/>
      <c r="M30" s="131"/>
      <c r="N30" s="131"/>
      <c r="O30" s="131"/>
      <c r="P30" s="131"/>
      <c r="Q30" s="131"/>
      <c r="R30" s="131"/>
      <c r="S30" s="131"/>
      <c r="T30" s="131"/>
      <c r="U30" s="131"/>
      <c r="V30" s="131"/>
      <c r="W30" s="131"/>
      <c r="X30" s="131"/>
      <c r="Y30" s="131"/>
      <c r="Z30" s="131"/>
      <c r="AA30" s="131"/>
    </row>
    <row r="31" spans="1:27" ht="16.5" thickBot="1" x14ac:dyDescent="0.3">
      <c r="A31" s="226" t="s">
        <v>290</v>
      </c>
      <c r="B31" s="228"/>
      <c r="C31" s="206" t="s">
        <v>241</v>
      </c>
      <c r="D31" s="1"/>
      <c r="E31" s="1"/>
      <c r="F31" s="128"/>
      <c r="G31" s="1"/>
      <c r="H31" s="1"/>
      <c r="I31" s="1"/>
      <c r="J31" s="1"/>
      <c r="K31" s="1"/>
      <c r="L31" s="1"/>
      <c r="M31" s="1"/>
      <c r="N31" s="1"/>
      <c r="O31" s="1"/>
      <c r="P31" s="1"/>
      <c r="Q31" s="1"/>
      <c r="R31" s="1"/>
      <c r="S31" s="1"/>
      <c r="T31" s="1"/>
      <c r="U31" s="1"/>
      <c r="V31" s="1"/>
      <c r="W31" s="1"/>
      <c r="X31" s="1"/>
      <c r="Y31" s="1"/>
      <c r="Z31" s="1"/>
      <c r="AA31" s="1"/>
    </row>
    <row r="32" spans="1:27" ht="15.75" x14ac:dyDescent="0.25">
      <c r="A32" s="250"/>
      <c r="B32" s="250"/>
      <c r="C32" s="251"/>
      <c r="D32" s="1"/>
      <c r="E32" s="1"/>
      <c r="F32" s="128"/>
      <c r="G32" s="1"/>
      <c r="H32" s="1"/>
      <c r="I32" s="1"/>
      <c r="J32" s="1"/>
      <c r="K32" s="1"/>
      <c r="L32" s="1"/>
      <c r="M32" s="1"/>
      <c r="N32" s="1"/>
      <c r="O32" s="1"/>
      <c r="P32" s="1"/>
      <c r="Q32" s="1"/>
      <c r="R32" s="1"/>
      <c r="S32" s="1"/>
      <c r="T32" s="1"/>
      <c r="U32" s="1"/>
      <c r="V32" s="1"/>
      <c r="W32" s="1"/>
      <c r="X32" s="1"/>
      <c r="Y32" s="1"/>
      <c r="Z32" s="1"/>
      <c r="AA32" s="1"/>
    </row>
    <row r="33" spans="1:27" ht="13.5" thickBot="1" x14ac:dyDescent="0.25">
      <c r="A33" s="1"/>
      <c r="B33" s="1"/>
      <c r="C33" s="1"/>
      <c r="D33" s="1"/>
      <c r="E33" s="1"/>
      <c r="F33" s="128"/>
      <c r="G33" s="1"/>
      <c r="H33" s="1"/>
      <c r="I33" s="1"/>
      <c r="J33" s="1"/>
      <c r="K33" s="1"/>
      <c r="L33" s="1"/>
      <c r="M33" s="1"/>
      <c r="N33" s="1"/>
      <c r="O33" s="1"/>
      <c r="P33" s="1"/>
      <c r="Q33" s="1"/>
      <c r="R33" s="1"/>
      <c r="S33" s="1"/>
      <c r="T33" s="1"/>
      <c r="U33" s="1"/>
      <c r="V33" s="1"/>
      <c r="W33" s="1"/>
      <c r="X33" s="1"/>
      <c r="Y33" s="1"/>
      <c r="Z33" s="1"/>
      <c r="AA33" s="1"/>
    </row>
    <row r="34" spans="1:27" ht="13.5" thickBot="1" x14ac:dyDescent="0.25">
      <c r="A34" s="1"/>
      <c r="B34" s="1"/>
      <c r="C34" s="230">
        <f>L84</f>
        <v>-17.946181957727681</v>
      </c>
      <c r="D34" s="1"/>
      <c r="E34" s="1"/>
      <c r="F34" s="128"/>
      <c r="G34" s="1"/>
      <c r="H34" s="1"/>
      <c r="I34" s="1"/>
      <c r="J34" s="1"/>
      <c r="K34" s="1"/>
      <c r="L34" s="1"/>
      <c r="M34" s="1"/>
      <c r="N34" s="1"/>
      <c r="O34" s="1"/>
      <c r="P34" s="237"/>
      <c r="Q34" s="1"/>
      <c r="R34" s="1"/>
      <c r="S34" s="1"/>
      <c r="T34" s="1"/>
      <c r="U34" s="1"/>
      <c r="V34" s="1"/>
      <c r="W34" s="1"/>
      <c r="X34" s="1"/>
      <c r="Y34" s="1"/>
      <c r="Z34" s="1"/>
      <c r="AA34" s="1"/>
    </row>
    <row r="35" spans="1:27" ht="13.5" thickBot="1" x14ac:dyDescent="0.25">
      <c r="A35" s="1"/>
      <c r="B35" s="193"/>
      <c r="C35" s="128"/>
      <c r="D35" s="1"/>
      <c r="E35" s="1"/>
      <c r="F35" s="128"/>
      <c r="G35" s="1"/>
      <c r="H35" s="1"/>
      <c r="I35" s="1"/>
      <c r="J35" s="1"/>
      <c r="K35" s="1"/>
      <c r="L35" s="1"/>
      <c r="M35" s="1"/>
      <c r="N35" s="1"/>
      <c r="O35" s="1"/>
      <c r="P35" s="1"/>
      <c r="Q35" s="1"/>
      <c r="R35" s="1"/>
      <c r="S35" s="1"/>
      <c r="T35" s="1"/>
      <c r="U35" s="1"/>
      <c r="V35" s="1"/>
      <c r="W35" s="1"/>
      <c r="X35" s="1"/>
      <c r="Y35" s="1"/>
      <c r="Z35" s="1"/>
      <c r="AA35" s="1"/>
    </row>
    <row r="36" spans="1:27" ht="13.5" thickBot="1" x14ac:dyDescent="0.25">
      <c r="A36" s="1"/>
      <c r="B36" s="1"/>
      <c r="C36" s="1"/>
      <c r="D36" s="1"/>
      <c r="E36" s="1"/>
      <c r="F36" s="128"/>
      <c r="G36" s="1"/>
      <c r="H36" s="1"/>
      <c r="I36" s="1"/>
      <c r="J36" s="1"/>
      <c r="K36" s="1"/>
      <c r="L36" s="1"/>
      <c r="M36" s="1"/>
      <c r="N36" s="1"/>
      <c r="O36" s="229">
        <f>L81</f>
        <v>25.3</v>
      </c>
      <c r="P36" s="1"/>
      <c r="Q36" s="1"/>
      <c r="R36" s="1"/>
      <c r="S36" s="1"/>
      <c r="T36" s="1"/>
      <c r="U36" s="1"/>
      <c r="V36" s="1"/>
      <c r="W36" s="1"/>
      <c r="X36" s="1"/>
      <c r="Y36" s="1"/>
      <c r="Z36" s="1"/>
      <c r="AA36" s="1"/>
    </row>
    <row r="37" spans="1:27" x14ac:dyDescent="0.2">
      <c r="A37" s="1"/>
      <c r="B37" s="1"/>
      <c r="C37" s="1"/>
      <c r="D37" s="1"/>
      <c r="E37" s="1"/>
      <c r="F37" s="128"/>
      <c r="G37" s="1"/>
      <c r="H37" s="207">
        <f>'8-Transponder Link Results'!D27</f>
        <v>166.6597862835176</v>
      </c>
      <c r="I37" s="1"/>
      <c r="J37" s="1"/>
      <c r="K37" s="1"/>
      <c r="L37" s="1"/>
      <c r="M37" s="1"/>
      <c r="N37" s="1"/>
      <c r="O37" s="1"/>
      <c r="P37" s="1"/>
      <c r="Q37" s="1"/>
      <c r="R37" s="1"/>
      <c r="S37" s="1"/>
      <c r="T37" s="1"/>
      <c r="U37" s="1"/>
      <c r="V37" s="1"/>
      <c r="W37" s="1"/>
      <c r="X37" s="1"/>
      <c r="Y37" s="1"/>
      <c r="Z37" s="1"/>
      <c r="AA37" s="1"/>
    </row>
    <row r="38" spans="1:27" x14ac:dyDescent="0.2">
      <c r="A38" s="1"/>
      <c r="B38" s="1"/>
      <c r="C38" s="1"/>
      <c r="D38" s="1"/>
      <c r="E38" s="1"/>
      <c r="F38" s="128"/>
      <c r="G38" s="1"/>
      <c r="H38" s="1"/>
      <c r="I38" s="1"/>
      <c r="J38" s="1"/>
      <c r="K38" s="1"/>
      <c r="L38" s="1"/>
      <c r="M38" s="1"/>
      <c r="N38" s="1"/>
      <c r="O38" s="1"/>
      <c r="P38" s="1"/>
      <c r="Q38" s="1"/>
      <c r="R38" s="1"/>
      <c r="S38" s="1"/>
      <c r="T38" s="1"/>
      <c r="U38" s="1"/>
      <c r="V38" s="1"/>
      <c r="W38" s="1"/>
      <c r="X38" s="1"/>
      <c r="Y38" s="1"/>
      <c r="Z38" s="1"/>
      <c r="AA38" s="1"/>
    </row>
    <row r="39" spans="1:27" x14ac:dyDescent="0.2">
      <c r="A39" s="1"/>
      <c r="B39" s="1"/>
      <c r="C39" s="1"/>
      <c r="D39" s="1"/>
      <c r="E39" s="1"/>
      <c r="F39" s="128"/>
      <c r="G39" s="1"/>
      <c r="H39" s="1"/>
      <c r="I39" s="1"/>
      <c r="J39" s="1"/>
      <c r="K39" s="1"/>
      <c r="L39" s="1"/>
      <c r="M39" s="1"/>
      <c r="N39" s="1"/>
      <c r="O39" s="1"/>
      <c r="P39" s="1"/>
      <c r="Q39" s="1"/>
      <c r="R39" s="1"/>
      <c r="S39" s="1"/>
      <c r="T39" s="1"/>
      <c r="U39" s="1"/>
      <c r="V39" s="1"/>
      <c r="W39" s="1"/>
      <c r="X39" s="1"/>
      <c r="Y39" s="1"/>
      <c r="Z39" s="1"/>
      <c r="AA39" s="1"/>
    </row>
    <row r="40" spans="1:27" x14ac:dyDescent="0.2">
      <c r="A40" s="1"/>
      <c r="B40" s="1"/>
      <c r="C40" s="1"/>
      <c r="D40" s="1"/>
      <c r="E40" s="1"/>
      <c r="F40" s="128"/>
      <c r="G40" s="1"/>
      <c r="H40" s="1"/>
      <c r="I40" s="1"/>
      <c r="J40" s="1"/>
      <c r="K40" s="1"/>
      <c r="L40" s="1"/>
      <c r="M40" s="1"/>
      <c r="N40" s="1"/>
      <c r="O40" s="1"/>
      <c r="P40" s="1"/>
      <c r="Q40" s="1"/>
      <c r="R40" s="1"/>
      <c r="S40" s="1"/>
      <c r="T40" s="1"/>
      <c r="U40" s="1"/>
      <c r="V40" s="1"/>
      <c r="W40" s="1"/>
      <c r="X40" s="1"/>
      <c r="Y40" s="1"/>
      <c r="Z40" s="1"/>
      <c r="AA40" s="1"/>
    </row>
    <row r="41" spans="1:27" x14ac:dyDescent="0.2">
      <c r="A41" s="1"/>
      <c r="B41" s="1"/>
      <c r="C41" s="1"/>
      <c r="D41" s="1"/>
      <c r="E41" s="1"/>
      <c r="F41" s="128"/>
      <c r="G41" s="1"/>
      <c r="H41" s="1"/>
      <c r="I41" s="1"/>
      <c r="J41" s="1"/>
      <c r="K41" s="1"/>
      <c r="L41" s="1"/>
      <c r="M41" s="1"/>
      <c r="N41" s="1"/>
      <c r="O41" s="1"/>
      <c r="P41" s="1"/>
      <c r="Q41" s="1"/>
      <c r="R41" s="1"/>
      <c r="S41" s="1"/>
      <c r="T41" s="1"/>
      <c r="U41" s="1"/>
      <c r="V41" s="1"/>
      <c r="W41" s="1"/>
      <c r="X41" s="1"/>
      <c r="Y41" s="1"/>
      <c r="Z41" s="1"/>
      <c r="AA41" s="1"/>
    </row>
    <row r="42" spans="1:27" x14ac:dyDescent="0.2">
      <c r="A42" s="1"/>
      <c r="B42" s="1"/>
      <c r="C42" s="1"/>
      <c r="D42" s="1"/>
      <c r="E42" s="1"/>
      <c r="F42" s="128"/>
      <c r="G42" s="1"/>
      <c r="H42" s="1"/>
      <c r="I42" s="1"/>
      <c r="J42" s="1"/>
      <c r="K42" s="1"/>
      <c r="L42" s="1"/>
      <c r="M42" s="1"/>
      <c r="N42" s="1"/>
      <c r="O42" s="1"/>
      <c r="P42" s="1"/>
      <c r="Q42" s="1"/>
      <c r="R42" s="1"/>
      <c r="S42" s="1"/>
      <c r="T42" s="1"/>
      <c r="U42" s="1"/>
      <c r="V42" s="1"/>
      <c r="W42" s="1"/>
      <c r="X42" s="1"/>
      <c r="Y42" s="1"/>
      <c r="Z42" s="1"/>
      <c r="AA42" s="1"/>
    </row>
    <row r="43" spans="1:27" x14ac:dyDescent="0.2">
      <c r="A43" s="1"/>
      <c r="B43" s="1"/>
      <c r="C43" s="1"/>
      <c r="D43" s="1"/>
      <c r="E43" s="1"/>
      <c r="F43" s="128"/>
      <c r="G43" s="1"/>
      <c r="H43" s="1"/>
      <c r="I43" s="1"/>
      <c r="J43" s="1"/>
      <c r="K43" s="1"/>
      <c r="L43" s="1"/>
      <c r="M43" s="1"/>
      <c r="N43" s="1"/>
      <c r="O43" s="1"/>
      <c r="P43" s="1"/>
      <c r="Q43" s="1"/>
      <c r="R43" s="1"/>
      <c r="S43" s="1"/>
      <c r="T43" s="1"/>
      <c r="U43" s="1"/>
      <c r="V43" s="1"/>
      <c r="W43" s="1"/>
      <c r="X43" s="1"/>
      <c r="Y43" s="1"/>
      <c r="Z43" s="1"/>
      <c r="AA43" s="1"/>
    </row>
    <row r="44" spans="1:27" x14ac:dyDescent="0.2">
      <c r="A44" s="1"/>
      <c r="B44" s="1"/>
      <c r="C44" s="1"/>
      <c r="D44" s="1"/>
      <c r="E44" s="1"/>
      <c r="F44" s="128"/>
      <c r="G44" s="1"/>
      <c r="H44" s="1"/>
      <c r="I44" s="1"/>
      <c r="J44" s="1"/>
      <c r="K44" s="1"/>
      <c r="L44" s="1"/>
      <c r="M44" s="1"/>
      <c r="N44" s="1"/>
      <c r="O44" s="1"/>
      <c r="P44" s="1"/>
      <c r="Q44" s="1"/>
      <c r="R44" s="1"/>
      <c r="S44" s="1"/>
      <c r="T44" s="1"/>
      <c r="U44" s="1"/>
      <c r="V44" s="1"/>
      <c r="W44" s="1"/>
      <c r="X44" s="1"/>
      <c r="Y44" s="1"/>
      <c r="Z44" s="1"/>
      <c r="AA44" s="1"/>
    </row>
    <row r="45" spans="1:27" x14ac:dyDescent="0.2">
      <c r="A45" s="1"/>
      <c r="B45" s="1"/>
      <c r="C45" s="1"/>
      <c r="D45" s="1"/>
      <c r="E45" s="1"/>
      <c r="F45" s="128"/>
      <c r="G45" s="1"/>
      <c r="H45" s="1"/>
      <c r="I45" s="1"/>
      <c r="J45" s="1"/>
      <c r="K45" s="1"/>
      <c r="L45" s="1"/>
      <c r="M45" s="1"/>
      <c r="N45" s="1"/>
      <c r="O45" s="1"/>
      <c r="P45" s="1"/>
      <c r="Q45" s="1"/>
      <c r="R45" s="1"/>
      <c r="S45" s="1"/>
      <c r="T45" s="1"/>
      <c r="U45" s="1"/>
      <c r="V45" s="1"/>
      <c r="W45" s="1"/>
      <c r="X45" s="1"/>
      <c r="Y45" s="1"/>
      <c r="Z45" s="1"/>
      <c r="AA45" s="1"/>
    </row>
    <row r="46" spans="1:27" x14ac:dyDescent="0.2">
      <c r="A46" s="1"/>
      <c r="B46" s="1"/>
      <c r="C46" s="1"/>
      <c r="D46" s="1"/>
      <c r="E46" s="1"/>
      <c r="F46" s="128"/>
      <c r="G46" s="1"/>
      <c r="H46" s="1"/>
      <c r="I46" s="1"/>
      <c r="J46" s="1"/>
      <c r="K46" s="1"/>
      <c r="L46" s="1"/>
      <c r="M46" s="1"/>
      <c r="N46" s="1"/>
      <c r="O46" s="1"/>
      <c r="P46" s="1"/>
      <c r="Q46" s="1"/>
      <c r="R46" s="1"/>
      <c r="S46" s="1"/>
      <c r="T46" s="1"/>
      <c r="U46" s="1"/>
      <c r="V46" s="1"/>
      <c r="W46" s="1"/>
      <c r="X46" s="1"/>
      <c r="Y46" s="1"/>
      <c r="Z46" s="1"/>
      <c r="AA46" s="1"/>
    </row>
    <row r="47" spans="1:27" x14ac:dyDescent="0.2">
      <c r="A47" s="1"/>
      <c r="B47" s="1"/>
      <c r="C47" s="1"/>
      <c r="D47" s="1"/>
      <c r="E47" s="1"/>
      <c r="F47" s="128"/>
      <c r="G47" s="1"/>
      <c r="H47" s="1"/>
      <c r="I47" s="1"/>
      <c r="J47" s="1"/>
      <c r="K47" s="1"/>
      <c r="L47" s="1"/>
      <c r="M47" s="1"/>
      <c r="N47" s="1"/>
      <c r="O47" s="1"/>
      <c r="P47" s="1"/>
      <c r="Q47" s="1"/>
      <c r="R47" s="1"/>
      <c r="S47" s="1"/>
      <c r="T47" s="1"/>
      <c r="U47" s="1"/>
      <c r="V47" s="1"/>
      <c r="W47" s="1"/>
      <c r="X47" s="1"/>
      <c r="Y47" s="1"/>
      <c r="Z47" s="1"/>
      <c r="AA47" s="1"/>
    </row>
    <row r="48" spans="1:27" x14ac:dyDescent="0.2">
      <c r="A48" s="1"/>
      <c r="B48" s="1"/>
      <c r="C48" s="1"/>
      <c r="D48" s="1"/>
      <c r="E48" s="1"/>
      <c r="F48" s="128"/>
      <c r="G48" s="1"/>
      <c r="H48" s="1"/>
      <c r="I48" s="1"/>
      <c r="J48" s="1"/>
      <c r="K48" s="1"/>
      <c r="L48" s="1"/>
      <c r="M48" s="1"/>
      <c r="N48" s="1"/>
      <c r="O48" s="1"/>
      <c r="P48" s="1"/>
      <c r="Q48" s="1"/>
      <c r="R48" s="1"/>
      <c r="S48" s="1"/>
      <c r="T48" s="1"/>
      <c r="U48" s="1"/>
      <c r="V48" s="1"/>
      <c r="W48" s="1"/>
      <c r="X48" s="1"/>
      <c r="Y48" s="1"/>
      <c r="Z48" s="1"/>
      <c r="AA48" s="1"/>
    </row>
    <row r="49" spans="1:27" x14ac:dyDescent="0.2">
      <c r="A49" s="1"/>
      <c r="B49" s="1"/>
      <c r="C49" s="1"/>
      <c r="D49" s="1"/>
      <c r="E49" s="1"/>
      <c r="F49" s="128"/>
      <c r="G49" s="1"/>
      <c r="H49" s="1"/>
      <c r="I49" s="1"/>
      <c r="J49" s="1"/>
      <c r="K49" s="1"/>
      <c r="L49" s="1"/>
      <c r="M49" s="1"/>
      <c r="N49" s="1"/>
      <c r="O49" s="1"/>
      <c r="P49" s="1"/>
      <c r="Q49" s="1"/>
      <c r="R49" s="1"/>
      <c r="S49" s="1"/>
      <c r="T49" s="1"/>
      <c r="U49" s="1"/>
      <c r="V49" s="1"/>
      <c r="W49" s="1"/>
      <c r="X49" s="1"/>
      <c r="Y49" s="1"/>
      <c r="Z49" s="1"/>
      <c r="AA49" s="1"/>
    </row>
    <row r="50" spans="1:27" x14ac:dyDescent="0.2">
      <c r="A50" s="1"/>
      <c r="B50" s="1"/>
      <c r="C50" s="1"/>
      <c r="D50" s="1"/>
      <c r="E50" s="1"/>
      <c r="F50" s="128"/>
      <c r="G50" s="1"/>
      <c r="H50" s="1"/>
      <c r="I50" s="1"/>
      <c r="J50" s="1"/>
      <c r="K50" s="1"/>
      <c r="L50" s="1"/>
      <c r="M50" s="212" t="s">
        <v>3</v>
      </c>
      <c r="N50" s="1"/>
      <c r="O50" s="1"/>
      <c r="P50" s="1"/>
      <c r="Q50" s="1"/>
      <c r="R50" s="1"/>
      <c r="S50" s="1"/>
      <c r="T50" s="1"/>
      <c r="U50" s="1"/>
      <c r="V50" s="1"/>
      <c r="W50" s="1"/>
      <c r="X50" s="1"/>
      <c r="Y50" s="1"/>
      <c r="Z50" s="1"/>
      <c r="AA50" s="1"/>
    </row>
    <row r="51" spans="1:27" x14ac:dyDescent="0.2">
      <c r="A51" s="1"/>
      <c r="B51" s="1"/>
      <c r="C51" s="1"/>
      <c r="D51" s="1"/>
      <c r="E51" s="1"/>
      <c r="F51" s="128"/>
      <c r="G51" s="1"/>
      <c r="H51" s="1"/>
      <c r="I51" s="1"/>
      <c r="J51" s="1"/>
      <c r="K51" s="1"/>
      <c r="L51" s="1"/>
      <c r="M51" s="1"/>
      <c r="N51" s="1"/>
      <c r="O51" s="1"/>
      <c r="P51" s="1"/>
      <c r="Q51" s="1"/>
      <c r="R51" s="1"/>
      <c r="S51" s="1"/>
      <c r="T51" s="1"/>
      <c r="U51" s="1"/>
      <c r="V51" s="1"/>
      <c r="W51" s="1"/>
      <c r="X51" s="1"/>
      <c r="Y51" s="1"/>
      <c r="Z51" s="1"/>
      <c r="AA51" s="1"/>
    </row>
    <row r="52" spans="1:27" x14ac:dyDescent="0.2">
      <c r="A52" s="1"/>
      <c r="B52" s="1"/>
      <c r="C52" s="1"/>
      <c r="D52" s="1"/>
      <c r="E52" s="1"/>
      <c r="F52" s="128"/>
      <c r="G52" s="1"/>
      <c r="H52" s="1"/>
      <c r="I52" s="1"/>
      <c r="J52" s="1"/>
      <c r="K52" s="1"/>
      <c r="L52" s="1"/>
      <c r="M52" s="1"/>
      <c r="N52" s="1"/>
      <c r="O52" s="1"/>
      <c r="P52" s="1"/>
      <c r="Q52" s="1"/>
      <c r="R52" s="1"/>
      <c r="S52" s="1"/>
      <c r="T52" s="1"/>
      <c r="U52" s="1"/>
      <c r="V52" s="1"/>
      <c r="W52" s="1"/>
      <c r="X52" s="1"/>
      <c r="Y52" s="1"/>
      <c r="Z52" s="1"/>
      <c r="AA52" s="1"/>
    </row>
    <row r="53" spans="1:27" x14ac:dyDescent="0.2">
      <c r="A53" s="1"/>
      <c r="B53" s="1"/>
      <c r="C53" s="1"/>
      <c r="D53" s="1"/>
      <c r="E53" s="1"/>
      <c r="F53" s="128"/>
      <c r="G53" s="1"/>
      <c r="H53" s="1"/>
      <c r="I53" s="1"/>
      <c r="J53" s="1"/>
      <c r="K53" s="1"/>
      <c r="L53" s="1"/>
      <c r="M53" s="1"/>
      <c r="N53" s="1"/>
      <c r="O53" s="1"/>
      <c r="P53" s="1"/>
      <c r="Q53" s="1"/>
      <c r="R53" s="1"/>
      <c r="S53" s="1"/>
      <c r="T53" s="1"/>
      <c r="U53" s="1"/>
      <c r="V53" s="1"/>
      <c r="W53" s="1"/>
      <c r="X53" s="1"/>
      <c r="Y53" s="1"/>
      <c r="Z53" s="1"/>
      <c r="AA53" s="1"/>
    </row>
    <row r="54" spans="1:27" x14ac:dyDescent="0.2">
      <c r="A54" s="1"/>
      <c r="B54" s="1"/>
      <c r="C54" s="1"/>
      <c r="D54" s="1"/>
      <c r="E54" s="1"/>
      <c r="F54" s="128"/>
      <c r="G54" s="1"/>
      <c r="H54" s="1"/>
      <c r="I54" s="1"/>
      <c r="J54" s="1"/>
      <c r="K54" s="1"/>
      <c r="L54" s="1"/>
      <c r="M54" s="1"/>
      <c r="N54" s="1"/>
      <c r="O54" s="1"/>
      <c r="P54" s="1"/>
      <c r="Q54" s="1"/>
      <c r="R54" s="1"/>
      <c r="S54" s="1"/>
      <c r="T54" s="1"/>
      <c r="U54" s="1"/>
      <c r="V54" s="1"/>
      <c r="W54" s="1"/>
      <c r="X54" s="1"/>
      <c r="Y54" s="1"/>
      <c r="Z54" s="1"/>
      <c r="AA54" s="1"/>
    </row>
    <row r="55" spans="1:27" x14ac:dyDescent="0.2">
      <c r="A55" s="1"/>
      <c r="B55" s="1"/>
      <c r="C55" s="1"/>
      <c r="D55" s="1"/>
      <c r="E55" s="1"/>
      <c r="F55" s="128"/>
      <c r="G55" s="1"/>
      <c r="H55" s="233">
        <f>D9</f>
        <v>200</v>
      </c>
      <c r="I55" s="1"/>
      <c r="J55" s="1"/>
      <c r="K55" s="1"/>
      <c r="L55" s="1"/>
      <c r="M55" s="1"/>
      <c r="N55" s="1"/>
      <c r="O55" s="1"/>
      <c r="P55" s="1"/>
      <c r="Q55" s="1"/>
      <c r="R55" s="1"/>
      <c r="S55" s="1"/>
      <c r="T55" s="1"/>
      <c r="U55" s="1"/>
      <c r="V55" s="1"/>
      <c r="W55" s="1"/>
      <c r="X55" s="1"/>
      <c r="Y55" s="1"/>
      <c r="Z55" s="1"/>
      <c r="AA55" s="1"/>
    </row>
    <row r="56" spans="1:27" x14ac:dyDescent="0.2">
      <c r="A56" s="1"/>
      <c r="B56" s="1"/>
      <c r="C56" s="1"/>
      <c r="D56" s="1"/>
      <c r="E56" s="1"/>
      <c r="F56" s="128"/>
      <c r="G56" s="1"/>
      <c r="H56" s="115" t="s">
        <v>294</v>
      </c>
      <c r="I56" s="1"/>
      <c r="J56" s="1"/>
      <c r="K56" s="1"/>
      <c r="L56" s="1"/>
      <c r="M56" s="1"/>
      <c r="N56" s="1"/>
      <c r="O56" s="1"/>
      <c r="P56" s="1"/>
      <c r="Q56" s="1"/>
      <c r="R56" s="1"/>
      <c r="S56" s="1"/>
      <c r="T56" s="1"/>
      <c r="U56" s="1"/>
      <c r="V56" s="1"/>
      <c r="W56" s="1"/>
      <c r="X56" s="1"/>
      <c r="Y56" s="1"/>
      <c r="Z56" s="1"/>
      <c r="AA56" s="1"/>
    </row>
    <row r="57" spans="1:27" x14ac:dyDescent="0.2">
      <c r="A57" s="1"/>
      <c r="B57" s="1"/>
      <c r="C57" s="1"/>
      <c r="D57" s="1"/>
      <c r="E57" s="1"/>
      <c r="F57" s="128"/>
      <c r="G57" s="1"/>
      <c r="H57" s="183" t="s">
        <v>293</v>
      </c>
      <c r="I57" s="1"/>
      <c r="J57" s="1"/>
      <c r="K57" s="1"/>
      <c r="L57" s="1"/>
      <c r="M57" s="1"/>
      <c r="N57" s="1"/>
      <c r="O57" s="1"/>
      <c r="P57" s="1"/>
      <c r="Q57" s="1"/>
      <c r="R57" s="1"/>
      <c r="S57" s="1"/>
      <c r="T57" s="1"/>
      <c r="U57" s="1"/>
      <c r="V57" s="1"/>
      <c r="W57" s="1"/>
      <c r="X57" s="1"/>
      <c r="Y57" s="1"/>
      <c r="Z57" s="1"/>
      <c r="AA57" s="1"/>
    </row>
    <row r="58" spans="1:27" x14ac:dyDescent="0.2">
      <c r="A58" s="1"/>
      <c r="B58" s="1"/>
      <c r="C58" s="1"/>
      <c r="D58" s="1"/>
      <c r="E58" s="1"/>
      <c r="F58" s="128"/>
      <c r="G58" s="1"/>
      <c r="H58" s="1"/>
      <c r="I58" s="1"/>
      <c r="J58" s="1"/>
      <c r="K58" s="1"/>
      <c r="L58" s="1"/>
      <c r="M58" s="1"/>
      <c r="N58" s="1"/>
      <c r="O58" s="1"/>
      <c r="P58" s="1"/>
      <c r="Q58" s="1"/>
      <c r="R58" s="1"/>
      <c r="S58" s="1"/>
      <c r="T58" s="1"/>
      <c r="U58" s="1"/>
      <c r="V58" s="1"/>
      <c r="W58" s="1"/>
      <c r="X58" s="1"/>
      <c r="Y58" s="1"/>
      <c r="Z58" s="1"/>
      <c r="AA58" s="1"/>
    </row>
    <row r="59" spans="1:27" x14ac:dyDescent="0.2">
      <c r="A59" s="1"/>
      <c r="B59" s="1"/>
      <c r="C59" s="1"/>
      <c r="D59" s="1"/>
      <c r="E59" s="1"/>
      <c r="F59" s="128"/>
      <c r="G59" s="1"/>
      <c r="H59" s="1"/>
      <c r="I59" s="1"/>
      <c r="J59" s="1"/>
      <c r="K59" s="1"/>
      <c r="L59" s="1"/>
      <c r="M59" s="1"/>
      <c r="N59" s="1"/>
      <c r="O59" s="1"/>
      <c r="P59" s="1"/>
      <c r="Q59" s="1"/>
      <c r="R59" s="1"/>
      <c r="S59" s="1"/>
      <c r="T59" s="1"/>
      <c r="U59" s="1"/>
      <c r="V59" s="1"/>
      <c r="W59" s="1"/>
      <c r="X59" s="1"/>
      <c r="Y59" s="1"/>
      <c r="Z59" s="1"/>
      <c r="AA59" s="1"/>
    </row>
    <row r="60" spans="1:27" x14ac:dyDescent="0.2">
      <c r="A60" s="1"/>
      <c r="B60" s="1"/>
      <c r="C60" s="1"/>
      <c r="D60" s="1"/>
      <c r="E60" s="1"/>
      <c r="F60" s="128"/>
      <c r="G60" s="1"/>
      <c r="H60" s="1"/>
      <c r="I60" s="1"/>
      <c r="J60" s="1"/>
      <c r="K60" s="1"/>
      <c r="L60" s="1"/>
      <c r="M60" s="1"/>
      <c r="N60" s="1"/>
      <c r="O60" s="1"/>
      <c r="P60" s="1"/>
      <c r="Q60" s="1"/>
      <c r="R60" s="1"/>
      <c r="S60" s="1"/>
      <c r="T60" s="1"/>
      <c r="U60" s="1"/>
      <c r="V60" s="1"/>
      <c r="W60" s="1"/>
      <c r="X60" s="1"/>
      <c r="Y60" s="1"/>
      <c r="Z60" s="1"/>
      <c r="AA60" s="1"/>
    </row>
    <row r="61" spans="1:27" x14ac:dyDescent="0.2">
      <c r="A61" s="1"/>
      <c r="B61" s="1"/>
      <c r="C61" s="1"/>
      <c r="D61" s="1"/>
      <c r="E61" s="1"/>
      <c r="F61" s="128"/>
      <c r="G61" s="1"/>
      <c r="H61" s="1"/>
      <c r="I61" s="1"/>
      <c r="J61" s="1"/>
      <c r="K61" s="1"/>
      <c r="L61" s="1"/>
      <c r="M61" s="1"/>
      <c r="N61" s="1"/>
      <c r="O61" s="1"/>
      <c r="P61" s="1"/>
      <c r="Q61" s="1"/>
      <c r="R61" s="1"/>
      <c r="S61" s="1"/>
      <c r="T61" s="1"/>
      <c r="U61" s="1"/>
      <c r="V61" s="1"/>
      <c r="W61" s="1"/>
      <c r="X61" s="1"/>
      <c r="Y61" s="1"/>
      <c r="Z61" s="1"/>
      <c r="AA61" s="1"/>
    </row>
    <row r="62" spans="1:27" x14ac:dyDescent="0.2">
      <c r="A62" s="1"/>
      <c r="B62" s="1"/>
      <c r="C62" s="1"/>
      <c r="D62" s="1"/>
      <c r="E62" s="1"/>
      <c r="F62" s="128"/>
      <c r="G62" s="1"/>
      <c r="H62" s="1"/>
      <c r="I62" s="1"/>
      <c r="J62" s="1"/>
      <c r="K62" s="1"/>
      <c r="L62" s="1"/>
      <c r="M62" s="1"/>
      <c r="N62" s="1"/>
      <c r="O62" s="1"/>
      <c r="P62" s="1"/>
      <c r="Q62" s="1"/>
      <c r="R62" s="1"/>
      <c r="S62" s="1"/>
      <c r="T62" s="1"/>
      <c r="U62" s="1"/>
      <c r="V62" s="1"/>
      <c r="W62" s="1"/>
      <c r="X62" s="1"/>
      <c r="Y62" s="1"/>
      <c r="Z62" s="1"/>
      <c r="AA62" s="1"/>
    </row>
    <row r="63" spans="1:27" x14ac:dyDescent="0.2">
      <c r="A63" s="1"/>
      <c r="B63" s="1"/>
      <c r="C63" s="1"/>
      <c r="D63" s="1"/>
      <c r="E63" s="1"/>
      <c r="F63" s="128"/>
      <c r="G63" s="1"/>
      <c r="H63" s="1"/>
      <c r="I63" s="1"/>
      <c r="J63" s="1"/>
      <c r="K63" s="1"/>
      <c r="L63" s="1"/>
      <c r="M63" s="1"/>
      <c r="N63" s="1"/>
      <c r="O63" s="1"/>
      <c r="P63" s="1"/>
      <c r="Q63" s="1"/>
      <c r="R63" s="1"/>
      <c r="S63" s="1"/>
      <c r="T63" s="1"/>
      <c r="U63" s="1"/>
      <c r="V63" s="1"/>
      <c r="W63" s="1"/>
      <c r="X63" s="1"/>
      <c r="Y63" s="1"/>
      <c r="Z63" s="1"/>
      <c r="AA63" s="1"/>
    </row>
    <row r="64" spans="1:27" x14ac:dyDescent="0.2">
      <c r="A64" s="1"/>
      <c r="B64" s="1"/>
      <c r="C64" s="1"/>
      <c r="D64" s="1"/>
      <c r="E64" s="1"/>
      <c r="F64" s="128"/>
      <c r="G64" s="1"/>
      <c r="H64" s="1"/>
      <c r="I64" s="1"/>
      <c r="J64" s="1"/>
      <c r="K64" s="1"/>
      <c r="L64" s="1"/>
      <c r="M64" s="1"/>
      <c r="N64" s="1"/>
      <c r="O64" s="1"/>
      <c r="P64" s="1"/>
      <c r="Q64" s="1"/>
      <c r="R64" s="1"/>
      <c r="S64" s="1"/>
      <c r="T64" s="1"/>
      <c r="U64" s="1"/>
      <c r="V64" s="1"/>
      <c r="W64" s="1"/>
      <c r="X64" s="1"/>
      <c r="Y64" s="1"/>
      <c r="Z64" s="1"/>
      <c r="AA64" s="1"/>
    </row>
    <row r="65" spans="1:27" ht="13.5" thickBot="1" x14ac:dyDescent="0.25">
      <c r="A65" s="1"/>
      <c r="B65" s="1"/>
      <c r="C65" s="1"/>
      <c r="D65" s="1"/>
      <c r="E65" s="1"/>
      <c r="F65" s="128"/>
      <c r="G65" s="1"/>
      <c r="H65" s="108" t="s">
        <v>3</v>
      </c>
      <c r="I65" s="1"/>
      <c r="J65" s="1"/>
      <c r="K65" s="1"/>
      <c r="L65" s="1"/>
      <c r="M65" s="1"/>
      <c r="N65" s="1"/>
      <c r="O65" s="1"/>
      <c r="P65" s="1"/>
      <c r="Q65" s="1"/>
      <c r="R65" s="1"/>
      <c r="S65" s="1"/>
      <c r="T65" s="1"/>
      <c r="U65" s="1"/>
      <c r="V65" s="1"/>
      <c r="W65" s="1"/>
      <c r="X65" s="1"/>
      <c r="Y65" s="1"/>
      <c r="Z65" s="1"/>
      <c r="AA65" s="1"/>
    </row>
    <row r="66" spans="1:27" ht="13.5" thickBot="1" x14ac:dyDescent="0.25">
      <c r="A66" s="1"/>
      <c r="B66" s="209" t="s">
        <v>133</v>
      </c>
      <c r="C66" s="1"/>
      <c r="D66" s="231">
        <v>2</v>
      </c>
      <c r="E66" s="1"/>
      <c r="F66" s="191">
        <v>0.5</v>
      </c>
      <c r="G66" s="1"/>
      <c r="H66" s="214" t="s">
        <v>284</v>
      </c>
      <c r="I66" s="1"/>
      <c r="J66" s="231">
        <v>8</v>
      </c>
      <c r="K66" s="1"/>
      <c r="L66" s="218">
        <f>D13</f>
        <v>100</v>
      </c>
      <c r="M66" s="1"/>
      <c r="N66" s="1"/>
      <c r="O66" s="1"/>
      <c r="P66" s="1"/>
      <c r="Q66" s="1"/>
      <c r="R66" s="1"/>
      <c r="S66" s="1"/>
      <c r="T66" s="1"/>
      <c r="U66" s="1"/>
      <c r="V66" s="1"/>
      <c r="W66" s="1"/>
      <c r="X66" s="1"/>
      <c r="Y66" s="1"/>
      <c r="Z66" s="1"/>
      <c r="AA66" s="1"/>
    </row>
    <row r="67" spans="1:27" x14ac:dyDescent="0.2">
      <c r="A67" s="1"/>
      <c r="B67" s="1"/>
      <c r="C67" s="1"/>
      <c r="D67" s="213"/>
      <c r="E67" s="1"/>
      <c r="F67" s="128"/>
      <c r="G67" s="1"/>
      <c r="H67" s="1"/>
      <c r="I67" s="1"/>
      <c r="J67" s="213"/>
      <c r="K67" s="1"/>
      <c r="L67" s="217"/>
      <c r="M67" s="1"/>
      <c r="N67" s="1"/>
      <c r="O67" s="1"/>
      <c r="P67" s="1"/>
      <c r="Q67" s="1"/>
      <c r="R67" s="1"/>
      <c r="S67" s="1"/>
      <c r="T67" s="1"/>
      <c r="U67" s="1"/>
      <c r="V67" s="1"/>
      <c r="W67" s="1"/>
      <c r="X67" s="1"/>
      <c r="Y67" s="1"/>
      <c r="Z67" s="1"/>
      <c r="AA67" s="1"/>
    </row>
    <row r="68" spans="1:27" ht="13.5" thickBot="1" x14ac:dyDescent="0.25">
      <c r="A68" s="1"/>
      <c r="B68" s="1"/>
      <c r="C68" s="1"/>
      <c r="D68" s="213"/>
      <c r="E68" s="1"/>
      <c r="F68" s="128"/>
      <c r="G68" s="1"/>
      <c r="H68" s="1"/>
      <c r="I68" s="1"/>
      <c r="J68" s="213"/>
      <c r="K68" s="1"/>
      <c r="L68" s="128"/>
      <c r="M68" s="1"/>
      <c r="N68" s="1"/>
      <c r="O68" s="1"/>
      <c r="P68" s="1"/>
      <c r="Q68" s="1"/>
      <c r="R68" s="1"/>
      <c r="S68" s="1"/>
      <c r="T68" s="1"/>
      <c r="U68" s="1"/>
      <c r="V68" s="1"/>
      <c r="W68" s="1"/>
      <c r="X68" s="1"/>
      <c r="Y68" s="1"/>
      <c r="Z68" s="1"/>
      <c r="AA68" s="1"/>
    </row>
    <row r="69" spans="1:27" ht="13.5" thickBot="1" x14ac:dyDescent="0.25">
      <c r="A69" s="1"/>
      <c r="B69" s="210" t="s">
        <v>134</v>
      </c>
      <c r="C69" s="1"/>
      <c r="D69" s="231">
        <v>3</v>
      </c>
      <c r="E69" s="1"/>
      <c r="F69" s="191">
        <v>9</v>
      </c>
      <c r="G69" s="1"/>
      <c r="H69" s="214" t="s">
        <v>281</v>
      </c>
      <c r="I69" s="1"/>
      <c r="J69" s="231">
        <v>9</v>
      </c>
      <c r="K69" s="1"/>
      <c r="L69" s="191">
        <v>0.7</v>
      </c>
      <c r="M69" s="1"/>
      <c r="N69" s="1"/>
      <c r="O69" s="1"/>
      <c r="P69" s="1"/>
      <c r="Q69" s="1"/>
      <c r="R69" s="1"/>
      <c r="S69" s="1"/>
      <c r="T69" s="1"/>
      <c r="U69" s="1"/>
      <c r="V69" s="1"/>
      <c r="W69" s="1"/>
      <c r="X69" s="1"/>
      <c r="Y69" s="1"/>
      <c r="Z69" s="1"/>
      <c r="AA69" s="1"/>
    </row>
    <row r="70" spans="1:27" x14ac:dyDescent="0.2">
      <c r="A70" s="1"/>
      <c r="B70" s="1"/>
      <c r="C70" s="1"/>
      <c r="D70" s="213"/>
      <c r="E70" s="1"/>
      <c r="F70" s="128"/>
      <c r="G70" s="1"/>
      <c r="H70" s="1"/>
      <c r="I70" s="1"/>
      <c r="J70" s="213"/>
      <c r="K70" s="1"/>
      <c r="L70" s="128"/>
      <c r="M70" s="1"/>
      <c r="N70" s="1"/>
      <c r="O70" s="1"/>
      <c r="P70" s="1"/>
      <c r="Q70" s="1"/>
      <c r="R70" s="1"/>
      <c r="S70" s="1"/>
      <c r="T70" s="1"/>
      <c r="U70" s="1"/>
      <c r="V70" s="1"/>
      <c r="W70" s="1"/>
      <c r="X70" s="1"/>
      <c r="Y70" s="1"/>
      <c r="Z70" s="1"/>
      <c r="AA70" s="1"/>
    </row>
    <row r="71" spans="1:27" ht="13.5" thickBot="1" x14ac:dyDescent="0.25">
      <c r="A71" s="1"/>
      <c r="B71" s="1"/>
      <c r="C71" s="1"/>
      <c r="D71" s="213"/>
      <c r="E71" s="1"/>
      <c r="F71" s="128"/>
      <c r="G71" s="108" t="s">
        <v>3</v>
      </c>
      <c r="H71" s="1"/>
      <c r="I71" s="1"/>
      <c r="J71" s="213"/>
      <c r="K71" s="1"/>
      <c r="L71" s="128"/>
      <c r="M71" s="1"/>
      <c r="N71" s="1"/>
      <c r="O71" s="1"/>
      <c r="P71" s="1"/>
      <c r="Q71" s="1"/>
      <c r="R71" s="1"/>
      <c r="S71" s="1"/>
      <c r="T71" s="1"/>
      <c r="U71" s="1"/>
      <c r="V71" s="1"/>
      <c r="W71" s="1"/>
      <c r="X71" s="1"/>
      <c r="Y71" s="1"/>
      <c r="Z71" s="1"/>
      <c r="AA71" s="1"/>
    </row>
    <row r="72" spans="1:27" ht="13.5" thickBot="1" x14ac:dyDescent="0.25">
      <c r="A72" s="1"/>
      <c r="B72" s="211" t="s">
        <v>87</v>
      </c>
      <c r="C72" s="1"/>
      <c r="D72" s="231">
        <v>4</v>
      </c>
      <c r="E72" s="1"/>
      <c r="F72" s="191">
        <v>1</v>
      </c>
      <c r="G72" s="1"/>
      <c r="H72" s="216" t="s">
        <v>87</v>
      </c>
      <c r="I72" s="1"/>
      <c r="J72" s="231">
        <v>10</v>
      </c>
      <c r="K72" s="1"/>
      <c r="L72" s="191">
        <v>1</v>
      </c>
      <c r="M72" s="1"/>
      <c r="N72" s="1"/>
      <c r="O72" s="1"/>
      <c r="P72" s="1"/>
      <c r="Q72" s="1"/>
      <c r="R72" s="1"/>
      <c r="S72" s="1"/>
      <c r="T72" s="1"/>
      <c r="U72" s="1"/>
      <c r="V72" s="1"/>
      <c r="W72" s="1"/>
      <c r="X72" s="1"/>
      <c r="Y72" s="1"/>
      <c r="Z72" s="1"/>
      <c r="AA72" s="1"/>
    </row>
    <row r="73" spans="1:27" x14ac:dyDescent="0.2">
      <c r="A73" s="1"/>
      <c r="B73" s="1"/>
      <c r="C73" s="1"/>
      <c r="D73" s="213"/>
      <c r="E73" s="1"/>
      <c r="F73" s="128"/>
      <c r="G73" s="1"/>
      <c r="H73" s="1"/>
      <c r="I73" s="1"/>
      <c r="J73" s="213"/>
      <c r="K73" s="1"/>
      <c r="L73" s="128"/>
      <c r="M73" s="1"/>
      <c r="N73" s="1"/>
      <c r="O73" s="1"/>
      <c r="P73" s="1"/>
      <c r="Q73" s="1"/>
      <c r="R73" s="1"/>
      <c r="S73" s="1"/>
      <c r="T73" s="1"/>
      <c r="U73" s="1"/>
      <c r="V73" s="1"/>
      <c r="W73" s="1"/>
      <c r="X73" s="1"/>
      <c r="Y73" s="1"/>
      <c r="Z73" s="1"/>
      <c r="AA73" s="1"/>
    </row>
    <row r="74" spans="1:27" ht="13.5" thickBot="1" x14ac:dyDescent="0.25">
      <c r="A74" s="1"/>
      <c r="B74" s="1"/>
      <c r="C74" s="1"/>
      <c r="D74" s="213"/>
      <c r="E74" s="1"/>
      <c r="F74" s="128"/>
      <c r="G74" s="1"/>
      <c r="H74" s="1"/>
      <c r="I74" s="1"/>
      <c r="J74" s="213"/>
      <c r="K74" s="1"/>
      <c r="L74" s="128"/>
      <c r="M74" s="1"/>
      <c r="N74" s="1"/>
      <c r="O74" s="1"/>
      <c r="P74" s="1"/>
      <c r="Q74" s="1"/>
      <c r="R74" s="1"/>
      <c r="S74" s="1"/>
      <c r="T74" s="1"/>
      <c r="U74" s="1"/>
      <c r="V74" s="1"/>
      <c r="W74" s="1"/>
      <c r="X74" s="1"/>
      <c r="Y74" s="1"/>
      <c r="Z74" s="1"/>
      <c r="AA74" s="1"/>
    </row>
    <row r="75" spans="1:27" ht="13.5" thickBot="1" x14ac:dyDescent="0.25">
      <c r="A75" s="1"/>
      <c r="B75" s="210" t="s">
        <v>279</v>
      </c>
      <c r="C75" s="1"/>
      <c r="D75" s="231">
        <v>5</v>
      </c>
      <c r="E75" s="1"/>
      <c r="F75" s="191">
        <v>0.9</v>
      </c>
      <c r="G75" s="1"/>
      <c r="H75" s="210" t="s">
        <v>285</v>
      </c>
      <c r="I75" s="1"/>
      <c r="J75" s="231">
        <v>11</v>
      </c>
      <c r="K75" s="1"/>
      <c r="L75" s="219">
        <v>7</v>
      </c>
      <c r="M75" s="1"/>
      <c r="N75" s="1"/>
      <c r="O75" s="1"/>
      <c r="P75" s="1"/>
      <c r="Q75" s="1"/>
      <c r="R75" s="1"/>
      <c r="S75" s="1"/>
      <c r="T75" s="1"/>
      <c r="U75" s="1"/>
      <c r="V75" s="1"/>
      <c r="W75" s="1"/>
      <c r="X75" s="1"/>
      <c r="Y75" s="1"/>
      <c r="Z75" s="1"/>
      <c r="AA75" s="1"/>
    </row>
    <row r="76" spans="1:27" x14ac:dyDescent="0.2">
      <c r="A76" s="1"/>
      <c r="B76" s="1"/>
      <c r="C76" s="1"/>
      <c r="D76" s="213"/>
      <c r="E76" s="1"/>
      <c r="F76" s="128"/>
      <c r="G76" s="1"/>
      <c r="H76" s="1"/>
      <c r="I76" s="1"/>
      <c r="J76" s="213"/>
      <c r="K76" s="1"/>
      <c r="L76" s="128"/>
      <c r="M76" s="1"/>
      <c r="N76" s="1"/>
      <c r="O76" s="1"/>
      <c r="P76" s="1"/>
      <c r="Q76" s="1"/>
      <c r="R76" s="1"/>
      <c r="S76" s="1"/>
      <c r="T76" s="1"/>
      <c r="U76" s="1"/>
      <c r="V76" s="1"/>
      <c r="W76" s="1"/>
      <c r="X76" s="1"/>
      <c r="Y76" s="1"/>
      <c r="Z76" s="1"/>
      <c r="AA76" s="1"/>
    </row>
    <row r="77" spans="1:27" ht="13.5" thickBot="1" x14ac:dyDescent="0.25">
      <c r="A77" s="1"/>
      <c r="B77" s="1"/>
      <c r="C77" s="1"/>
      <c r="D77" s="213"/>
      <c r="E77" s="1"/>
      <c r="F77" s="128"/>
      <c r="G77" s="1"/>
      <c r="H77" s="1"/>
      <c r="I77" s="1"/>
      <c r="J77" s="213"/>
      <c r="K77" s="1"/>
      <c r="L77" s="128"/>
      <c r="M77" s="1"/>
      <c r="N77" s="1"/>
      <c r="O77" s="1"/>
      <c r="P77" s="1"/>
      <c r="Q77" s="1"/>
      <c r="R77" s="1"/>
      <c r="S77" s="1"/>
      <c r="T77" s="1"/>
      <c r="U77" s="1"/>
      <c r="V77" s="1"/>
      <c r="W77" s="1"/>
      <c r="X77" s="1"/>
      <c r="Y77" s="1"/>
      <c r="Z77" s="1"/>
      <c r="AA77" s="1"/>
    </row>
    <row r="78" spans="1:27" ht="13.5" thickBot="1" x14ac:dyDescent="0.25">
      <c r="A78" s="1"/>
      <c r="B78" s="211" t="s">
        <v>88</v>
      </c>
      <c r="C78" s="1"/>
      <c r="D78" s="231">
        <v>7</v>
      </c>
      <c r="E78" s="1"/>
      <c r="F78" s="223">
        <v>120</v>
      </c>
      <c r="G78" s="1"/>
      <c r="H78" s="210" t="s">
        <v>286</v>
      </c>
      <c r="I78" s="1"/>
      <c r="J78" s="231">
        <v>12</v>
      </c>
      <c r="K78" s="1"/>
      <c r="L78" s="191">
        <v>0.5</v>
      </c>
      <c r="M78" s="1"/>
      <c r="N78" s="1"/>
      <c r="O78" s="1"/>
      <c r="P78" s="1"/>
      <c r="Q78" s="1"/>
      <c r="R78" s="1"/>
      <c r="S78" s="1"/>
      <c r="T78" s="1"/>
      <c r="U78" s="1"/>
      <c r="V78" s="1"/>
      <c r="W78" s="1"/>
      <c r="X78" s="1"/>
      <c r="Y78" s="1"/>
      <c r="Z78" s="1"/>
      <c r="AA78" s="1"/>
    </row>
    <row r="79" spans="1:27" x14ac:dyDescent="0.2">
      <c r="A79" s="1"/>
      <c r="B79" s="1"/>
      <c r="C79" s="1"/>
      <c r="D79" s="213"/>
      <c r="E79" s="1"/>
      <c r="F79" s="128"/>
      <c r="G79" s="1"/>
      <c r="H79" s="1"/>
      <c r="I79" s="1"/>
      <c r="J79" s="213"/>
      <c r="K79" s="1"/>
      <c r="L79" s="128"/>
      <c r="M79" s="1"/>
      <c r="N79" s="1"/>
      <c r="O79" s="1"/>
      <c r="P79" s="1"/>
      <c r="Q79" s="1"/>
      <c r="R79" s="1"/>
      <c r="S79" s="1"/>
      <c r="T79" s="1"/>
      <c r="U79" s="1"/>
      <c r="V79" s="1"/>
      <c r="W79" s="1"/>
      <c r="X79" s="1"/>
      <c r="Y79" s="1"/>
      <c r="Z79" s="1"/>
      <c r="AA79" s="1"/>
    </row>
    <row r="80" spans="1:27" ht="13.5" thickBot="1" x14ac:dyDescent="0.25">
      <c r="A80" s="1"/>
      <c r="B80" s="1"/>
      <c r="C80" s="1"/>
      <c r="D80" s="213"/>
      <c r="E80" s="1"/>
      <c r="F80" s="128"/>
      <c r="G80" s="1"/>
      <c r="H80" s="1"/>
      <c r="I80" s="1"/>
      <c r="J80" s="213"/>
      <c r="K80" s="1"/>
      <c r="L80" s="128"/>
      <c r="M80" s="1"/>
      <c r="N80" s="1"/>
      <c r="O80" s="1"/>
      <c r="P80" s="1"/>
      <c r="Q80" s="1"/>
      <c r="R80" s="1"/>
      <c r="S80" s="1"/>
      <c r="T80" s="1"/>
      <c r="U80" s="1"/>
      <c r="V80" s="1"/>
      <c r="W80" s="1"/>
      <c r="X80" s="1"/>
      <c r="Y80" s="1"/>
      <c r="Z80" s="1"/>
      <c r="AA80" s="1"/>
    </row>
    <row r="81" spans="1:27" ht="13.5" thickBot="1" x14ac:dyDescent="0.25">
      <c r="A81" s="1"/>
      <c r="B81" s="211" t="s">
        <v>89</v>
      </c>
      <c r="C81" s="1"/>
      <c r="D81" s="231">
        <v>6</v>
      </c>
      <c r="E81" s="1"/>
      <c r="F81" s="223">
        <v>290</v>
      </c>
      <c r="G81" s="1"/>
      <c r="H81" s="210" t="s">
        <v>287</v>
      </c>
      <c r="I81" s="1"/>
      <c r="J81" s="231">
        <v>13</v>
      </c>
      <c r="K81" s="1"/>
      <c r="L81" s="221">
        <f>10*LOG(L66)-L69-L72+L75</f>
        <v>25.3</v>
      </c>
      <c r="M81" s="1"/>
      <c r="N81" s="1"/>
      <c r="O81" s="1"/>
      <c r="P81" s="1"/>
      <c r="Q81" s="1"/>
      <c r="R81" s="1"/>
      <c r="S81" s="1"/>
      <c r="T81" s="1"/>
      <c r="U81" s="1"/>
      <c r="V81" s="1"/>
      <c r="W81" s="1"/>
      <c r="X81" s="1"/>
      <c r="Y81" s="1"/>
      <c r="Z81" s="1"/>
      <c r="AA81" s="1"/>
    </row>
    <row r="82" spans="1:27" x14ac:dyDescent="0.2">
      <c r="A82" s="1"/>
      <c r="B82" s="1"/>
      <c r="C82" s="1"/>
      <c r="D82" s="213"/>
      <c r="E82" s="1"/>
      <c r="F82" s="128"/>
      <c r="G82" s="1"/>
      <c r="H82" s="1"/>
      <c r="I82" s="1"/>
      <c r="J82" s="213"/>
      <c r="K82" s="1"/>
      <c r="L82" s="128"/>
      <c r="M82" s="1"/>
      <c r="N82" s="1"/>
      <c r="O82" s="1"/>
      <c r="P82" s="1"/>
      <c r="Q82" s="1"/>
      <c r="R82" s="1"/>
      <c r="S82" s="1"/>
      <c r="T82" s="1"/>
      <c r="U82" s="1"/>
      <c r="V82" s="1"/>
      <c r="W82" s="1"/>
      <c r="X82" s="1"/>
      <c r="Y82" s="1"/>
      <c r="Z82" s="1"/>
      <c r="AA82" s="1"/>
    </row>
    <row r="83" spans="1:27" ht="13.5" thickBot="1" x14ac:dyDescent="0.25">
      <c r="A83" s="1"/>
      <c r="B83" s="1"/>
      <c r="C83" s="1"/>
      <c r="D83" s="213"/>
      <c r="E83" s="1"/>
      <c r="F83" s="128"/>
      <c r="G83" s="1"/>
      <c r="H83" s="1"/>
      <c r="I83" s="1"/>
      <c r="J83" s="213"/>
      <c r="K83" s="1"/>
      <c r="L83" s="128"/>
      <c r="M83" s="1"/>
      <c r="N83" s="1"/>
      <c r="O83" s="1"/>
      <c r="P83" s="1"/>
      <c r="Q83" s="1"/>
      <c r="R83" s="1"/>
      <c r="S83" s="1"/>
      <c r="T83" s="1"/>
      <c r="U83" s="1"/>
      <c r="V83" s="1"/>
      <c r="W83" s="1"/>
      <c r="X83" s="1"/>
      <c r="Y83" s="1"/>
      <c r="Z83" s="1"/>
      <c r="AA83" s="1"/>
    </row>
    <row r="84" spans="1:27" ht="13.5" thickBot="1" x14ac:dyDescent="0.25">
      <c r="A84" s="1"/>
      <c r="B84" s="211" t="s">
        <v>90</v>
      </c>
      <c r="C84" s="1"/>
      <c r="D84" s="231">
        <v>1</v>
      </c>
      <c r="E84" s="1"/>
      <c r="F84" s="223">
        <v>150</v>
      </c>
      <c r="G84" s="1"/>
      <c r="H84" s="210" t="s">
        <v>288</v>
      </c>
      <c r="I84" s="1"/>
      <c r="J84" s="231">
        <v>14</v>
      </c>
      <c r="K84" s="1"/>
      <c r="L84" s="222">
        <f>'6-Uplink Budget'!B31</f>
        <v>-17.946181957727681</v>
      </c>
      <c r="M84" s="1"/>
      <c r="N84" s="1"/>
      <c r="O84" s="1"/>
      <c r="P84" s="1"/>
      <c r="Q84" s="1"/>
      <c r="R84" s="1"/>
      <c r="S84" s="1"/>
      <c r="T84" s="1"/>
      <c r="U84" s="1"/>
      <c r="V84" s="1"/>
      <c r="W84" s="1"/>
      <c r="X84" s="1"/>
      <c r="Y84" s="1"/>
      <c r="Z84" s="1"/>
      <c r="AA84" s="1"/>
    </row>
    <row r="85" spans="1:27" x14ac:dyDescent="0.2">
      <c r="A85" s="1"/>
      <c r="B85" s="1"/>
      <c r="C85" s="1"/>
      <c r="D85" s="1"/>
      <c r="E85" s="1"/>
      <c r="F85" s="128"/>
      <c r="G85" s="1"/>
      <c r="H85" s="1"/>
      <c r="I85" s="1"/>
      <c r="J85" s="1"/>
      <c r="K85" s="1"/>
      <c r="L85" s="1"/>
      <c r="M85" s="1"/>
      <c r="N85" s="1"/>
      <c r="O85" s="1"/>
      <c r="P85" s="1"/>
      <c r="Q85" s="1"/>
      <c r="R85" s="1"/>
      <c r="S85" s="1"/>
      <c r="T85" s="1"/>
      <c r="U85" s="1"/>
      <c r="V85" s="1"/>
      <c r="W85" s="1"/>
      <c r="X85" s="1"/>
      <c r="Y85" s="1"/>
      <c r="Z85" s="1"/>
      <c r="AA85" s="1"/>
    </row>
    <row r="86" spans="1:27" x14ac:dyDescent="0.2">
      <c r="A86" s="1"/>
      <c r="B86" s="1"/>
      <c r="C86" s="1"/>
      <c r="D86" s="1"/>
      <c r="E86" s="1"/>
      <c r="F86" s="128"/>
      <c r="G86" s="1"/>
      <c r="H86" s="1"/>
      <c r="I86" s="1"/>
      <c r="J86" s="1"/>
      <c r="K86" s="1"/>
      <c r="L86" s="1"/>
      <c r="M86" s="1"/>
      <c r="N86" s="1"/>
      <c r="O86" s="1"/>
      <c r="P86" s="1"/>
      <c r="Q86" s="1"/>
      <c r="R86" s="1"/>
      <c r="S86" s="1"/>
      <c r="T86" s="1"/>
      <c r="U86" s="1"/>
      <c r="V86" s="1"/>
      <c r="W86" s="1"/>
      <c r="X86" s="1"/>
      <c r="Y86" s="1"/>
      <c r="Z86" s="1"/>
      <c r="AA86" s="1"/>
    </row>
    <row r="87" spans="1:27" x14ac:dyDescent="0.2">
      <c r="A87" s="1"/>
      <c r="B87" s="1"/>
      <c r="C87" s="1"/>
      <c r="D87" s="1"/>
      <c r="E87" s="108" t="s">
        <v>3</v>
      </c>
      <c r="F87" s="128"/>
      <c r="G87" s="1"/>
      <c r="H87" s="1"/>
      <c r="I87" s="1"/>
      <c r="J87" s="1"/>
      <c r="K87" s="1"/>
      <c r="L87" s="1"/>
      <c r="M87" s="1"/>
      <c r="N87" s="1"/>
      <c r="O87" s="1"/>
      <c r="P87" s="1"/>
      <c r="Q87" s="1"/>
      <c r="R87" s="1"/>
      <c r="S87" s="1"/>
      <c r="T87" s="1"/>
      <c r="U87" s="1"/>
      <c r="V87" s="1"/>
      <c r="W87" s="1"/>
      <c r="X87" s="1"/>
      <c r="Y87" s="1"/>
      <c r="Z87" s="1"/>
      <c r="AA87" s="1"/>
    </row>
    <row r="88" spans="1:27" x14ac:dyDescent="0.2">
      <c r="A88" s="1"/>
      <c r="B88" s="1"/>
      <c r="C88" s="1"/>
      <c r="D88" s="108" t="s">
        <v>3</v>
      </c>
      <c r="E88" s="1"/>
      <c r="F88" s="128"/>
      <c r="G88" s="1"/>
      <c r="H88" s="108" t="s">
        <v>3</v>
      </c>
      <c r="I88" s="1"/>
      <c r="J88" s="1"/>
      <c r="K88" s="1"/>
      <c r="L88" s="1"/>
      <c r="M88" s="1"/>
      <c r="N88" s="1"/>
      <c r="O88" s="1"/>
      <c r="P88" s="1"/>
      <c r="Q88" s="1"/>
      <c r="R88" s="1"/>
      <c r="S88" s="1"/>
      <c r="T88" s="1"/>
      <c r="U88" s="1"/>
      <c r="V88" s="1"/>
      <c r="W88" s="1"/>
      <c r="X88" s="1"/>
      <c r="Y88" s="1"/>
      <c r="Z88" s="1"/>
      <c r="AA88" s="1"/>
    </row>
    <row r="89" spans="1:27" x14ac:dyDescent="0.2">
      <c r="A89" s="1"/>
      <c r="B89" s="1"/>
      <c r="C89" s="1"/>
      <c r="D89" s="1"/>
      <c r="E89" s="1"/>
      <c r="F89" s="128"/>
      <c r="G89" s="1"/>
      <c r="H89" s="1"/>
      <c r="I89" s="1"/>
      <c r="J89" s="1"/>
      <c r="K89" s="1"/>
      <c r="L89" s="1"/>
      <c r="M89" s="1"/>
      <c r="N89" s="1"/>
      <c r="O89" s="1"/>
      <c r="P89" s="1"/>
      <c r="Q89" s="1"/>
      <c r="R89" s="1"/>
      <c r="S89" s="1"/>
      <c r="T89" s="1"/>
      <c r="U89" s="1"/>
      <c r="V89" s="1"/>
      <c r="W89" s="1"/>
      <c r="X89" s="1"/>
      <c r="Y89" s="1"/>
      <c r="Z89" s="1"/>
      <c r="AA89" s="1"/>
    </row>
    <row r="90" spans="1:27" x14ac:dyDescent="0.2">
      <c r="A90" s="1"/>
      <c r="B90" s="1"/>
      <c r="C90" s="1"/>
      <c r="D90" s="108" t="s">
        <v>3</v>
      </c>
      <c r="E90" s="1"/>
      <c r="F90" s="128"/>
      <c r="G90" s="1"/>
      <c r="H90" s="1"/>
      <c r="I90" s="1"/>
      <c r="J90" s="1"/>
      <c r="K90" s="1"/>
      <c r="L90" s="1"/>
      <c r="M90" s="1"/>
      <c r="N90" s="1"/>
      <c r="O90" s="1"/>
      <c r="P90" s="1"/>
      <c r="Q90" s="1"/>
      <c r="R90" s="1"/>
      <c r="S90" s="1"/>
      <c r="T90" s="1"/>
      <c r="U90" s="1"/>
      <c r="V90" s="1"/>
      <c r="W90" s="1"/>
      <c r="X90" s="1"/>
      <c r="Y90" s="1"/>
      <c r="Z90" s="1"/>
      <c r="AA90" s="1"/>
    </row>
    <row r="91" spans="1:27" x14ac:dyDescent="0.2">
      <c r="A91" s="1"/>
      <c r="B91" s="1"/>
      <c r="C91" s="1"/>
      <c r="D91" s="232" t="s">
        <v>241</v>
      </c>
      <c r="E91" s="1"/>
      <c r="F91" s="128"/>
      <c r="G91" s="1"/>
      <c r="H91" s="1"/>
      <c r="I91" s="1"/>
      <c r="J91" s="1"/>
      <c r="K91" s="1"/>
      <c r="L91" s="1"/>
      <c r="M91" s="1"/>
      <c r="N91" s="1"/>
      <c r="O91" s="1"/>
      <c r="P91" s="1"/>
      <c r="Q91" s="1"/>
      <c r="R91" s="1"/>
      <c r="S91" s="1"/>
      <c r="T91" s="1"/>
      <c r="U91" s="1"/>
      <c r="V91" s="1"/>
      <c r="W91" s="1"/>
      <c r="X91" s="1"/>
      <c r="Y91" s="1"/>
      <c r="Z91" s="1"/>
      <c r="AA91" s="1"/>
    </row>
    <row r="92" spans="1:27" x14ac:dyDescent="0.2">
      <c r="A92" s="1"/>
      <c r="B92" s="1"/>
      <c r="C92" s="1"/>
      <c r="D92" s="1"/>
      <c r="E92" s="1"/>
      <c r="F92" s="128"/>
      <c r="G92" s="1"/>
      <c r="H92" s="1"/>
      <c r="I92" s="1"/>
      <c r="J92" s="1"/>
      <c r="K92" s="1"/>
      <c r="L92" s="1"/>
      <c r="M92" s="1"/>
      <c r="N92" s="1"/>
      <c r="O92" s="1"/>
      <c r="P92" s="1"/>
      <c r="Q92" s="1"/>
      <c r="R92" s="1"/>
      <c r="S92" s="1"/>
      <c r="T92" s="1"/>
      <c r="U92" s="1"/>
      <c r="V92" s="1"/>
      <c r="W92" s="1"/>
      <c r="X92" s="1"/>
      <c r="Y92" s="1"/>
      <c r="Z92" s="1"/>
      <c r="AA92" s="1"/>
    </row>
    <row r="93" spans="1:27" x14ac:dyDescent="0.2">
      <c r="A93" s="1"/>
      <c r="B93" s="1"/>
      <c r="C93" s="1"/>
      <c r="D93" s="1"/>
      <c r="E93" s="1"/>
      <c r="F93" s="128"/>
      <c r="G93" s="1"/>
      <c r="H93" s="1"/>
      <c r="I93" s="1"/>
      <c r="J93" s="1"/>
      <c r="K93" s="1"/>
      <c r="L93" s="1"/>
      <c r="M93" s="1"/>
      <c r="N93" s="1"/>
      <c r="O93" s="1"/>
      <c r="P93" s="1"/>
      <c r="Q93" s="1"/>
      <c r="R93" s="1"/>
      <c r="S93" s="1"/>
      <c r="T93" s="1"/>
      <c r="U93" s="1"/>
      <c r="V93" s="1"/>
      <c r="W93" s="1"/>
      <c r="X93" s="1"/>
      <c r="Y93" s="1"/>
      <c r="Z93" s="1"/>
      <c r="AA93" s="1"/>
    </row>
    <row r="94" spans="1:27" x14ac:dyDescent="0.2">
      <c r="A94" s="1"/>
      <c r="B94" s="1"/>
      <c r="C94" s="1"/>
      <c r="D94" s="1"/>
      <c r="E94" s="1"/>
      <c r="F94" s="128"/>
      <c r="G94" s="1"/>
      <c r="H94" s="1"/>
      <c r="I94" s="1"/>
      <c r="J94" s="1"/>
      <c r="K94" s="1"/>
      <c r="L94" s="1"/>
      <c r="M94" s="1"/>
      <c r="N94" s="1"/>
      <c r="O94" s="1"/>
      <c r="P94" s="1"/>
      <c r="Q94" s="1"/>
      <c r="R94" s="1"/>
      <c r="S94" s="1"/>
      <c r="T94" s="1"/>
      <c r="U94" s="1"/>
      <c r="V94" s="1"/>
      <c r="W94" s="1"/>
      <c r="X94" s="1"/>
      <c r="Y94" s="1"/>
      <c r="Z94" s="1"/>
      <c r="AA94" s="1"/>
    </row>
    <row r="95" spans="1:27" x14ac:dyDescent="0.2">
      <c r="A95" s="1"/>
      <c r="B95" s="1"/>
      <c r="C95" s="1"/>
      <c r="D95" s="1"/>
      <c r="E95" s="1"/>
      <c r="F95" s="128"/>
      <c r="G95" s="1"/>
      <c r="H95" s="1"/>
      <c r="I95" s="1"/>
      <c r="J95" s="1"/>
      <c r="K95" s="1"/>
      <c r="L95" s="1"/>
      <c r="M95" s="1"/>
      <c r="N95" s="1"/>
      <c r="O95" s="1"/>
      <c r="P95" s="1"/>
      <c r="Q95" s="1"/>
      <c r="R95" s="1"/>
      <c r="S95" s="1"/>
      <c r="T95" s="1"/>
      <c r="U95" s="1"/>
      <c r="V95" s="1"/>
      <c r="W95" s="1"/>
      <c r="X95" s="1"/>
      <c r="Y95" s="1"/>
      <c r="Z95" s="1"/>
      <c r="AA95" s="1"/>
    </row>
    <row r="96" spans="1:27" x14ac:dyDescent="0.2">
      <c r="A96" s="1"/>
      <c r="B96" s="1"/>
      <c r="C96" s="1"/>
      <c r="D96" s="1"/>
      <c r="E96" s="1"/>
      <c r="F96" s="128"/>
      <c r="G96" s="1"/>
      <c r="H96" s="1"/>
      <c r="I96" s="1"/>
      <c r="J96" s="1"/>
      <c r="K96" s="1"/>
      <c r="L96" s="1"/>
      <c r="M96" s="1"/>
      <c r="N96" s="1"/>
      <c r="O96" s="1"/>
      <c r="P96" s="1"/>
      <c r="Q96" s="1"/>
      <c r="R96" s="1"/>
      <c r="S96" s="1"/>
      <c r="T96" s="1"/>
      <c r="U96" s="1"/>
      <c r="V96" s="1"/>
      <c r="W96" s="1"/>
      <c r="X96" s="1"/>
      <c r="Y96" s="1"/>
      <c r="Z96" s="1"/>
      <c r="AA96" s="1"/>
    </row>
    <row r="97" spans="1:27" x14ac:dyDescent="0.2">
      <c r="A97" s="1"/>
      <c r="B97" s="1"/>
      <c r="C97" s="1"/>
      <c r="D97" s="1"/>
      <c r="E97" s="1"/>
      <c r="F97" s="128"/>
      <c r="G97" s="1"/>
      <c r="H97" s="1"/>
      <c r="I97" s="1"/>
      <c r="J97" s="1"/>
      <c r="K97" s="1"/>
      <c r="L97" s="1"/>
      <c r="M97" s="1"/>
      <c r="N97" s="1"/>
      <c r="O97" s="1"/>
      <c r="P97" s="1"/>
      <c r="Q97" s="1"/>
      <c r="R97" s="1"/>
      <c r="S97" s="1"/>
      <c r="T97" s="1"/>
      <c r="U97" s="1"/>
      <c r="V97" s="1"/>
      <c r="W97" s="1"/>
      <c r="X97" s="1"/>
      <c r="Y97" s="1"/>
      <c r="Z97" s="1"/>
      <c r="AA97" s="1"/>
    </row>
    <row r="98" spans="1:27" x14ac:dyDescent="0.2">
      <c r="A98" s="1"/>
      <c r="B98" s="1"/>
      <c r="C98" s="1"/>
      <c r="D98" s="1"/>
      <c r="E98" s="1"/>
      <c r="F98" s="128"/>
      <c r="G98" s="1"/>
      <c r="H98" s="1"/>
      <c r="I98" s="1"/>
      <c r="J98" s="1"/>
      <c r="K98" s="1"/>
      <c r="L98" s="1"/>
      <c r="M98" s="1"/>
      <c r="N98" s="1"/>
      <c r="O98" s="1"/>
      <c r="P98" s="1"/>
      <c r="Q98" s="1"/>
      <c r="R98" s="1"/>
      <c r="S98" s="1"/>
      <c r="T98" s="1"/>
      <c r="U98" s="1"/>
      <c r="V98" s="1"/>
      <c r="W98" s="1"/>
      <c r="X98" s="1"/>
      <c r="Y98" s="1"/>
      <c r="Z98" s="1"/>
      <c r="AA98" s="1"/>
    </row>
    <row r="99" spans="1:27" x14ac:dyDescent="0.2">
      <c r="A99" s="1"/>
      <c r="B99" s="1"/>
      <c r="C99" s="1"/>
      <c r="D99" s="1"/>
      <c r="E99" s="1"/>
      <c r="F99" s="128"/>
      <c r="G99" s="1"/>
      <c r="H99" s="1"/>
      <c r="I99" s="1"/>
      <c r="J99" s="1"/>
      <c r="K99" s="1"/>
      <c r="L99" s="1"/>
      <c r="M99" s="1"/>
      <c r="N99" s="1"/>
      <c r="O99" s="1"/>
      <c r="P99" s="1"/>
      <c r="Q99" s="1"/>
      <c r="R99" s="1"/>
      <c r="S99" s="1"/>
      <c r="T99" s="1"/>
      <c r="U99" s="1"/>
      <c r="V99" s="1"/>
      <c r="W99" s="1"/>
      <c r="X99" s="1"/>
      <c r="Y99" s="1"/>
      <c r="Z99" s="1"/>
      <c r="AA99" s="1"/>
    </row>
    <row r="100" spans="1:27" x14ac:dyDescent="0.2">
      <c r="A100" s="1"/>
      <c r="B100" s="1"/>
      <c r="C100" s="1"/>
      <c r="D100" s="1"/>
      <c r="E100" s="1"/>
      <c r="F100" s="128"/>
      <c r="G100" s="1"/>
      <c r="H100" s="1"/>
      <c r="I100" s="1"/>
      <c r="J100" s="1"/>
      <c r="K100" s="1"/>
      <c r="L100" s="1"/>
      <c r="M100" s="1"/>
      <c r="N100" s="1"/>
      <c r="O100" s="1"/>
      <c r="P100" s="1"/>
      <c r="Q100" s="1"/>
      <c r="R100" s="1"/>
      <c r="S100" s="1"/>
      <c r="T100" s="1"/>
      <c r="U100" s="1"/>
      <c r="V100" s="1"/>
      <c r="W100" s="1"/>
      <c r="X100" s="1"/>
      <c r="Y100" s="1"/>
      <c r="Z100" s="1"/>
      <c r="AA100" s="1"/>
    </row>
  </sheetData>
  <mergeCells count="2">
    <mergeCell ref="D15:E15"/>
    <mergeCell ref="J13:K13"/>
  </mergeCells>
  <phoneticPr fontId="20" type="noConversion"/>
  <pageMargins left="0.7" right="0.7" top="0.75" bottom="0.75" header="0.3" footer="0.3"/>
  <pageSetup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Z200"/>
  <sheetViews>
    <sheetView workbookViewId="0">
      <selection activeCell="F4" sqref="F4"/>
    </sheetView>
  </sheetViews>
  <sheetFormatPr defaultRowHeight="12.75" x14ac:dyDescent="0.2"/>
  <cols>
    <col min="9" max="9" width="10.5703125" customWidth="1"/>
    <col min="12" max="12" width="11.5703125" customWidth="1"/>
  </cols>
  <sheetData>
    <row r="1" spans="1:26" ht="18.75" thickBot="1" x14ac:dyDescent="0.3">
      <c r="A1" s="179" t="s">
        <v>253</v>
      </c>
      <c r="B1" s="23"/>
      <c r="C1" s="23"/>
      <c r="D1" s="23"/>
      <c r="E1" s="23"/>
      <c r="F1" s="23"/>
      <c r="G1" s="23"/>
      <c r="H1" s="23"/>
      <c r="I1" s="23"/>
      <c r="J1" s="23"/>
      <c r="K1" s="23"/>
      <c r="L1" s="23"/>
      <c r="M1" s="23"/>
      <c r="N1" s="23"/>
      <c r="O1" s="23"/>
      <c r="P1" s="23"/>
      <c r="Q1" s="23"/>
      <c r="R1" s="23"/>
      <c r="S1" s="23"/>
      <c r="T1" s="23"/>
      <c r="U1" s="23"/>
      <c r="V1" s="23"/>
      <c r="W1" s="23"/>
      <c r="X1" s="23"/>
      <c r="Y1" s="23"/>
      <c r="Z1" s="24"/>
    </row>
    <row r="2" spans="1:26" x14ac:dyDescent="0.2">
      <c r="A2" s="1"/>
      <c r="B2" s="1"/>
      <c r="C2" s="1"/>
      <c r="D2" s="1"/>
      <c r="E2" s="1"/>
      <c r="F2" s="1"/>
      <c r="G2" s="1"/>
      <c r="H2" s="1"/>
      <c r="I2" s="1"/>
      <c r="J2" s="1"/>
      <c r="K2" s="1"/>
      <c r="L2" s="1"/>
      <c r="M2" s="1"/>
      <c r="N2" s="1"/>
      <c r="O2" s="1"/>
      <c r="P2" s="1"/>
      <c r="Q2" s="1"/>
      <c r="R2" s="1"/>
      <c r="S2" s="1"/>
      <c r="T2" s="1"/>
      <c r="U2" s="1"/>
      <c r="V2" s="1"/>
      <c r="W2" s="1"/>
      <c r="X2" s="1"/>
      <c r="Y2" s="1"/>
      <c r="Z2" s="1"/>
    </row>
    <row r="3" spans="1:26" ht="13.5" thickBot="1" x14ac:dyDescent="0.25">
      <c r="A3" s="108" t="s">
        <v>3</v>
      </c>
      <c r="B3" s="1"/>
      <c r="C3" s="1"/>
      <c r="D3" s="1"/>
      <c r="E3" s="1"/>
      <c r="F3" s="1"/>
      <c r="G3" s="1"/>
      <c r="H3" s="1"/>
      <c r="I3" s="1"/>
      <c r="J3" s="1"/>
      <c r="K3" s="1"/>
      <c r="L3" s="1"/>
      <c r="M3" s="1"/>
      <c r="N3" s="1"/>
      <c r="O3" s="1"/>
      <c r="P3" s="1"/>
      <c r="Q3" s="1"/>
      <c r="R3" s="1"/>
      <c r="S3" s="1"/>
      <c r="T3" s="1"/>
      <c r="U3" s="1"/>
      <c r="V3" s="1"/>
      <c r="W3" s="1"/>
      <c r="X3" s="1"/>
      <c r="Y3" s="1"/>
      <c r="Z3" s="1"/>
    </row>
    <row r="4" spans="1:26" ht="16.5" thickBot="1" x14ac:dyDescent="0.3">
      <c r="A4" s="1"/>
      <c r="B4" s="316" t="s">
        <v>254</v>
      </c>
      <c r="C4" s="317"/>
      <c r="D4" s="1"/>
      <c r="E4" s="1"/>
      <c r="F4" s="155" t="s">
        <v>241</v>
      </c>
      <c r="G4" s="1"/>
      <c r="H4" s="1"/>
      <c r="I4" s="1"/>
      <c r="J4" s="1"/>
      <c r="K4" s="1"/>
      <c r="L4" s="1"/>
      <c r="M4" s="1"/>
      <c r="N4" s="1"/>
      <c r="O4" s="1"/>
      <c r="P4" s="1"/>
      <c r="Q4" s="1"/>
      <c r="R4" s="1"/>
      <c r="S4" s="1"/>
      <c r="T4" s="1"/>
      <c r="U4" s="1"/>
      <c r="V4" s="1"/>
      <c r="W4" s="1"/>
      <c r="X4" s="1"/>
      <c r="Y4" s="1"/>
      <c r="Z4" s="1"/>
    </row>
    <row r="5" spans="1:26" x14ac:dyDescent="0.2">
      <c r="A5" s="1"/>
      <c r="B5" s="1"/>
      <c r="C5" s="1"/>
      <c r="D5" s="1"/>
      <c r="E5" s="1"/>
      <c r="F5" s="1"/>
      <c r="G5" s="1"/>
      <c r="H5" s="1"/>
      <c r="I5" s="1"/>
      <c r="J5" s="1"/>
      <c r="K5" s="1"/>
      <c r="L5" s="1"/>
      <c r="M5" s="1"/>
      <c r="N5" s="1"/>
      <c r="O5" s="1"/>
      <c r="P5" s="1"/>
      <c r="Q5" s="1"/>
      <c r="R5" s="1"/>
      <c r="S5" s="1"/>
      <c r="T5" s="1"/>
      <c r="U5" s="1"/>
      <c r="V5" s="1"/>
      <c r="W5" s="1"/>
      <c r="X5" s="1"/>
      <c r="Y5" s="1"/>
      <c r="Z5" s="1"/>
    </row>
    <row r="6" spans="1:26" ht="13.5" thickBot="1" x14ac:dyDescent="0.25">
      <c r="A6" s="1"/>
      <c r="B6" s="1"/>
      <c r="C6" s="1"/>
      <c r="D6" s="1"/>
      <c r="E6" s="1"/>
      <c r="F6" s="1"/>
      <c r="G6" s="1"/>
      <c r="H6" s="1"/>
      <c r="I6" s="1"/>
      <c r="J6" s="1"/>
      <c r="K6" s="1"/>
      <c r="L6" s="1"/>
      <c r="M6" s="115" t="s">
        <v>259</v>
      </c>
      <c r="N6" s="1"/>
      <c r="O6" s="1"/>
      <c r="P6" s="1"/>
      <c r="Q6" s="1"/>
      <c r="R6" s="1"/>
      <c r="S6" s="1"/>
      <c r="T6" s="1"/>
      <c r="U6" s="1"/>
      <c r="V6" s="1"/>
      <c r="W6" s="1"/>
      <c r="X6" s="1"/>
      <c r="Y6" s="1"/>
      <c r="Z6" s="1"/>
    </row>
    <row r="7" spans="1:26" ht="12.75" customHeight="1" thickBot="1" x14ac:dyDescent="0.25">
      <c r="A7" s="1"/>
      <c r="B7" s="297" t="s">
        <v>262</v>
      </c>
      <c r="C7" s="298"/>
      <c r="D7" s="1"/>
      <c r="E7" s="1"/>
      <c r="F7" s="1"/>
      <c r="G7" s="1"/>
      <c r="H7" s="1"/>
      <c r="I7" s="1"/>
      <c r="J7" s="1"/>
      <c r="K7" s="1"/>
      <c r="L7" s="185" t="s">
        <v>260</v>
      </c>
      <c r="M7" s="191">
        <v>0.5</v>
      </c>
      <c r="N7" s="1"/>
      <c r="O7" s="1"/>
      <c r="P7" s="1"/>
      <c r="Q7" s="1"/>
      <c r="R7" s="1"/>
      <c r="S7" s="1"/>
      <c r="T7" s="1"/>
      <c r="U7" s="1"/>
      <c r="V7" s="1"/>
      <c r="W7" s="1"/>
      <c r="X7" s="1"/>
      <c r="Y7" s="1"/>
      <c r="Z7" s="1"/>
    </row>
    <row r="8" spans="1:26" x14ac:dyDescent="0.2">
      <c r="A8" s="1"/>
      <c r="B8" s="1"/>
      <c r="C8" s="1"/>
      <c r="D8" s="1"/>
      <c r="E8" s="1"/>
      <c r="F8" s="1"/>
      <c r="G8" s="1"/>
      <c r="H8" s="182" t="s">
        <v>256</v>
      </c>
      <c r="I8" s="1"/>
      <c r="J8" s="1"/>
      <c r="K8" s="1"/>
      <c r="L8" s="1"/>
      <c r="M8" s="1"/>
      <c r="N8" s="182"/>
      <c r="O8" s="1"/>
      <c r="P8" s="1"/>
      <c r="Q8" s="1"/>
      <c r="R8" s="1"/>
      <c r="S8" s="1"/>
      <c r="T8" s="1"/>
      <c r="U8" s="1"/>
      <c r="V8" s="1"/>
      <c r="W8" s="1"/>
      <c r="X8" s="1"/>
      <c r="Y8" s="1"/>
      <c r="Z8" s="1"/>
    </row>
    <row r="9" spans="1:26" x14ac:dyDescent="0.2">
      <c r="A9" s="1"/>
      <c r="B9" s="1"/>
      <c r="C9" s="1"/>
      <c r="D9" s="1"/>
      <c r="E9" s="1"/>
      <c r="F9" s="1"/>
      <c r="G9" s="1"/>
      <c r="H9" s="181"/>
      <c r="I9" s="1"/>
      <c r="J9" s="1"/>
      <c r="K9" s="180"/>
      <c r="L9" s="1"/>
      <c r="M9" s="1"/>
      <c r="N9" s="1"/>
      <c r="O9" s="1"/>
      <c r="P9" s="1"/>
      <c r="Q9" s="1"/>
      <c r="R9" s="1"/>
      <c r="S9" s="1"/>
      <c r="T9" s="1"/>
      <c r="U9" s="1"/>
      <c r="V9" s="1"/>
      <c r="W9" s="1"/>
      <c r="X9" s="1"/>
      <c r="Y9" s="1"/>
      <c r="Z9" s="1"/>
    </row>
    <row r="10" spans="1:26"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3.5" thickBot="1" x14ac:dyDescent="0.25">
      <c r="A12" s="1"/>
      <c r="B12" s="1"/>
      <c r="C12" s="1"/>
      <c r="D12" s="1"/>
      <c r="E12" s="1"/>
      <c r="F12" s="1"/>
      <c r="G12" s="1"/>
      <c r="H12" s="1"/>
      <c r="I12" s="1"/>
      <c r="J12" s="1"/>
      <c r="K12" s="115" t="s">
        <v>263</v>
      </c>
      <c r="L12" s="1"/>
      <c r="M12" s="1"/>
      <c r="N12" s="1"/>
      <c r="O12" s="1"/>
      <c r="P12" s="1"/>
      <c r="Q12" s="1"/>
      <c r="R12" s="1"/>
      <c r="S12" s="1"/>
      <c r="T12" s="1"/>
      <c r="U12" s="1"/>
      <c r="V12" s="1"/>
      <c r="W12" s="1"/>
      <c r="X12" s="1"/>
      <c r="Y12" s="1"/>
      <c r="Z12" s="1"/>
    </row>
    <row r="13" spans="1:26" ht="13.5" thickBot="1" x14ac:dyDescent="0.25">
      <c r="A13" s="1"/>
      <c r="B13" s="184" t="s">
        <v>258</v>
      </c>
      <c r="C13" s="154"/>
      <c r="D13" s="1"/>
      <c r="E13" s="1"/>
      <c r="F13" s="1"/>
      <c r="G13" s="1"/>
      <c r="H13" s="1"/>
      <c r="I13" s="1"/>
      <c r="J13" s="1"/>
      <c r="K13" s="215">
        <v>15</v>
      </c>
      <c r="L13" s="1"/>
      <c r="M13" s="1"/>
      <c r="N13" s="1"/>
      <c r="O13" s="1"/>
      <c r="P13" s="1"/>
      <c r="Q13" s="1"/>
      <c r="R13" s="1"/>
      <c r="S13" s="1"/>
      <c r="T13" s="1"/>
      <c r="U13" s="1"/>
      <c r="V13" s="1"/>
      <c r="W13" s="1"/>
      <c r="X13" s="1"/>
      <c r="Y13" s="1"/>
      <c r="Z13" s="1"/>
    </row>
    <row r="14" spans="1:26"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x14ac:dyDescent="0.25">
      <c r="A15" s="1"/>
      <c r="B15" s="1"/>
      <c r="C15" s="1"/>
      <c r="D15" s="1"/>
      <c r="E15" s="1"/>
      <c r="F15" s="1"/>
      <c r="G15" s="1"/>
      <c r="H15" s="1"/>
      <c r="I15" s="1"/>
      <c r="J15" s="1"/>
      <c r="K15" s="186" t="s">
        <v>255</v>
      </c>
      <c r="L15" s="1"/>
      <c r="M15" s="1"/>
      <c r="N15" s="1"/>
      <c r="O15" s="1"/>
      <c r="P15" s="1"/>
      <c r="Q15" s="1"/>
      <c r="R15" s="1"/>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08" t="s">
        <v>3</v>
      </c>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82" t="s">
        <v>277</v>
      </c>
      <c r="O21" s="1"/>
      <c r="P21" s="1"/>
      <c r="Q21" s="1"/>
      <c r="R21" s="1"/>
      <c r="S21" s="1"/>
      <c r="T21" s="1"/>
      <c r="U21" s="1"/>
      <c r="V21" s="1"/>
      <c r="W21" s="1"/>
      <c r="X21" s="1"/>
      <c r="Y21" s="1"/>
      <c r="Z21" s="1"/>
    </row>
    <row r="22" spans="1:26" ht="15.75" x14ac:dyDescent="0.25">
      <c r="A22" s="1"/>
      <c r="B22" s="1"/>
      <c r="C22" s="1"/>
      <c r="D22" s="1"/>
      <c r="E22" s="1"/>
      <c r="F22" s="1"/>
      <c r="G22" s="1"/>
      <c r="H22" s="1"/>
      <c r="I22" s="186"/>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thickBo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thickBot="1" x14ac:dyDescent="0.25">
      <c r="A31" s="1"/>
      <c r="B31" s="309" t="s">
        <v>261</v>
      </c>
      <c r="C31" s="310"/>
      <c r="D31" s="1"/>
      <c r="E31" s="1"/>
      <c r="F31" s="1"/>
      <c r="G31" s="192">
        <v>3</v>
      </c>
      <c r="H31" s="108"/>
      <c r="I31" s="1"/>
      <c r="J31" s="1"/>
      <c r="K31" s="1"/>
      <c r="L31" s="1"/>
      <c r="M31" s="1"/>
      <c r="N31" s="1" t="s">
        <v>270</v>
      </c>
      <c r="O31" s="1"/>
      <c r="P31" s="1"/>
      <c r="Q31" s="1"/>
      <c r="R31" s="1"/>
      <c r="S31" s="1"/>
      <c r="T31" s="1"/>
      <c r="U31" s="1"/>
      <c r="V31" s="1"/>
      <c r="W31" s="1"/>
      <c r="X31" s="1"/>
      <c r="Y31" s="1"/>
      <c r="Z31" s="1"/>
    </row>
    <row r="32" spans="1:26" x14ac:dyDescent="0.2">
      <c r="A32" s="1"/>
      <c r="B32" s="1"/>
      <c r="C32" s="1"/>
      <c r="D32" s="1"/>
      <c r="E32" s="1"/>
      <c r="F32" s="1"/>
      <c r="G32" s="194" t="s">
        <v>272</v>
      </c>
      <c r="H32" s="1"/>
      <c r="I32" s="1"/>
      <c r="J32" s="1"/>
      <c r="K32" s="1"/>
      <c r="L32" s="1"/>
      <c r="M32" s="1"/>
      <c r="N32" s="1"/>
      <c r="O32" s="1"/>
      <c r="P32" s="1"/>
      <c r="Q32" s="1"/>
      <c r="R32" s="1"/>
      <c r="S32" s="1"/>
      <c r="T32" s="1"/>
      <c r="U32" s="1"/>
      <c r="V32" s="1"/>
      <c r="W32" s="1"/>
      <c r="X32" s="1"/>
      <c r="Y32" s="1"/>
      <c r="Z32" s="1"/>
    </row>
    <row r="33" spans="1:26" ht="13.5" thickBot="1" x14ac:dyDescent="0.25">
      <c r="A33" s="1"/>
      <c r="B33" s="1"/>
      <c r="C33" s="1"/>
      <c r="D33" s="1"/>
      <c r="E33" s="1"/>
      <c r="F33" s="1"/>
      <c r="G33" s="1"/>
      <c r="H33" s="1"/>
      <c r="I33" s="115"/>
      <c r="J33" s="1"/>
      <c r="K33" s="1"/>
      <c r="L33" s="1"/>
      <c r="M33" s="1"/>
      <c r="N33" s="1"/>
      <c r="O33" s="1"/>
      <c r="P33" s="1"/>
      <c r="Q33" s="1"/>
      <c r="R33" s="1"/>
      <c r="S33" s="1"/>
      <c r="T33" s="1"/>
      <c r="U33" s="1"/>
      <c r="V33" s="1"/>
      <c r="W33" s="1"/>
      <c r="X33" s="1"/>
      <c r="Y33" s="1"/>
      <c r="Z33" s="1"/>
    </row>
    <row r="34" spans="1:26" ht="13.5" thickBot="1" x14ac:dyDescent="0.25">
      <c r="A34" s="1"/>
      <c r="B34" s="309" t="s">
        <v>264</v>
      </c>
      <c r="C34" s="310"/>
      <c r="D34" s="1"/>
      <c r="E34" s="1"/>
      <c r="F34" s="1"/>
      <c r="G34" s="1"/>
      <c r="H34" s="1"/>
      <c r="I34" s="192">
        <v>1</v>
      </c>
      <c r="J34" s="1"/>
      <c r="K34" s="1"/>
      <c r="L34" s="1"/>
      <c r="M34" s="1"/>
      <c r="N34" s="1"/>
      <c r="O34" s="1"/>
      <c r="P34" s="1"/>
      <c r="Q34" s="1"/>
      <c r="R34" s="1"/>
      <c r="S34" s="1"/>
      <c r="T34" s="1"/>
      <c r="U34" s="1"/>
      <c r="V34" s="1"/>
      <c r="W34" s="1"/>
      <c r="X34" s="1"/>
      <c r="Y34" s="1"/>
      <c r="Z34" s="1"/>
    </row>
    <row r="35" spans="1:26" x14ac:dyDescent="0.2">
      <c r="A35" s="1"/>
      <c r="B35" s="183"/>
      <c r="C35" s="1"/>
      <c r="D35" s="1"/>
      <c r="E35" s="1"/>
      <c r="F35" s="1"/>
      <c r="G35" s="1"/>
      <c r="H35" s="1"/>
      <c r="I35" s="115" t="s">
        <v>267</v>
      </c>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thickBot="1" x14ac:dyDescent="0.25">
      <c r="A37" s="1"/>
      <c r="B37" s="309" t="s">
        <v>265</v>
      </c>
      <c r="C37" s="318"/>
      <c r="D37" s="310"/>
      <c r="E37" s="1"/>
      <c r="F37" s="1"/>
      <c r="G37" s="1"/>
      <c r="H37" s="1"/>
      <c r="I37" s="1"/>
      <c r="J37" s="1"/>
      <c r="K37" s="1"/>
      <c r="L37" s="1"/>
      <c r="M37" s="1"/>
      <c r="N37" s="1"/>
      <c r="O37" s="1"/>
      <c r="P37" s="1"/>
      <c r="Q37" s="1"/>
      <c r="R37" s="1"/>
      <c r="S37" s="1"/>
      <c r="T37" s="1"/>
      <c r="U37" s="1"/>
      <c r="V37" s="1"/>
      <c r="W37" s="1"/>
      <c r="X37" s="1"/>
      <c r="Y37" s="1"/>
      <c r="Z37" s="1"/>
    </row>
    <row r="38" spans="1:26" ht="13.5" thickBot="1" x14ac:dyDescent="0.25">
      <c r="A38" s="1"/>
      <c r="B38" s="1"/>
      <c r="C38" s="1"/>
      <c r="D38" s="1"/>
      <c r="E38" s="1"/>
      <c r="F38" s="1"/>
      <c r="G38" s="1"/>
      <c r="H38" s="1"/>
      <c r="I38" s="1"/>
      <c r="J38" s="1"/>
      <c r="K38" s="1"/>
      <c r="L38" s="202">
        <v>50</v>
      </c>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15" t="s">
        <v>266</v>
      </c>
      <c r="M39" s="1"/>
      <c r="N39" s="1"/>
      <c r="O39" s="1"/>
      <c r="P39" s="1"/>
      <c r="Q39" s="1"/>
      <c r="R39" s="1"/>
      <c r="S39" s="1"/>
      <c r="T39" s="1"/>
      <c r="U39" s="1"/>
      <c r="V39" s="1"/>
      <c r="W39" s="1"/>
      <c r="X39" s="1"/>
      <c r="Y39" s="1"/>
      <c r="Z39" s="1"/>
    </row>
    <row r="40" spans="1:26" x14ac:dyDescent="0.2">
      <c r="A40" s="1"/>
      <c r="B40" s="311"/>
      <c r="C40" s="311"/>
      <c r="D40" s="311"/>
      <c r="E40" s="1"/>
      <c r="F40" s="1"/>
      <c r="G40" s="1"/>
      <c r="H40" s="1"/>
      <c r="I40" s="1"/>
      <c r="J40" s="1"/>
      <c r="K40" s="1"/>
      <c r="L40" s="187"/>
      <c r="M40" s="1"/>
      <c r="N40" s="1"/>
      <c r="O40" s="1"/>
      <c r="P40" s="1"/>
      <c r="Q40" s="1"/>
      <c r="R40" s="1"/>
      <c r="S40" s="1"/>
      <c r="T40" s="1"/>
      <c r="U40" s="1"/>
      <c r="V40" s="1"/>
      <c r="W40" s="1"/>
      <c r="X40" s="1"/>
      <c r="Y40" s="1"/>
      <c r="Z40" s="1"/>
    </row>
    <row r="41" spans="1:26" ht="13.5" thickBot="1" x14ac:dyDescent="0.25">
      <c r="A41" s="1"/>
      <c r="B41" s="1"/>
      <c r="C41" s="1"/>
      <c r="D41" s="1"/>
      <c r="E41" s="1"/>
      <c r="F41" s="1"/>
      <c r="G41" s="1"/>
      <c r="H41" s="1"/>
      <c r="I41" s="1"/>
      <c r="J41" s="1"/>
      <c r="K41" s="1"/>
      <c r="L41" s="201"/>
      <c r="M41" s="1"/>
      <c r="N41" s="1"/>
      <c r="O41" s="1"/>
      <c r="P41" s="1"/>
      <c r="Q41" s="1"/>
      <c r="R41" s="1"/>
      <c r="S41" s="1"/>
      <c r="T41" s="1"/>
      <c r="U41" s="1"/>
      <c r="V41" s="1"/>
      <c r="W41" s="1"/>
      <c r="X41" s="1"/>
      <c r="Y41" s="1"/>
      <c r="Z41" s="1"/>
    </row>
    <row r="42" spans="1:26" ht="13.5" thickBot="1" x14ac:dyDescent="0.25">
      <c r="A42" s="1"/>
      <c r="B42" s="306" t="s">
        <v>82</v>
      </c>
      <c r="C42" s="307"/>
      <c r="D42" s="308"/>
      <c r="E42" s="1"/>
      <c r="F42" s="1"/>
      <c r="G42" s="248" t="s">
        <v>291</v>
      </c>
      <c r="H42" s="1"/>
      <c r="I42" s="203">
        <f>'6-Uplink Budget'!B12</f>
        <v>27.989700043360187</v>
      </c>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thickBo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thickBot="1" x14ac:dyDescent="0.25">
      <c r="A47" s="188"/>
      <c r="B47" s="189"/>
      <c r="C47" s="189"/>
      <c r="D47" s="189"/>
      <c r="E47" s="189"/>
      <c r="F47" s="189"/>
      <c r="G47" s="189"/>
      <c r="H47" s="189"/>
      <c r="I47" s="189"/>
      <c r="J47" s="189"/>
      <c r="K47" s="189"/>
      <c r="L47" s="189"/>
      <c r="M47" s="189"/>
      <c r="N47" s="189"/>
      <c r="O47" s="189"/>
      <c r="P47" s="189"/>
      <c r="Q47" s="189"/>
      <c r="R47" s="189"/>
      <c r="S47" s="189"/>
      <c r="T47" s="189"/>
      <c r="U47" s="189"/>
      <c r="V47" s="189"/>
      <c r="W47" s="189"/>
      <c r="X47" s="189"/>
      <c r="Y47" s="189"/>
      <c r="Z47" s="190"/>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thickBot="1" x14ac:dyDescent="0.25">
      <c r="A50" s="1"/>
      <c r="B50" s="1"/>
      <c r="C50" s="1"/>
      <c r="D50" s="108" t="s">
        <v>3</v>
      </c>
      <c r="E50" s="1"/>
      <c r="F50" s="1"/>
      <c r="G50" s="1"/>
      <c r="H50" s="1"/>
      <c r="I50" s="1"/>
      <c r="J50" s="1"/>
      <c r="K50" s="1"/>
      <c r="L50" s="1"/>
      <c r="M50" s="1"/>
      <c r="N50" s="1"/>
      <c r="O50" s="1"/>
      <c r="P50" s="1"/>
      <c r="Q50" s="1"/>
      <c r="R50" s="1"/>
      <c r="S50" s="1"/>
      <c r="T50" s="1"/>
      <c r="U50" s="1"/>
      <c r="V50" s="1"/>
      <c r="W50" s="1"/>
      <c r="X50" s="1"/>
      <c r="Y50" s="1"/>
      <c r="Z50" s="1"/>
    </row>
    <row r="51" spans="1:26" ht="16.5" thickBot="1" x14ac:dyDescent="0.3">
      <c r="A51" s="1"/>
      <c r="B51" s="316" t="s">
        <v>268</v>
      </c>
      <c r="C51" s="317"/>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thickBot="1" x14ac:dyDescent="0.25">
      <c r="A55" s="1"/>
      <c r="B55" s="1"/>
      <c r="C55" s="1"/>
      <c r="D55" s="1"/>
      <c r="E55" s="1"/>
      <c r="F55" s="1"/>
      <c r="G55" s="1"/>
      <c r="H55" s="1"/>
      <c r="I55" s="1"/>
      <c r="J55" s="1"/>
      <c r="K55" s="1"/>
      <c r="L55" s="1"/>
      <c r="M55" s="1"/>
      <c r="N55" s="1"/>
      <c r="O55" s="183" t="s">
        <v>274</v>
      </c>
      <c r="P55" s="1"/>
      <c r="Q55" s="1"/>
      <c r="R55" s="1"/>
      <c r="S55" s="1"/>
      <c r="T55" s="1"/>
      <c r="U55" s="1"/>
      <c r="V55" s="1"/>
      <c r="W55" s="1"/>
      <c r="X55" s="1"/>
      <c r="Y55" s="1"/>
      <c r="Z55" s="1"/>
    </row>
    <row r="56" spans="1:26" ht="13.5" thickBot="1" x14ac:dyDescent="0.25">
      <c r="A56" s="1"/>
      <c r="B56" s="297" t="s">
        <v>61</v>
      </c>
      <c r="C56" s="315"/>
      <c r="D56" s="298"/>
      <c r="E56" s="1"/>
      <c r="F56" s="1"/>
      <c r="G56" s="1"/>
      <c r="H56" s="1"/>
      <c r="I56" s="1"/>
      <c r="J56" s="1"/>
      <c r="K56" s="1"/>
      <c r="L56" s="1"/>
      <c r="M56" s="1"/>
      <c r="N56" s="1"/>
      <c r="O56" s="236">
        <v>1000</v>
      </c>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99"/>
      <c r="C58" s="299"/>
      <c r="D58" s="1"/>
      <c r="E58" s="1"/>
      <c r="F58" s="1"/>
      <c r="G58" s="1"/>
      <c r="H58" s="1"/>
      <c r="I58" s="1"/>
      <c r="J58" s="1"/>
      <c r="K58" s="1"/>
      <c r="L58" s="1"/>
      <c r="M58" s="1" t="s">
        <v>3</v>
      </c>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thickBot="1" x14ac:dyDescent="0.25">
      <c r="A61" s="1"/>
      <c r="B61" s="1"/>
      <c r="C61" s="1"/>
      <c r="D61" s="1"/>
      <c r="E61" s="1"/>
      <c r="F61" s="1"/>
      <c r="G61" s="1"/>
      <c r="H61" s="1"/>
      <c r="I61" s="1"/>
      <c r="J61" s="1"/>
      <c r="K61" s="1"/>
      <c r="L61" s="1"/>
      <c r="M61" s="115" t="s">
        <v>259</v>
      </c>
      <c r="N61" s="1"/>
      <c r="O61" s="1"/>
      <c r="P61" s="1"/>
      <c r="Q61" s="1"/>
      <c r="R61" s="1"/>
      <c r="S61" s="1"/>
      <c r="T61" s="1"/>
      <c r="U61" s="1"/>
      <c r="V61" s="1"/>
      <c r="W61" s="1"/>
      <c r="X61" s="1"/>
      <c r="Y61" s="1"/>
      <c r="Z61" s="1"/>
    </row>
    <row r="62" spans="1:26" ht="13.5" thickBot="1" x14ac:dyDescent="0.25">
      <c r="A62" s="1"/>
      <c r="B62" s="297" t="s">
        <v>262</v>
      </c>
      <c r="C62" s="298"/>
      <c r="D62" s="1"/>
      <c r="E62" s="1"/>
      <c r="F62" s="1"/>
      <c r="G62" s="1"/>
      <c r="H62" s="1"/>
      <c r="I62" s="1"/>
      <c r="J62" s="1"/>
      <c r="K62" s="1"/>
      <c r="L62" s="185" t="s">
        <v>260</v>
      </c>
      <c r="M62" s="191">
        <v>0.5</v>
      </c>
      <c r="N62" s="1"/>
      <c r="O62" s="1"/>
      <c r="P62" s="1"/>
      <c r="Q62" s="1"/>
      <c r="R62" s="1"/>
      <c r="S62" s="1"/>
      <c r="T62" s="1"/>
      <c r="U62" s="1"/>
      <c r="V62" s="1"/>
      <c r="W62" s="1"/>
      <c r="X62" s="1"/>
      <c r="Y62" s="1"/>
      <c r="Z62" s="1"/>
    </row>
    <row r="63" spans="1:26" x14ac:dyDescent="0.2">
      <c r="A63" s="1"/>
      <c r="B63" s="1"/>
      <c r="C63" s="1"/>
      <c r="D63" s="1"/>
      <c r="E63" s="1"/>
      <c r="F63" s="1"/>
      <c r="G63" s="1"/>
      <c r="H63" s="182" t="s">
        <v>256</v>
      </c>
      <c r="I63" s="1"/>
      <c r="J63" s="1"/>
      <c r="K63" s="1"/>
      <c r="L63" s="1"/>
      <c r="M63" s="1"/>
      <c r="N63" s="182"/>
      <c r="O63" s="1"/>
      <c r="P63" s="1"/>
      <c r="Q63" s="1"/>
      <c r="R63" s="1"/>
      <c r="S63" s="1"/>
      <c r="T63" s="1"/>
      <c r="U63" s="1"/>
      <c r="V63" s="1"/>
      <c r="W63" s="1"/>
      <c r="X63" s="1"/>
      <c r="Y63" s="1"/>
      <c r="Z63" s="1"/>
    </row>
    <row r="64" spans="1:26" x14ac:dyDescent="0.2">
      <c r="A64" s="1"/>
      <c r="B64" s="1"/>
      <c r="C64" s="1"/>
      <c r="D64" s="1"/>
      <c r="E64" s="1"/>
      <c r="F64" s="1"/>
      <c r="G64" s="1"/>
      <c r="H64" s="181"/>
      <c r="I64" s="1"/>
      <c r="J64" s="1"/>
      <c r="K64" s="180"/>
      <c r="L64" s="1"/>
      <c r="M64" s="1"/>
      <c r="N64" s="1"/>
      <c r="O64" s="1"/>
      <c r="P64" s="1"/>
      <c r="Q64" s="1"/>
      <c r="R64" s="1"/>
      <c r="S64" s="1"/>
      <c r="T64" s="1"/>
      <c r="U64" s="1"/>
      <c r="V64" s="1"/>
      <c r="W64" s="1"/>
      <c r="X64" s="1"/>
      <c r="Y64" s="1"/>
      <c r="Z64" s="1"/>
    </row>
    <row r="65" spans="1:26" x14ac:dyDescent="0.2">
      <c r="A65" s="1"/>
      <c r="B65" s="193"/>
      <c r="C65" s="128"/>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thickBot="1" x14ac:dyDescent="0.25">
      <c r="A67" s="1"/>
      <c r="B67" s="108" t="s">
        <v>3</v>
      </c>
      <c r="C67" s="1"/>
      <c r="D67" s="1"/>
      <c r="E67" s="1"/>
      <c r="F67" s="108" t="s">
        <v>3</v>
      </c>
      <c r="G67" s="1"/>
      <c r="H67" s="1"/>
      <c r="I67" s="1"/>
      <c r="J67" s="1"/>
      <c r="K67" s="115" t="s">
        <v>263</v>
      </c>
      <c r="L67" s="1"/>
      <c r="M67" s="1"/>
      <c r="N67" s="1"/>
      <c r="O67" s="1"/>
      <c r="P67" s="1"/>
      <c r="Q67" s="1"/>
      <c r="R67" s="1"/>
      <c r="S67" s="1"/>
      <c r="T67" s="1"/>
      <c r="U67" s="1"/>
      <c r="V67" s="1"/>
      <c r="W67" s="1"/>
      <c r="X67" s="1"/>
      <c r="Y67" s="1"/>
      <c r="Z67" s="1"/>
    </row>
    <row r="68" spans="1:26" ht="13.5" thickBot="1" x14ac:dyDescent="0.25">
      <c r="A68" s="1"/>
      <c r="B68" s="197" t="s">
        <v>276</v>
      </c>
      <c r="C68" s="198"/>
      <c r="D68" s="199"/>
      <c r="E68" s="1"/>
      <c r="F68" s="1"/>
      <c r="G68" s="1"/>
      <c r="H68" s="1"/>
      <c r="I68" s="1"/>
      <c r="J68" s="1"/>
      <c r="K68" s="215">
        <v>13.5</v>
      </c>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93"/>
      <c r="C71" s="128"/>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95"/>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82" t="s">
        <v>257</v>
      </c>
      <c r="O76" s="1"/>
      <c r="P76" s="1"/>
      <c r="Q76" s="1"/>
      <c r="R76" s="1"/>
      <c r="S76" s="1"/>
      <c r="T76" s="1"/>
      <c r="U76" s="1"/>
      <c r="V76" s="1"/>
      <c r="W76" s="1"/>
      <c r="X76" s="1"/>
      <c r="Y76" s="1"/>
      <c r="Z76" s="1"/>
    </row>
    <row r="77" spans="1:26" ht="15.75" x14ac:dyDescent="0.25">
      <c r="A77" s="1"/>
      <c r="B77" s="1"/>
      <c r="C77" s="1"/>
      <c r="D77" s="108" t="s">
        <v>3</v>
      </c>
      <c r="E77" s="1"/>
      <c r="F77" s="1"/>
      <c r="G77" s="1"/>
      <c r="H77" s="1"/>
      <c r="I77" s="186" t="s">
        <v>255</v>
      </c>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thickBo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thickBot="1" x14ac:dyDescent="0.25">
      <c r="A86" s="1"/>
      <c r="B86" s="309" t="s">
        <v>261</v>
      </c>
      <c r="C86" s="310"/>
      <c r="D86" s="1"/>
      <c r="E86" s="1"/>
      <c r="F86" s="1"/>
      <c r="G86" s="192">
        <v>2</v>
      </c>
      <c r="H86" s="108"/>
      <c r="I86" s="1"/>
      <c r="J86" s="1"/>
      <c r="K86" s="1"/>
      <c r="L86" s="1"/>
      <c r="M86" s="1"/>
      <c r="N86" s="1" t="s">
        <v>269</v>
      </c>
      <c r="O86" s="1"/>
      <c r="P86" s="1"/>
      <c r="Q86" s="1"/>
      <c r="R86" s="1"/>
      <c r="S86" s="1"/>
      <c r="T86" s="1"/>
      <c r="U86" s="1"/>
      <c r="V86" s="1"/>
      <c r="W86" s="1"/>
      <c r="X86" s="1"/>
      <c r="Y86" s="1"/>
      <c r="Z86" s="1"/>
    </row>
    <row r="87" spans="1:26" x14ac:dyDescent="0.2">
      <c r="A87" s="1"/>
      <c r="B87" s="1"/>
      <c r="C87" s="1"/>
      <c r="D87" s="1"/>
      <c r="E87" s="1"/>
      <c r="F87" s="1"/>
      <c r="G87" s="194" t="s">
        <v>272</v>
      </c>
      <c r="H87" s="1"/>
      <c r="I87" s="1"/>
      <c r="J87" s="1"/>
      <c r="K87" s="1"/>
      <c r="L87" s="1"/>
      <c r="M87" s="1"/>
      <c r="N87" s="1"/>
      <c r="O87" s="1"/>
      <c r="P87" s="1"/>
      <c r="Q87" s="1"/>
      <c r="R87" s="1"/>
      <c r="S87" s="1"/>
      <c r="T87" s="1"/>
      <c r="U87" s="1"/>
      <c r="V87" s="1"/>
      <c r="W87" s="1"/>
      <c r="X87" s="1"/>
      <c r="Y87" s="1"/>
      <c r="Z87" s="1"/>
    </row>
    <row r="88" spans="1:26" ht="13.5" thickBot="1" x14ac:dyDescent="0.25">
      <c r="A88" s="1"/>
      <c r="B88" s="1"/>
      <c r="C88" s="1"/>
      <c r="D88" s="1"/>
      <c r="E88" s="1"/>
      <c r="F88" s="1"/>
      <c r="G88" s="1"/>
      <c r="H88" s="1"/>
      <c r="I88" s="115" t="s">
        <v>273</v>
      </c>
      <c r="J88" s="1"/>
      <c r="K88" s="1"/>
      <c r="L88" s="1"/>
      <c r="M88" s="1"/>
      <c r="N88" s="1"/>
      <c r="O88" s="1"/>
      <c r="P88" s="1"/>
      <c r="Q88" s="1"/>
      <c r="R88" s="1"/>
      <c r="S88" s="1"/>
      <c r="T88" s="1"/>
      <c r="U88" s="1"/>
      <c r="V88" s="1"/>
      <c r="W88" s="1"/>
      <c r="X88" s="1"/>
      <c r="Y88" s="1"/>
      <c r="Z88" s="1"/>
    </row>
    <row r="89" spans="1:26" ht="13.5" thickBot="1" x14ac:dyDescent="0.25">
      <c r="A89" s="1"/>
      <c r="B89" s="309" t="s">
        <v>264</v>
      </c>
      <c r="C89" s="310"/>
      <c r="D89" s="1"/>
      <c r="E89" s="1"/>
      <c r="F89" s="1"/>
      <c r="G89" s="1"/>
      <c r="H89" s="1"/>
      <c r="I89" s="192">
        <v>0.7</v>
      </c>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83" t="s">
        <v>3</v>
      </c>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thickBot="1" x14ac:dyDescent="0.25">
      <c r="A92" s="1"/>
      <c r="B92" s="311" t="s">
        <v>3</v>
      </c>
      <c r="C92" s="311"/>
      <c r="D92" s="1"/>
      <c r="E92" s="1"/>
      <c r="F92" s="1"/>
      <c r="G92" s="1"/>
      <c r="H92" s="1"/>
      <c r="I92" s="1"/>
      <c r="J92" s="1"/>
      <c r="K92" s="1"/>
      <c r="L92" s="1"/>
      <c r="M92" s="1"/>
      <c r="N92" s="1"/>
      <c r="O92" s="1"/>
      <c r="P92" s="1"/>
      <c r="Q92" s="1"/>
      <c r="R92" s="1"/>
      <c r="S92" s="1"/>
      <c r="T92" s="1"/>
      <c r="U92" s="1"/>
      <c r="V92" s="1"/>
      <c r="W92" s="1"/>
      <c r="X92" s="1"/>
      <c r="Y92" s="1"/>
      <c r="Z92" s="1"/>
    </row>
    <row r="93" spans="1:26" ht="13.5" thickBot="1" x14ac:dyDescent="0.25">
      <c r="A93" s="1"/>
      <c r="B93" s="312" t="s">
        <v>271</v>
      </c>
      <c r="C93" s="313"/>
      <c r="D93" s="314"/>
      <c r="E93" s="1"/>
      <c r="F93" s="1"/>
      <c r="G93" s="1"/>
      <c r="H93" s="1"/>
      <c r="I93" s="1"/>
      <c r="J93" s="1"/>
      <c r="K93" s="1"/>
      <c r="L93" s="236">
        <v>100</v>
      </c>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15" t="s">
        <v>271</v>
      </c>
      <c r="M94" s="1"/>
      <c r="N94" s="1"/>
      <c r="O94" s="1"/>
      <c r="P94" s="1"/>
      <c r="Q94" s="1"/>
      <c r="R94" s="1"/>
      <c r="S94" s="1"/>
      <c r="T94" s="1"/>
      <c r="U94" s="1"/>
      <c r="V94" s="1"/>
      <c r="W94" s="1"/>
      <c r="X94" s="1"/>
      <c r="Y94" s="1"/>
      <c r="Z94" s="1"/>
    </row>
    <row r="95" spans="1:26" x14ac:dyDescent="0.2">
      <c r="A95" s="1"/>
      <c r="B95" s="311" t="s">
        <v>3</v>
      </c>
      <c r="C95" s="311"/>
      <c r="D95" s="311"/>
      <c r="E95" s="1"/>
      <c r="F95" s="1"/>
      <c r="G95" s="1"/>
      <c r="H95" s="1"/>
      <c r="I95" s="1"/>
      <c r="J95" s="1"/>
      <c r="K95" s="1"/>
      <c r="L95" s="187"/>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303" t="s">
        <v>275</v>
      </c>
      <c r="C100" s="304"/>
      <c r="D100" s="305"/>
      <c r="E100" s="1"/>
      <c r="F100" s="1"/>
      <c r="G100" s="234" t="s">
        <v>291</v>
      </c>
      <c r="H100" s="1"/>
      <c r="I100" s="235">
        <f>'7-Downlink Budget'!B33</f>
        <v>771.29257542287939</v>
      </c>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294" t="s">
        <v>63</v>
      </c>
      <c r="C104" s="295"/>
      <c r="D104" s="295"/>
      <c r="E104" s="296"/>
      <c r="F104" s="1"/>
      <c r="G104" s="234" t="s">
        <v>291</v>
      </c>
      <c r="H104" s="1"/>
      <c r="I104" s="196">
        <f>'7-Downlink Budget'!B32</f>
        <v>0.53703179637025267</v>
      </c>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thickBo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thickBot="1" x14ac:dyDescent="0.25">
      <c r="A108" s="1"/>
      <c r="B108" s="300" t="s">
        <v>292</v>
      </c>
      <c r="C108" s="301"/>
      <c r="D108" s="302"/>
      <c r="E108" s="1"/>
      <c r="F108" s="1"/>
      <c r="G108" s="234" t="s">
        <v>291</v>
      </c>
      <c r="H108" s="1"/>
      <c r="I108" s="204">
        <f>'7-Downlink Budget'!B34</f>
        <v>-18.072191507993267</v>
      </c>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mergeCells count="19">
    <mergeCell ref="B4:C4"/>
    <mergeCell ref="B31:C31"/>
    <mergeCell ref="B34:C34"/>
    <mergeCell ref="B40:D40"/>
    <mergeCell ref="B37:D37"/>
    <mergeCell ref="B7:C7"/>
    <mergeCell ref="B42:D42"/>
    <mergeCell ref="B89:C89"/>
    <mergeCell ref="B92:C92"/>
    <mergeCell ref="B95:D95"/>
    <mergeCell ref="B86:C86"/>
    <mergeCell ref="B93:D93"/>
    <mergeCell ref="B56:D56"/>
    <mergeCell ref="B51:C51"/>
    <mergeCell ref="B104:E104"/>
    <mergeCell ref="B62:C62"/>
    <mergeCell ref="B58:C58"/>
    <mergeCell ref="B108:D108"/>
    <mergeCell ref="B100:D100"/>
  </mergeCells>
  <phoneticPr fontId="20" type="noConversion"/>
  <pageMargins left="0.7" right="0.7" top="0.75" bottom="0.75" header="0.3" footer="0.3"/>
  <pageSetup orientation="portrait" horizontalDpi="1200" verticalDpi="12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92D050"/>
  </sheetPr>
  <dimension ref="A1:P43"/>
  <sheetViews>
    <sheetView workbookViewId="0">
      <selection activeCell="B2" sqref="B2"/>
    </sheetView>
  </sheetViews>
  <sheetFormatPr defaultRowHeight="12.75" x14ac:dyDescent="0.2"/>
  <cols>
    <col min="1" max="1" width="50.42578125" customWidth="1"/>
    <col min="2" max="2" width="14.28515625" bestFit="1" customWidth="1"/>
    <col min="4" max="4" width="19.28515625" customWidth="1"/>
    <col min="8" max="8" width="12" customWidth="1"/>
    <col min="9" max="9" width="9.28515625" customWidth="1"/>
  </cols>
  <sheetData>
    <row r="1" spans="1:16" ht="18" x14ac:dyDescent="0.25">
      <c r="A1" s="47" t="str">
        <f>'1-Title Page'!F3</f>
        <v>Reference U/V Transponder</v>
      </c>
      <c r="B1" s="48"/>
      <c r="C1" s="48"/>
      <c r="D1" s="64" t="str">
        <f>'1-Title Page'!F7</f>
        <v>Jan A. King</v>
      </c>
      <c r="E1" s="64" t="s">
        <v>3</v>
      </c>
      <c r="F1" s="64" t="s">
        <v>2</v>
      </c>
      <c r="G1" s="64"/>
      <c r="H1" s="64"/>
      <c r="I1" s="48"/>
      <c r="J1" s="48"/>
      <c r="K1" s="48"/>
      <c r="L1" s="48"/>
      <c r="M1" s="48"/>
      <c r="N1" s="48"/>
      <c r="O1" s="48"/>
      <c r="P1" s="48"/>
    </row>
    <row r="2" spans="1:16" ht="20.25" x14ac:dyDescent="0.3">
      <c r="A2" s="49" t="s">
        <v>130</v>
      </c>
      <c r="B2" s="155" t="s">
        <v>241</v>
      </c>
      <c r="C2" s="48"/>
      <c r="D2" s="64" t="str">
        <f>'1-Title Page'!G1</f>
        <v xml:space="preserve"> Version: 1.6</v>
      </c>
      <c r="E2" s="64"/>
      <c r="F2" s="64" t="str">
        <f>'1-Title Page'!F23</f>
        <v>2009 September 30</v>
      </c>
      <c r="G2" s="64"/>
      <c r="H2" s="64"/>
      <c r="I2" s="116"/>
      <c r="J2" s="151" t="s">
        <v>209</v>
      </c>
      <c r="K2" s="152">
        <f>'3-Frequency'!C6</f>
        <v>437.45</v>
      </c>
      <c r="L2" s="117" t="s">
        <v>38</v>
      </c>
      <c r="M2" s="48"/>
      <c r="N2" s="48"/>
      <c r="O2" s="48"/>
      <c r="P2" s="48"/>
    </row>
    <row r="3" spans="1:16" x14ac:dyDescent="0.2">
      <c r="A3" s="48"/>
      <c r="B3" s="48"/>
      <c r="C3" s="48"/>
      <c r="D3" s="48"/>
      <c r="E3" s="48"/>
      <c r="F3" s="48"/>
      <c r="G3" s="48"/>
      <c r="H3" s="48"/>
      <c r="I3" s="48"/>
      <c r="J3" s="48"/>
      <c r="K3" s="48"/>
      <c r="L3" s="48"/>
      <c r="M3" s="48"/>
      <c r="N3" s="48"/>
      <c r="O3" s="48"/>
      <c r="P3" s="48"/>
    </row>
    <row r="4" spans="1:16" x14ac:dyDescent="0.2">
      <c r="A4" s="28" t="s">
        <v>4</v>
      </c>
      <c r="B4" s="28" t="s">
        <v>5</v>
      </c>
      <c r="C4" s="28" t="s">
        <v>45</v>
      </c>
      <c r="D4" s="28" t="s">
        <v>46</v>
      </c>
      <c r="E4" s="36"/>
      <c r="F4" s="36"/>
      <c r="G4" s="36"/>
      <c r="H4" s="36"/>
      <c r="I4" s="36"/>
      <c r="J4" s="36"/>
      <c r="K4" s="36"/>
      <c r="L4" s="36"/>
      <c r="M4" s="36"/>
      <c r="N4" s="36"/>
      <c r="O4" s="36"/>
      <c r="P4" s="36"/>
    </row>
    <row r="5" spans="1:16" x14ac:dyDescent="0.2">
      <c r="A5" s="35" t="s">
        <v>57</v>
      </c>
      <c r="B5" s="22"/>
      <c r="C5" s="22"/>
      <c r="D5" s="22"/>
      <c r="E5" s="22"/>
      <c r="F5" s="22"/>
      <c r="G5" s="22"/>
      <c r="H5" s="22"/>
      <c r="I5" s="22"/>
      <c r="J5" s="22"/>
      <c r="K5" s="22"/>
      <c r="L5" s="22"/>
      <c r="M5" s="22"/>
      <c r="N5" s="22"/>
      <c r="O5" s="22"/>
      <c r="P5" s="22"/>
    </row>
    <row r="6" spans="1:16" x14ac:dyDescent="0.2">
      <c r="A6" s="92" t="s">
        <v>131</v>
      </c>
      <c r="B6" s="99">
        <f>'5-User Set-Up'!L38</f>
        <v>50</v>
      </c>
      <c r="C6" t="s">
        <v>66</v>
      </c>
      <c r="D6" s="92" t="s">
        <v>135</v>
      </c>
    </row>
    <row r="7" spans="1:16" x14ac:dyDescent="0.2">
      <c r="A7" s="20" t="s">
        <v>74</v>
      </c>
      <c r="B7" s="37">
        <f>10*LOG10(B6)</f>
        <v>16.989700043360187</v>
      </c>
      <c r="C7" t="s">
        <v>67</v>
      </c>
    </row>
    <row r="8" spans="1:16" x14ac:dyDescent="0.2">
      <c r="A8" s="20" t="s">
        <v>75</v>
      </c>
      <c r="B8" s="37">
        <f>B7+30</f>
        <v>46.989700043360187</v>
      </c>
      <c r="C8" t="s">
        <v>68</v>
      </c>
    </row>
    <row r="9" spans="1:16" x14ac:dyDescent="0.2">
      <c r="A9" t="s">
        <v>48</v>
      </c>
      <c r="B9" s="200">
        <f>-('5-User Set-Up'!G31)</f>
        <v>-3</v>
      </c>
      <c r="C9" t="s">
        <v>41</v>
      </c>
    </row>
    <row r="10" spans="1:16" x14ac:dyDescent="0.2">
      <c r="A10" s="92" t="s">
        <v>49</v>
      </c>
      <c r="B10" s="200">
        <f>-('5-User Set-Up'!I34)</f>
        <v>-1</v>
      </c>
      <c r="C10" t="s">
        <v>41</v>
      </c>
    </row>
    <row r="11" spans="1:16" x14ac:dyDescent="0.2">
      <c r="A11" t="s">
        <v>50</v>
      </c>
      <c r="B11" s="99">
        <f>'5-User Set-Up'!K13</f>
        <v>15</v>
      </c>
      <c r="C11" t="s">
        <v>69</v>
      </c>
    </row>
    <row r="12" spans="1:16" x14ac:dyDescent="0.2">
      <c r="A12" t="s">
        <v>82</v>
      </c>
      <c r="B12" s="38">
        <f>B7+B9+B10+B11</f>
        <v>27.989700043360187</v>
      </c>
      <c r="C12" t="s">
        <v>67</v>
      </c>
      <c r="D12" t="s">
        <v>81</v>
      </c>
    </row>
    <row r="13" spans="1:16" x14ac:dyDescent="0.2">
      <c r="A13" t="s">
        <v>79</v>
      </c>
      <c r="B13" s="200">
        <f>-'5-User Set-Up'!M7</f>
        <v>-0.5</v>
      </c>
      <c r="C13" t="s">
        <v>41</v>
      </c>
    </row>
    <row r="14" spans="1:16" x14ac:dyDescent="0.2">
      <c r="A14" s="35" t="s">
        <v>80</v>
      </c>
      <c r="B14" s="71"/>
      <c r="C14" s="22"/>
      <c r="D14" s="22"/>
      <c r="E14" s="22"/>
      <c r="F14" s="22"/>
      <c r="G14" s="22"/>
      <c r="H14" s="22"/>
      <c r="I14" s="22"/>
      <c r="J14" s="22"/>
      <c r="K14" s="22"/>
      <c r="L14" s="22"/>
      <c r="M14" s="22"/>
      <c r="N14" s="22"/>
      <c r="O14" s="22"/>
      <c r="P14" s="22"/>
    </row>
    <row r="15" spans="1:16" x14ac:dyDescent="0.2">
      <c r="A15" t="s">
        <v>52</v>
      </c>
      <c r="B15" s="245">
        <v>-1.5</v>
      </c>
      <c r="C15" t="s">
        <v>41</v>
      </c>
    </row>
    <row r="16" spans="1:16" x14ac:dyDescent="0.2">
      <c r="A16" t="s">
        <v>40</v>
      </c>
      <c r="B16" s="37">
        <f>-'3-Frequency'!H6</f>
        <v>-177.4494863268778</v>
      </c>
      <c r="C16" t="s">
        <v>41</v>
      </c>
    </row>
    <row r="17" spans="1:16" x14ac:dyDescent="0.2">
      <c r="A17" t="s">
        <v>53</v>
      </c>
      <c r="B17" s="244">
        <v>-2</v>
      </c>
      <c r="C17" t="s">
        <v>41</v>
      </c>
      <c r="D17" t="s">
        <v>70</v>
      </c>
    </row>
    <row r="18" spans="1:16" x14ac:dyDescent="0.2">
      <c r="A18" t="s">
        <v>54</v>
      </c>
      <c r="B18" s="244">
        <v>-0.7</v>
      </c>
      <c r="C18" t="s">
        <v>41</v>
      </c>
    </row>
    <row r="19" spans="1:16" x14ac:dyDescent="0.2">
      <c r="A19" t="s">
        <v>55</v>
      </c>
      <c r="B19" s="244">
        <v>0</v>
      </c>
      <c r="C19" t="s">
        <v>41</v>
      </c>
    </row>
    <row r="20" spans="1:16" x14ac:dyDescent="0.2">
      <c r="A20" s="92" t="s">
        <v>132</v>
      </c>
      <c r="B20" s="208">
        <f>B12+SUM(B13:B19)</f>
        <v>-154.1597862835176</v>
      </c>
      <c r="C20" t="s">
        <v>67</v>
      </c>
    </row>
    <row r="21" spans="1:16" x14ac:dyDescent="0.2">
      <c r="A21" s="35" t="s">
        <v>47</v>
      </c>
      <c r="B21" s="22"/>
      <c r="C21" s="22"/>
      <c r="D21" s="22"/>
      <c r="E21" s="22"/>
      <c r="F21" s="22"/>
      <c r="G21" s="22"/>
      <c r="H21" s="22"/>
      <c r="I21" s="34"/>
      <c r="J21" s="45"/>
      <c r="K21" s="45"/>
      <c r="L21" s="45"/>
      <c r="M21" s="50"/>
      <c r="N21" s="51"/>
      <c r="O21" s="51"/>
      <c r="P21" s="51"/>
    </row>
    <row r="22" spans="1:16" x14ac:dyDescent="0.2">
      <c r="A22" s="39" t="s">
        <v>133</v>
      </c>
      <c r="B22" s="200">
        <f>-('4-Transponder Set-Up'!F66)</f>
        <v>-0.5</v>
      </c>
      <c r="C22" t="s">
        <v>41</v>
      </c>
      <c r="J22" s="37"/>
    </row>
    <row r="23" spans="1:16" x14ac:dyDescent="0.2">
      <c r="A23" s="92" t="s">
        <v>134</v>
      </c>
      <c r="B23" s="99">
        <f>'4-Transponder Set-Up'!F69</f>
        <v>9</v>
      </c>
      <c r="C23" t="s">
        <v>69</v>
      </c>
      <c r="J23" s="37"/>
    </row>
    <row r="24" spans="1:16" x14ac:dyDescent="0.2">
      <c r="A24" t="s">
        <v>87</v>
      </c>
      <c r="B24" s="200">
        <f>-('4-Transponder Set-Up'!F72)</f>
        <v>-1</v>
      </c>
      <c r="C24" t="s">
        <v>41</v>
      </c>
      <c r="E24" t="s">
        <v>3</v>
      </c>
      <c r="F24" s="92" t="s">
        <v>3</v>
      </c>
      <c r="H24" s="92" t="s">
        <v>3</v>
      </c>
    </row>
    <row r="25" spans="1:16" x14ac:dyDescent="0.2">
      <c r="A25" s="92" t="s">
        <v>279</v>
      </c>
      <c r="B25" s="200">
        <f>-('4-Transponder Set-Up'!F75)</f>
        <v>-0.9</v>
      </c>
      <c r="C25" s="92" t="s">
        <v>41</v>
      </c>
      <c r="D25" s="92" t="s">
        <v>3</v>
      </c>
    </row>
    <row r="26" spans="1:16" x14ac:dyDescent="0.2">
      <c r="A26" t="s">
        <v>88</v>
      </c>
      <c r="B26" s="100">
        <f>'4-Transponder Set-Up'!F78</f>
        <v>120</v>
      </c>
      <c r="C26" t="s">
        <v>71</v>
      </c>
      <c r="D26" s="92" t="s">
        <v>3</v>
      </c>
    </row>
    <row r="27" spans="1:16" x14ac:dyDescent="0.2">
      <c r="A27" t="s">
        <v>89</v>
      </c>
      <c r="B27" s="92">
        <f>'4-Transponder Set-Up'!F81</f>
        <v>290</v>
      </c>
      <c r="C27" t="s">
        <v>71</v>
      </c>
    </row>
    <row r="28" spans="1:16" x14ac:dyDescent="0.2">
      <c r="A28" t="s">
        <v>90</v>
      </c>
      <c r="B28" s="92">
        <f>'4-Transponder Set-Up'!F84</f>
        <v>150</v>
      </c>
      <c r="C28" t="s">
        <v>71</v>
      </c>
      <c r="E28" s="92" t="s">
        <v>3</v>
      </c>
    </row>
    <row r="29" spans="1:16" x14ac:dyDescent="0.2">
      <c r="A29" t="s">
        <v>91</v>
      </c>
      <c r="B29" s="40">
        <f>POWER(10,(B24+B25)/10)</f>
        <v>0.64565422903465541</v>
      </c>
      <c r="J29" s="40"/>
    </row>
    <row r="30" spans="1:16" x14ac:dyDescent="0.2">
      <c r="A30" t="s">
        <v>92</v>
      </c>
      <c r="B30" s="41">
        <f>B29*B28+(1-B29)*B27+B26</f>
        <v>319.60840793514825</v>
      </c>
      <c r="C30" t="s">
        <v>71</v>
      </c>
      <c r="J30" s="41"/>
    </row>
    <row r="31" spans="1:16" x14ac:dyDescent="0.2">
      <c r="A31" t="s">
        <v>93</v>
      </c>
      <c r="B31" s="37">
        <f>B23+B24+B25-10*LOG10(B30)</f>
        <v>-17.946181957727681</v>
      </c>
      <c r="C31" t="s">
        <v>73</v>
      </c>
      <c r="J31" s="37"/>
    </row>
    <row r="32" spans="1:16" x14ac:dyDescent="0.2">
      <c r="A32" s="46" t="s">
        <v>94</v>
      </c>
      <c r="B32" s="97">
        <f>B20+B22-F32+B31</f>
        <v>55.994031758754709</v>
      </c>
      <c r="C32" t="s">
        <v>78</v>
      </c>
      <c r="D32" s="42" t="s">
        <v>76</v>
      </c>
      <c r="E32" s="118" t="s">
        <v>178</v>
      </c>
      <c r="F32" s="43">
        <v>-228.6</v>
      </c>
      <c r="G32" s="44" t="s">
        <v>77</v>
      </c>
      <c r="J32" s="94"/>
    </row>
    <row r="33" spans="1:16" x14ac:dyDescent="0.2">
      <c r="A33" s="98" t="s">
        <v>136</v>
      </c>
      <c r="B33" s="99">
        <f>'4-Transponder Set-Up'!D9</f>
        <v>200</v>
      </c>
      <c r="C33" s="92" t="s">
        <v>137</v>
      </c>
      <c r="J33" s="94"/>
    </row>
    <row r="34" spans="1:16" x14ac:dyDescent="0.2">
      <c r="A34" s="92" t="s">
        <v>177</v>
      </c>
      <c r="B34" s="94">
        <f>F32+(10*LOG10(B30))+(10*LOG10(B33*1000))</f>
        <v>-150.54351808563251</v>
      </c>
      <c r="C34" s="100" t="s">
        <v>67</v>
      </c>
      <c r="D34" s="92" t="s">
        <v>181</v>
      </c>
      <c r="J34" s="94"/>
    </row>
    <row r="35" spans="1:16" x14ac:dyDescent="0.2">
      <c r="A35" s="46" t="s">
        <v>151</v>
      </c>
      <c r="B35" s="97">
        <f>B32-10*LOG(B33*1000)</f>
        <v>2.983731802114896</v>
      </c>
      <c r="C35" s="92" t="s">
        <v>41</v>
      </c>
      <c r="D35" s="92" t="s">
        <v>180</v>
      </c>
      <c r="J35" s="96"/>
    </row>
    <row r="36" spans="1:16" x14ac:dyDescent="0.2">
      <c r="A36" s="92" t="s">
        <v>138</v>
      </c>
      <c r="B36" s="105">
        <v>-250</v>
      </c>
      <c r="C36" s="92" t="s">
        <v>140</v>
      </c>
      <c r="D36" s="92" t="s">
        <v>218</v>
      </c>
      <c r="J36" s="94"/>
    </row>
    <row r="37" spans="1:16" x14ac:dyDescent="0.2">
      <c r="A37" s="100" t="s">
        <v>139</v>
      </c>
      <c r="B37" s="94">
        <f>B36+10*LOG(B33*1000)+B22+B23+B24</f>
        <v>-189.48970004336019</v>
      </c>
      <c r="C37" s="100" t="s">
        <v>67</v>
      </c>
      <c r="D37" s="92" t="s">
        <v>141</v>
      </c>
      <c r="J37" s="95"/>
    </row>
    <row r="38" spans="1:16" x14ac:dyDescent="0.2">
      <c r="A38" s="100" t="s">
        <v>142</v>
      </c>
      <c r="B38" s="38">
        <f>B20-B37</f>
        <v>35.329913759842583</v>
      </c>
      <c r="C38" s="100" t="s">
        <v>144</v>
      </c>
      <c r="D38" s="92" t="s">
        <v>143</v>
      </c>
    </row>
    <row r="39" spans="1:16" x14ac:dyDescent="0.2">
      <c r="A39" s="100" t="s">
        <v>179</v>
      </c>
      <c r="B39" s="106">
        <f>10*LOG10(10^(B34/10)+10^(B37/10))</f>
        <v>-150.54296455910526</v>
      </c>
      <c r="C39" s="100" t="s">
        <v>67</v>
      </c>
      <c r="D39" s="119" t="s">
        <v>182</v>
      </c>
      <c r="E39" s="102"/>
      <c r="F39" s="102"/>
      <c r="G39" s="102"/>
      <c r="H39" s="102"/>
      <c r="I39" s="102"/>
      <c r="J39" s="102"/>
      <c r="K39" s="102"/>
      <c r="L39" s="102"/>
      <c r="M39" s="102"/>
      <c r="N39" s="102"/>
      <c r="O39" s="102"/>
      <c r="P39" s="102"/>
    </row>
    <row r="40" spans="1:16" x14ac:dyDescent="0.2">
      <c r="A40" s="103" t="s">
        <v>145</v>
      </c>
      <c r="B40" s="97">
        <f>10*LOG10(1/((1/(10^(B35/10)))+(1/(10^(B38/10)))))</f>
        <v>2.9812022732886474</v>
      </c>
      <c r="C40" s="103" t="s">
        <v>41</v>
      </c>
      <c r="D40" s="103" t="s">
        <v>146</v>
      </c>
    </row>
    <row r="41" spans="1:16" x14ac:dyDescent="0.2">
      <c r="A41" s="92" t="s">
        <v>147</v>
      </c>
      <c r="B41" s="99">
        <f>'4-Transponder Set-Up'!J15</f>
        <v>3</v>
      </c>
      <c r="C41" s="92" t="s">
        <v>137</v>
      </c>
      <c r="D41" s="92"/>
    </row>
    <row r="42" spans="1:16" ht="13.5" thickBot="1" x14ac:dyDescent="0.25"/>
    <row r="43" spans="1:16" ht="13.5" thickBot="1" x14ac:dyDescent="0.25">
      <c r="A43" s="46" t="s">
        <v>184</v>
      </c>
      <c r="B43" s="120">
        <f>B40+(10*LOG10(B33/B41))</f>
        <v>21.220289682731838</v>
      </c>
      <c r="C43" s="92" t="s">
        <v>41</v>
      </c>
      <c r="D43" s="92" t="s">
        <v>148</v>
      </c>
    </row>
  </sheetData>
  <phoneticPr fontId="0" type="noConversion"/>
  <pageMargins left="0.75" right="0.75" top="1" bottom="1" header="0.5" footer="0.5"/>
  <pageSetup paperSize="9" orientation="portrait" horizontalDpi="4294967293" verticalDpi="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00B050"/>
  </sheetPr>
  <dimension ref="A1:R100"/>
  <sheetViews>
    <sheetView workbookViewId="0">
      <selection activeCell="B34" sqref="B34"/>
    </sheetView>
  </sheetViews>
  <sheetFormatPr defaultRowHeight="12.75" x14ac:dyDescent="0.2"/>
  <cols>
    <col min="1" max="1" width="51" customWidth="1"/>
    <col min="2" max="2" width="9.28515625" bestFit="1" customWidth="1"/>
    <col min="4" max="4" width="18" customWidth="1"/>
  </cols>
  <sheetData>
    <row r="1" spans="1:18" ht="18" x14ac:dyDescent="0.25">
      <c r="A1" s="47" t="str">
        <f>'1-Title Page'!F3</f>
        <v>Reference U/V Transponder</v>
      </c>
      <c r="B1" s="48"/>
      <c r="C1" s="48"/>
      <c r="D1" s="64" t="str">
        <f>'1-Title Page'!F7</f>
        <v>Jan A. King</v>
      </c>
      <c r="E1" s="64" t="s">
        <v>3</v>
      </c>
      <c r="F1" s="64" t="str">
        <f>'1-Title Page'!D23</f>
        <v>Date Data Last Modified:</v>
      </c>
      <c r="G1" s="64"/>
      <c r="H1" s="48"/>
      <c r="I1" s="48"/>
      <c r="J1" s="48"/>
      <c r="K1" s="48"/>
      <c r="L1" s="48"/>
      <c r="M1" s="48"/>
      <c r="N1" s="48"/>
      <c r="O1" s="48"/>
      <c r="P1" s="48"/>
      <c r="Q1" s="48"/>
      <c r="R1" s="48"/>
    </row>
    <row r="2" spans="1:18" ht="20.25" x14ac:dyDescent="0.3">
      <c r="A2" s="49" t="s">
        <v>149</v>
      </c>
      <c r="B2" s="155" t="s">
        <v>241</v>
      </c>
      <c r="C2" s="48"/>
      <c r="D2" s="64" t="str">
        <f>'1-Title Page'!G1</f>
        <v xml:space="preserve"> Version: 1.6</v>
      </c>
      <c r="E2" s="64"/>
      <c r="F2" s="65" t="str">
        <f>'1-Title Page'!F23</f>
        <v>2009 September 30</v>
      </c>
      <c r="G2" s="64"/>
      <c r="H2" s="48"/>
      <c r="I2" s="116"/>
      <c r="J2" s="151" t="s">
        <v>208</v>
      </c>
      <c r="K2" s="152">
        <f>'3-Frequency'!C12</f>
        <v>145.9</v>
      </c>
      <c r="L2" s="117" t="s">
        <v>38</v>
      </c>
      <c r="M2" s="48"/>
      <c r="N2" s="48"/>
      <c r="O2" s="48"/>
      <c r="P2" s="48"/>
      <c r="Q2" s="48"/>
      <c r="R2" s="48"/>
    </row>
    <row r="3" spans="1:18" x14ac:dyDescent="0.2">
      <c r="A3" s="48"/>
      <c r="B3" s="48"/>
      <c r="C3" s="48"/>
      <c r="D3" s="64"/>
      <c r="E3" s="64"/>
      <c r="F3" s="64"/>
      <c r="G3" s="64"/>
      <c r="H3" s="48"/>
      <c r="I3" s="48"/>
      <c r="J3" s="48"/>
      <c r="K3" s="48"/>
      <c r="L3" s="48"/>
      <c r="M3" s="48"/>
      <c r="N3" s="48"/>
      <c r="O3" s="48"/>
      <c r="P3" s="48"/>
      <c r="Q3" s="48"/>
      <c r="R3" s="48"/>
    </row>
    <row r="4" spans="1:18" x14ac:dyDescent="0.2">
      <c r="A4" s="28" t="s">
        <v>4</v>
      </c>
      <c r="B4" s="28" t="s">
        <v>5</v>
      </c>
      <c r="C4" s="28" t="s">
        <v>45</v>
      </c>
      <c r="D4" s="28" t="s">
        <v>46</v>
      </c>
      <c r="E4" s="36"/>
      <c r="F4" s="36"/>
      <c r="G4" s="36"/>
      <c r="H4" s="36"/>
      <c r="I4" s="36"/>
      <c r="J4" s="36"/>
      <c r="K4" s="36"/>
      <c r="L4" s="36"/>
      <c r="M4" s="36"/>
      <c r="N4" s="36"/>
      <c r="O4" s="36"/>
      <c r="P4" s="36"/>
      <c r="Q4" s="36"/>
      <c r="R4" s="36"/>
    </row>
    <row r="5" spans="1:18" x14ac:dyDescent="0.2">
      <c r="A5" s="35" t="s">
        <v>47</v>
      </c>
      <c r="B5" s="22"/>
      <c r="C5" s="22"/>
      <c r="D5" s="22"/>
      <c r="E5" s="22"/>
      <c r="F5" s="22"/>
      <c r="G5" s="22"/>
      <c r="H5" s="22"/>
      <c r="I5" s="22"/>
      <c r="J5" s="22"/>
      <c r="K5" s="22"/>
      <c r="L5" s="22"/>
      <c r="M5" s="22"/>
      <c r="N5" s="22"/>
      <c r="O5" s="22"/>
      <c r="P5" s="22"/>
      <c r="Q5" s="22"/>
      <c r="R5" s="22"/>
    </row>
    <row r="6" spans="1:18" x14ac:dyDescent="0.2">
      <c r="A6" s="92" t="s">
        <v>188</v>
      </c>
      <c r="B6" s="137">
        <f>('4-Transponder Set-Up'!D13/'4-Transponder Set-Up'!J11)/(1+POWER(10,-'6-Uplink Budget'!B40/10)+POWER(10,-'4-Transponder Set-Up'!D17/10)+(POWER(10,-'6-Uplink Budget'!B40/10))*(POWER(10,-'4-Transponder Set-Up'!D17/10)))</f>
        <v>1.6525136470645068</v>
      </c>
      <c r="C6" t="s">
        <v>66</v>
      </c>
      <c r="D6" s="92" t="s">
        <v>295</v>
      </c>
    </row>
    <row r="7" spans="1:18" x14ac:dyDescent="0.2">
      <c r="A7" s="20" t="s">
        <v>74</v>
      </c>
      <c r="B7" s="104">
        <f>10*LOG10(B6)</f>
        <v>2.1814505473579366</v>
      </c>
      <c r="C7" t="s">
        <v>67</v>
      </c>
    </row>
    <row r="8" spans="1:18" x14ac:dyDescent="0.2">
      <c r="A8" s="20" t="s">
        <v>75</v>
      </c>
      <c r="B8" s="104">
        <f>B7+30</f>
        <v>32.18145054735794</v>
      </c>
      <c r="C8" t="s">
        <v>68</v>
      </c>
    </row>
    <row r="9" spans="1:18" x14ac:dyDescent="0.2">
      <c r="A9" s="98" t="s">
        <v>186</v>
      </c>
      <c r="B9" s="136">
        <f>B6*POWER(10,-'6-Uplink Budget'!B40/10)</f>
        <v>0.83181132208190867</v>
      </c>
      <c r="C9" s="92" t="s">
        <v>66</v>
      </c>
      <c r="D9" s="92" t="s">
        <v>219</v>
      </c>
      <c r="K9" s="156" t="s">
        <v>243</v>
      </c>
    </row>
    <row r="10" spans="1:18" x14ac:dyDescent="0.2">
      <c r="A10" s="98" t="s">
        <v>187</v>
      </c>
      <c r="B10" s="136">
        <f>'7-Downlink Budget'!B6*(POWER(10,-'6-Uplink Budget'!B40/10))*(POWER(10,-'4-Transponder Set-Up'!D17/10))+'7-Downlink Budget'!B6*(POWER(10,-'4-Transponder Set-Up'!D17/10))</f>
        <v>1.5675030853584584E-2</v>
      </c>
      <c r="C10" s="92" t="s">
        <v>66</v>
      </c>
      <c r="D10" s="92" t="s">
        <v>190</v>
      </c>
      <c r="K10" s="156" t="s">
        <v>243</v>
      </c>
    </row>
    <row r="11" spans="1:18" x14ac:dyDescent="0.2">
      <c r="A11" s="98" t="s">
        <v>189</v>
      </c>
      <c r="B11" s="136">
        <f>B6+B9+B10</f>
        <v>2.5</v>
      </c>
      <c r="C11" s="92" t="s">
        <v>66</v>
      </c>
      <c r="D11" s="92" t="s">
        <v>195</v>
      </c>
      <c r="K11" s="156" t="s">
        <v>243</v>
      </c>
    </row>
    <row r="12" spans="1:18" x14ac:dyDescent="0.2">
      <c r="A12" t="s">
        <v>87</v>
      </c>
      <c r="B12" s="200">
        <f>-('4-Transponder Set-Up'!L72)</f>
        <v>-1</v>
      </c>
      <c r="C12" t="s">
        <v>41</v>
      </c>
    </row>
    <row r="13" spans="1:18" x14ac:dyDescent="0.2">
      <c r="A13" s="92" t="s">
        <v>280</v>
      </c>
      <c r="B13" s="200">
        <f>-('4-Transponder Set-Up'!L69)</f>
        <v>-0.7</v>
      </c>
      <c r="C13" t="s">
        <v>41</v>
      </c>
      <c r="K13" s="92" t="s">
        <v>3</v>
      </c>
    </row>
    <row r="14" spans="1:18" x14ac:dyDescent="0.2">
      <c r="A14" s="92" t="s">
        <v>283</v>
      </c>
      <c r="B14" s="99">
        <v>7</v>
      </c>
      <c r="C14" t="s">
        <v>69</v>
      </c>
    </row>
    <row r="15" spans="1:18" x14ac:dyDescent="0.2">
      <c r="A15" s="92" t="s">
        <v>185</v>
      </c>
      <c r="B15" s="220">
        <f>B7+B12+B13+B14</f>
        <v>7.4814505473579365</v>
      </c>
      <c r="C15" t="s">
        <v>67</v>
      </c>
      <c r="D15" s="92" t="s">
        <v>150</v>
      </c>
    </row>
    <row r="16" spans="1:18" x14ac:dyDescent="0.2">
      <c r="A16" s="92" t="s">
        <v>282</v>
      </c>
      <c r="B16" s="200">
        <f>-('4-Transponder Set-Up'!L78)</f>
        <v>-0.5</v>
      </c>
      <c r="C16" t="s">
        <v>41</v>
      </c>
    </row>
    <row r="17" spans="1:18" x14ac:dyDescent="0.2">
      <c r="A17" s="35" t="s">
        <v>51</v>
      </c>
      <c r="B17" s="71"/>
      <c r="C17" s="22"/>
      <c r="D17" s="22"/>
      <c r="E17" s="22"/>
      <c r="F17" s="22"/>
      <c r="G17" s="22"/>
      <c r="H17" s="22"/>
      <c r="I17" s="22"/>
      <c r="J17" s="22"/>
      <c r="K17" s="22"/>
      <c r="L17" s="22"/>
      <c r="M17" s="22"/>
      <c r="N17" s="22"/>
      <c r="O17" s="22"/>
      <c r="P17" s="22"/>
      <c r="Q17" s="22"/>
      <c r="R17" s="22"/>
    </row>
    <row r="18" spans="1:18" x14ac:dyDescent="0.2">
      <c r="A18" t="s">
        <v>83</v>
      </c>
      <c r="B18" s="243">
        <v>-1.5</v>
      </c>
      <c r="C18" t="s">
        <v>41</v>
      </c>
    </row>
    <row r="19" spans="1:18" x14ac:dyDescent="0.2">
      <c r="A19" t="s">
        <v>40</v>
      </c>
      <c r="B19" s="37">
        <f>-'3-Frequency'!H12</f>
        <v>-167.47885378696427</v>
      </c>
      <c r="C19" t="s">
        <v>41</v>
      </c>
    </row>
    <row r="20" spans="1:18" x14ac:dyDescent="0.2">
      <c r="A20" t="s">
        <v>85</v>
      </c>
      <c r="B20" s="244">
        <v>-2</v>
      </c>
      <c r="C20" t="s">
        <v>41</v>
      </c>
      <c r="D20" t="s">
        <v>70</v>
      </c>
    </row>
    <row r="21" spans="1:18" x14ac:dyDescent="0.2">
      <c r="A21" t="s">
        <v>86</v>
      </c>
      <c r="B21" s="244">
        <v>-1</v>
      </c>
      <c r="C21" t="s">
        <v>41</v>
      </c>
    </row>
    <row r="22" spans="1:18" x14ac:dyDescent="0.2">
      <c r="A22" t="s">
        <v>84</v>
      </c>
      <c r="B22" s="244">
        <v>0</v>
      </c>
      <c r="C22" t="s">
        <v>41</v>
      </c>
    </row>
    <row r="23" spans="1:18" x14ac:dyDescent="0.2">
      <c r="A23" t="s">
        <v>56</v>
      </c>
      <c r="B23" s="38">
        <f>B15+SUM(B16:B22)</f>
        <v>-164.99740323960634</v>
      </c>
      <c r="C23" t="s">
        <v>67</v>
      </c>
      <c r="D23" s="158">
        <f>B23+30</f>
        <v>-134.99740323960634</v>
      </c>
      <c r="E23" t="s">
        <v>68</v>
      </c>
    </row>
    <row r="24" spans="1:18" x14ac:dyDescent="0.2">
      <c r="A24" s="35" t="s">
        <v>57</v>
      </c>
      <c r="B24" s="22"/>
      <c r="C24" s="22"/>
      <c r="D24" s="22"/>
      <c r="E24" s="22"/>
      <c r="F24" s="22"/>
      <c r="G24" s="22"/>
      <c r="H24" s="22"/>
      <c r="I24" s="34" t="s">
        <v>3</v>
      </c>
      <c r="J24" s="45"/>
      <c r="K24" s="45"/>
      <c r="L24" s="45"/>
      <c r="M24" s="45"/>
      <c r="N24" s="22"/>
      <c r="O24" s="22"/>
      <c r="P24" s="22"/>
      <c r="Q24" s="22"/>
      <c r="R24" s="22"/>
    </row>
    <row r="25" spans="1:18" x14ac:dyDescent="0.2">
      <c r="A25" s="39" t="s">
        <v>79</v>
      </c>
      <c r="B25" s="200">
        <f>-('5-User Set-Up'!M62)</f>
        <v>-0.5</v>
      </c>
      <c r="C25" t="s">
        <v>41</v>
      </c>
      <c r="J25" s="37"/>
    </row>
    <row r="26" spans="1:18" x14ac:dyDescent="0.2">
      <c r="A26" t="s">
        <v>58</v>
      </c>
      <c r="B26" s="100">
        <f>'5-User Set-Up'!K68</f>
        <v>13.5</v>
      </c>
      <c r="C26" t="s">
        <v>69</v>
      </c>
      <c r="J26" s="37"/>
    </row>
    <row r="27" spans="1:18" x14ac:dyDescent="0.2">
      <c r="A27" t="s">
        <v>59</v>
      </c>
      <c r="B27" s="200">
        <f>-('5-User Set-Up'!G86)</f>
        <v>-2</v>
      </c>
      <c r="C27" t="s">
        <v>41</v>
      </c>
      <c r="E27" t="s">
        <v>3</v>
      </c>
    </row>
    <row r="28" spans="1:18" x14ac:dyDescent="0.2">
      <c r="A28" t="s">
        <v>327</v>
      </c>
      <c r="B28" s="200">
        <f>-'5-User Set-Up'!I89</f>
        <v>-0.7</v>
      </c>
      <c r="C28" t="s">
        <v>41</v>
      </c>
    </row>
    <row r="29" spans="1:18" x14ac:dyDescent="0.2">
      <c r="A29" t="s">
        <v>60</v>
      </c>
      <c r="B29" s="100">
        <f>'5-User Set-Up'!L93</f>
        <v>100</v>
      </c>
      <c r="C29" t="s">
        <v>71</v>
      </c>
    </row>
    <row r="30" spans="1:18" x14ac:dyDescent="0.2">
      <c r="A30" t="s">
        <v>72</v>
      </c>
      <c r="B30">
        <v>290</v>
      </c>
      <c r="C30" t="s">
        <v>71</v>
      </c>
    </row>
    <row r="31" spans="1:18" x14ac:dyDescent="0.2">
      <c r="A31" t="s">
        <v>61</v>
      </c>
      <c r="B31" s="92">
        <f>'5-User Set-Up'!O56</f>
        <v>1000</v>
      </c>
      <c r="C31" t="s">
        <v>71</v>
      </c>
    </row>
    <row r="32" spans="1:18" x14ac:dyDescent="0.2">
      <c r="A32" t="s">
        <v>63</v>
      </c>
      <c r="B32" s="40">
        <f>POWER(10,(B27+B28)/10)</f>
        <v>0.53703179637025267</v>
      </c>
      <c r="J32" s="40"/>
    </row>
    <row r="33" spans="1:18" x14ac:dyDescent="0.2">
      <c r="A33" t="s">
        <v>62</v>
      </c>
      <c r="B33" s="41">
        <f>B32*B31+(1-B32)*B30+B29</f>
        <v>771.29257542287939</v>
      </c>
      <c r="C33" t="s">
        <v>71</v>
      </c>
      <c r="J33" s="41"/>
    </row>
    <row r="34" spans="1:18" x14ac:dyDescent="0.2">
      <c r="A34" t="s">
        <v>64</v>
      </c>
      <c r="B34" s="37">
        <f>B26+B27+B28-10*LOG10(B33)</f>
        <v>-18.072191507993267</v>
      </c>
      <c r="C34" t="s">
        <v>73</v>
      </c>
      <c r="J34" s="37"/>
    </row>
    <row r="35" spans="1:18" x14ac:dyDescent="0.2">
      <c r="A35" t="s">
        <v>65</v>
      </c>
      <c r="B35" s="107">
        <f>B23+B25-F35+B34</f>
        <v>45.030405252400385</v>
      </c>
      <c r="C35" t="s">
        <v>78</v>
      </c>
      <c r="D35" s="42" t="s">
        <v>76</v>
      </c>
      <c r="E35" s="43"/>
      <c r="F35" s="43">
        <v>-228.6</v>
      </c>
      <c r="G35" s="44" t="s">
        <v>77</v>
      </c>
      <c r="J35" s="94"/>
    </row>
    <row r="36" spans="1:18" x14ac:dyDescent="0.2">
      <c r="A36" s="92" t="s">
        <v>152</v>
      </c>
      <c r="B36" s="134">
        <f>'4-Transponder Set-Up'!D17</f>
        <v>22</v>
      </c>
      <c r="C36" s="92" t="s">
        <v>41</v>
      </c>
      <c r="D36" s="92" t="s">
        <v>153</v>
      </c>
      <c r="J36" s="96"/>
    </row>
    <row r="37" spans="1:18" x14ac:dyDescent="0.2">
      <c r="A37" s="100" t="s">
        <v>197</v>
      </c>
      <c r="B37" s="134">
        <f>B23-(B23-B36-10*LOG10('6-Uplink Budget'!B41))+30</f>
        <v>56.771212547196626</v>
      </c>
      <c r="C37" s="100" t="s">
        <v>78</v>
      </c>
      <c r="D37" s="92" t="s">
        <v>199</v>
      </c>
      <c r="J37" s="96"/>
    </row>
    <row r="38" spans="1:18" x14ac:dyDescent="0.2">
      <c r="A38" s="100" t="s">
        <v>198</v>
      </c>
      <c r="B38" s="135">
        <f>10*LOG10(1/((1/(10^(B35/10)))+(1/(10^(B37/10)))))</f>
        <v>44.748858704898772</v>
      </c>
      <c r="C38" s="100" t="s">
        <v>78</v>
      </c>
      <c r="D38" s="92"/>
      <c r="J38" s="96"/>
    </row>
    <row r="39" spans="1:18" ht="13.5" thickBot="1" x14ac:dyDescent="0.25">
      <c r="A39" s="92" t="s">
        <v>147</v>
      </c>
      <c r="B39" s="99">
        <f>'6-Uplink Budget'!B41</f>
        <v>3</v>
      </c>
      <c r="C39" s="92" t="s">
        <v>137</v>
      </c>
      <c r="D39" s="92" t="s">
        <v>3</v>
      </c>
      <c r="J39" s="96"/>
    </row>
    <row r="40" spans="1:18" ht="13.5" thickBot="1" x14ac:dyDescent="0.25">
      <c r="A40" s="46" t="s">
        <v>183</v>
      </c>
      <c r="B40" s="120">
        <f>B38-10*LOG10(B39*1000)</f>
        <v>9.9776461577021465</v>
      </c>
      <c r="C40" s="92" t="s">
        <v>41</v>
      </c>
      <c r="D40" s="92" t="s">
        <v>201</v>
      </c>
      <c r="J40" s="96"/>
    </row>
    <row r="41" spans="1:18" x14ac:dyDescent="0.2">
      <c r="B41" s="93"/>
      <c r="D41" s="92" t="s">
        <v>200</v>
      </c>
      <c r="J41" s="94"/>
    </row>
    <row r="42" spans="1:18" x14ac:dyDescent="0.2">
      <c r="A42" s="92"/>
      <c r="B42" s="101" t="s">
        <v>196</v>
      </c>
      <c r="C42" s="92" t="s">
        <v>3</v>
      </c>
      <c r="D42" s="92" t="s">
        <v>3</v>
      </c>
      <c r="J42" s="96"/>
      <c r="L42" t="s">
        <v>3</v>
      </c>
    </row>
    <row r="43" spans="1:18" x14ac:dyDescent="0.2">
      <c r="B43" s="96"/>
      <c r="J43" s="95"/>
    </row>
    <row r="44" spans="1:18" x14ac:dyDescent="0.2">
      <c r="A44" s="102"/>
      <c r="B44" s="102"/>
      <c r="C44" s="102"/>
      <c r="D44" s="102"/>
      <c r="E44" s="102"/>
      <c r="F44" s="102"/>
      <c r="G44" s="102"/>
      <c r="H44" s="102"/>
      <c r="I44" s="102"/>
      <c r="J44" s="102"/>
      <c r="K44" s="102"/>
      <c r="L44" s="102"/>
      <c r="M44" s="102"/>
      <c r="N44" s="102"/>
      <c r="O44" s="102"/>
      <c r="P44" s="102"/>
      <c r="Q44" s="102"/>
      <c r="R44" s="102"/>
    </row>
    <row r="100" spans="2:2" x14ac:dyDescent="0.2">
      <c r="B100" t="s">
        <v>3</v>
      </c>
    </row>
  </sheetData>
  <phoneticPr fontId="0" type="noConversion"/>
  <pageMargins left="0.75" right="0.75" top="1" bottom="1" header="0.5" footer="0.5"/>
  <pageSetup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B0F0"/>
  </sheetPr>
  <dimension ref="A1:Z99"/>
  <sheetViews>
    <sheetView workbookViewId="0">
      <selection activeCell="B5" sqref="B5"/>
    </sheetView>
  </sheetViews>
  <sheetFormatPr defaultRowHeight="12.75" x14ac:dyDescent="0.2"/>
  <cols>
    <col min="2" max="2" width="30.140625" customWidth="1"/>
    <col min="3" max="3" width="11.28515625" customWidth="1"/>
    <col min="4" max="4" width="9.42578125" customWidth="1"/>
    <col min="10" max="10" width="29.42578125" customWidth="1"/>
  </cols>
  <sheetData>
    <row r="1" spans="1:26" ht="18.75" thickBot="1" x14ac:dyDescent="0.3">
      <c r="A1" s="144" t="s">
        <v>202</v>
      </c>
      <c r="B1" s="73"/>
      <c r="C1" s="73"/>
      <c r="D1" s="73"/>
      <c r="E1" s="73"/>
      <c r="F1" s="73"/>
      <c r="G1" s="73"/>
      <c r="H1" s="73"/>
      <c r="I1" s="249" t="str">
        <f>'1-Title Page'!G1</f>
        <v xml:space="preserve"> Version: 1.6</v>
      </c>
      <c r="J1" s="73"/>
      <c r="K1" s="73"/>
      <c r="L1" s="73"/>
      <c r="M1" s="73"/>
      <c r="N1" s="73"/>
      <c r="O1" s="73"/>
      <c r="P1" s="73"/>
      <c r="Q1" s="73"/>
      <c r="R1" s="73"/>
      <c r="S1" s="73"/>
      <c r="T1" s="73"/>
      <c r="U1" s="73"/>
      <c r="V1" s="73"/>
      <c r="W1" s="73"/>
      <c r="X1" s="73"/>
      <c r="Y1" s="73"/>
      <c r="Z1" s="73"/>
    </row>
    <row r="2" spans="1:26" x14ac:dyDescent="0.2">
      <c r="A2" s="1"/>
      <c r="B2" s="1"/>
      <c r="C2" s="1"/>
      <c r="D2" s="1"/>
      <c r="E2" s="1"/>
      <c r="F2" s="1"/>
      <c r="G2" s="1"/>
      <c r="H2" s="1"/>
      <c r="I2" s="1"/>
      <c r="J2" s="321" t="s">
        <v>328</v>
      </c>
      <c r="K2" s="322"/>
      <c r="L2" s="322"/>
      <c r="M2" s="322"/>
      <c r="N2" s="1"/>
      <c r="O2" s="1"/>
      <c r="P2" s="1"/>
      <c r="Q2" s="1"/>
      <c r="R2" s="1"/>
      <c r="S2" s="1"/>
      <c r="T2" s="1"/>
      <c r="U2" s="1"/>
      <c r="V2" s="1"/>
      <c r="W2" s="1"/>
      <c r="X2" s="1"/>
      <c r="Y2" s="1"/>
      <c r="Z2" s="1"/>
    </row>
    <row r="3" spans="1:26" x14ac:dyDescent="0.2">
      <c r="A3" s="1"/>
      <c r="B3" s="319" t="s">
        <v>229</v>
      </c>
      <c r="C3" s="319"/>
      <c r="D3" s="319"/>
      <c r="E3" s="319"/>
      <c r="F3" s="1"/>
      <c r="G3" s="1"/>
      <c r="H3" s="1"/>
      <c r="I3" s="1"/>
      <c r="J3" s="160" t="s">
        <v>308</v>
      </c>
      <c r="K3" s="1"/>
      <c r="L3" s="116">
        <f>'3-Frequency'!C6</f>
        <v>437.45</v>
      </c>
      <c r="M3" s="117" t="s">
        <v>38</v>
      </c>
      <c r="N3" s="1"/>
      <c r="O3" s="1"/>
      <c r="P3" s="1"/>
      <c r="Q3" s="1"/>
      <c r="R3" s="1"/>
      <c r="S3" s="1"/>
      <c r="T3" s="1"/>
      <c r="U3" s="1"/>
      <c r="V3" s="1"/>
      <c r="W3" s="1"/>
      <c r="X3" s="1"/>
      <c r="Y3" s="1"/>
      <c r="Z3" s="1"/>
    </row>
    <row r="4" spans="1:26" x14ac:dyDescent="0.2">
      <c r="A4" s="1"/>
      <c r="B4" s="1"/>
      <c r="C4" s="1"/>
      <c r="D4" s="1"/>
      <c r="E4" s="1"/>
      <c r="F4" s="1"/>
      <c r="G4" s="1"/>
      <c r="H4" s="1"/>
      <c r="I4" s="1"/>
      <c r="J4" s="161"/>
      <c r="K4" s="1"/>
      <c r="L4" s="1"/>
      <c r="M4" s="1"/>
      <c r="N4" s="1"/>
      <c r="O4" s="1"/>
      <c r="P4" s="1"/>
      <c r="Q4" s="1"/>
      <c r="R4" s="1"/>
      <c r="S4" s="1"/>
      <c r="T4" s="1"/>
      <c r="U4" s="1"/>
      <c r="V4" s="1"/>
      <c r="W4" s="1"/>
      <c r="X4" s="1"/>
      <c r="Y4" s="1"/>
      <c r="Z4" s="1"/>
    </row>
    <row r="5" spans="1:26" x14ac:dyDescent="0.2">
      <c r="A5" s="1"/>
      <c r="B5" s="138" t="s">
        <v>204</v>
      </c>
      <c r="C5" s="1"/>
      <c r="D5" s="140">
        <f>'6-Uplink Budget'!B43</f>
        <v>21.220289682731838</v>
      </c>
      <c r="E5" s="109" t="s">
        <v>41</v>
      </c>
      <c r="F5" s="1"/>
      <c r="G5" s="1"/>
      <c r="H5" s="1"/>
      <c r="I5" s="1"/>
      <c r="J5" s="160" t="s">
        <v>238</v>
      </c>
      <c r="K5" s="1"/>
      <c r="L5" s="142">
        <f>'6-Uplink Budget'!B11</f>
        <v>15</v>
      </c>
      <c r="M5" s="117" t="s">
        <v>69</v>
      </c>
      <c r="N5" s="1"/>
      <c r="O5" s="1"/>
      <c r="P5" s="1"/>
      <c r="Q5" s="1"/>
      <c r="R5" s="1"/>
      <c r="S5" s="1"/>
      <c r="T5" s="1"/>
      <c r="U5" s="1"/>
      <c r="V5" s="1"/>
      <c r="W5" s="1"/>
      <c r="X5" s="1"/>
      <c r="Y5" s="1"/>
      <c r="Z5" s="1"/>
    </row>
    <row r="6" spans="1:26" x14ac:dyDescent="0.2">
      <c r="A6" s="1"/>
      <c r="B6" s="1"/>
      <c r="C6" s="1"/>
      <c r="D6" s="1"/>
      <c r="E6" s="1"/>
      <c r="F6" s="1"/>
      <c r="G6" s="1"/>
      <c r="H6" s="1"/>
      <c r="I6" s="1"/>
      <c r="J6" s="161"/>
      <c r="K6" s="1"/>
      <c r="L6" s="1"/>
      <c r="M6" s="1"/>
      <c r="N6" s="1"/>
      <c r="O6" s="1"/>
      <c r="P6" s="1"/>
      <c r="Q6" s="1"/>
      <c r="R6" s="1"/>
      <c r="S6" s="1"/>
      <c r="T6" s="1"/>
      <c r="U6" s="1"/>
      <c r="V6" s="1"/>
      <c r="W6" s="1"/>
      <c r="X6" s="1"/>
      <c r="Y6" s="1"/>
      <c r="Z6" s="1"/>
    </row>
    <row r="7" spans="1:26" x14ac:dyDescent="0.2">
      <c r="A7" s="1"/>
      <c r="B7" s="138" t="s">
        <v>205</v>
      </c>
      <c r="C7" s="1"/>
      <c r="D7" s="111">
        <f>'7-Downlink Budget'!B40</f>
        <v>9.9776461577021465</v>
      </c>
      <c r="E7" s="109" t="s">
        <v>41</v>
      </c>
      <c r="F7" s="1"/>
      <c r="G7" s="1"/>
      <c r="H7" s="1"/>
      <c r="I7" s="1"/>
      <c r="J7" s="160" t="s">
        <v>237</v>
      </c>
      <c r="K7" s="1"/>
      <c r="L7" s="142">
        <f>'6-Uplink Budget'!B6</f>
        <v>50</v>
      </c>
      <c r="M7" s="117" t="s">
        <v>161</v>
      </c>
      <c r="N7" s="1"/>
      <c r="O7" s="1"/>
      <c r="P7" s="1"/>
      <c r="Q7" s="1"/>
      <c r="R7" s="1"/>
      <c r="S7" s="1"/>
      <c r="T7" s="1"/>
      <c r="U7" s="1"/>
      <c r="V7" s="1"/>
      <c r="W7" s="1"/>
      <c r="X7" s="1"/>
      <c r="Y7" s="1"/>
      <c r="Z7" s="1"/>
    </row>
    <row r="8" spans="1:26" ht="13.5" thickBot="1" x14ac:dyDescent="0.25">
      <c r="A8" s="1"/>
      <c r="B8" s="1"/>
      <c r="C8" s="1"/>
      <c r="D8" s="1"/>
      <c r="E8" s="1"/>
      <c r="F8" s="1"/>
      <c r="G8" s="1"/>
      <c r="H8" s="1"/>
      <c r="I8" s="1"/>
      <c r="J8" s="1"/>
      <c r="K8" s="1"/>
      <c r="L8" s="1"/>
      <c r="M8" s="1"/>
      <c r="N8" s="1"/>
      <c r="O8" s="1"/>
      <c r="P8" s="1"/>
      <c r="Q8" s="1"/>
      <c r="R8" s="1"/>
      <c r="S8" s="1"/>
      <c r="T8" s="1"/>
      <c r="U8" s="1"/>
      <c r="V8" s="1"/>
      <c r="W8" s="1"/>
      <c r="X8" s="1"/>
      <c r="Y8" s="1"/>
      <c r="Z8" s="1"/>
    </row>
    <row r="9" spans="1:26" ht="31.5" customHeight="1" thickBot="1" x14ac:dyDescent="0.25">
      <c r="A9" s="1"/>
      <c r="B9" s="145" t="s">
        <v>206</v>
      </c>
      <c r="C9" s="1"/>
      <c r="D9" s="238">
        <f>10*LOG10(1/((1/(10^(D5/10)))+(1/10^(D7/10))))</f>
        <v>9.6630906746792427</v>
      </c>
      <c r="E9" s="239" t="s">
        <v>41</v>
      </c>
      <c r="F9" s="1"/>
      <c r="G9" s="1"/>
      <c r="H9" s="1"/>
      <c r="I9" s="1"/>
      <c r="J9" s="319" t="s">
        <v>329</v>
      </c>
      <c r="K9" s="319"/>
      <c r="L9" s="319"/>
      <c r="M9" s="319"/>
      <c r="N9" s="1"/>
      <c r="O9" s="1"/>
      <c r="P9" s="1"/>
      <c r="Q9" s="1"/>
      <c r="R9" s="1"/>
      <c r="S9" s="1"/>
      <c r="T9" s="1"/>
      <c r="U9" s="1"/>
      <c r="V9" s="1"/>
      <c r="W9" s="1"/>
      <c r="X9" s="1"/>
      <c r="Y9" s="1"/>
      <c r="Z9" s="1"/>
    </row>
    <row r="10" spans="1:26" x14ac:dyDescent="0.2">
      <c r="A10" s="1"/>
      <c r="B10" s="1"/>
      <c r="C10" s="1"/>
      <c r="D10" s="1"/>
      <c r="E10" s="1"/>
      <c r="F10" s="1"/>
      <c r="G10" s="1"/>
      <c r="H10" s="1"/>
      <c r="I10" s="1"/>
      <c r="J10" s="138" t="s">
        <v>309</v>
      </c>
      <c r="K10" s="1"/>
      <c r="L10" s="116">
        <f>'3-Frequency'!C12</f>
        <v>145.9</v>
      </c>
      <c r="M10" s="117" t="s">
        <v>38</v>
      </c>
      <c r="N10" s="1"/>
      <c r="O10" s="1"/>
      <c r="P10" s="1"/>
      <c r="Q10" s="1"/>
      <c r="R10" s="1"/>
      <c r="S10" s="1"/>
      <c r="T10" s="1"/>
      <c r="U10" s="1"/>
      <c r="V10" s="1"/>
      <c r="W10" s="1"/>
      <c r="X10" s="1"/>
      <c r="Y10" s="1"/>
      <c r="Z10" s="1"/>
    </row>
    <row r="11" spans="1:26"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
      <c r="A12" s="1"/>
      <c r="B12" s="1"/>
      <c r="C12" s="1"/>
      <c r="D12" s="1"/>
      <c r="E12" s="1"/>
      <c r="F12" s="1"/>
      <c r="G12" s="1"/>
      <c r="H12" s="1"/>
      <c r="I12" s="1"/>
      <c r="J12" s="138" t="s">
        <v>223</v>
      </c>
      <c r="K12" s="1"/>
      <c r="L12" s="116">
        <f>'7-Downlink Budget'!B26</f>
        <v>13.5</v>
      </c>
      <c r="M12" s="117" t="s">
        <v>69</v>
      </c>
      <c r="N12" s="1"/>
      <c r="O12" s="1"/>
      <c r="P12" s="1"/>
      <c r="Q12" s="1"/>
      <c r="R12" s="1"/>
      <c r="S12" s="1"/>
      <c r="T12" s="1"/>
      <c r="U12" s="1"/>
      <c r="V12" s="1"/>
      <c r="W12" s="1"/>
      <c r="X12" s="1"/>
      <c r="Y12" s="1"/>
      <c r="Z12" s="1"/>
    </row>
    <row r="13" spans="1:26" x14ac:dyDescent="0.2">
      <c r="A13" s="1"/>
      <c r="B13" s="1"/>
      <c r="C13" s="1"/>
      <c r="D13" s="1"/>
      <c r="E13" s="1"/>
      <c r="F13" s="1"/>
      <c r="G13" s="1"/>
      <c r="H13" s="1"/>
      <c r="I13" s="1"/>
      <c r="J13" s="108" t="s">
        <v>3</v>
      </c>
      <c r="K13" s="1"/>
      <c r="L13" s="1"/>
      <c r="M13" s="1"/>
      <c r="N13" s="1"/>
      <c r="O13" s="1"/>
      <c r="P13" s="1"/>
      <c r="Q13" s="1"/>
      <c r="R13" s="1"/>
      <c r="S13" s="1"/>
      <c r="T13" s="1"/>
      <c r="U13" s="1"/>
      <c r="V13" s="1"/>
      <c r="W13" s="1"/>
      <c r="X13" s="1"/>
      <c r="Y13" s="1"/>
      <c r="Z13" s="1"/>
    </row>
    <row r="14" spans="1:26" x14ac:dyDescent="0.2">
      <c r="A14" s="1"/>
      <c r="B14" s="1"/>
      <c r="C14" s="1"/>
      <c r="D14" s="1"/>
      <c r="E14" s="1"/>
      <c r="F14" s="1"/>
      <c r="G14" s="1"/>
      <c r="H14" s="1"/>
      <c r="I14" s="1"/>
      <c r="J14" s="138" t="s">
        <v>224</v>
      </c>
      <c r="K14" s="1"/>
      <c r="L14" s="116">
        <f>'7-Downlink Budget'!B29</f>
        <v>100</v>
      </c>
      <c r="M14" s="117" t="s">
        <v>71</v>
      </c>
      <c r="N14" s="1"/>
      <c r="O14" s="1"/>
      <c r="P14" s="1"/>
      <c r="Q14" s="1"/>
      <c r="R14" s="1"/>
      <c r="S14" s="1"/>
      <c r="T14" s="1"/>
      <c r="U14" s="1"/>
      <c r="V14" s="1"/>
      <c r="W14" s="1"/>
      <c r="X14" s="1"/>
      <c r="Y14" s="1"/>
      <c r="Z14" s="1"/>
    </row>
    <row r="15" spans="1:26" x14ac:dyDescent="0.2">
      <c r="A15" s="1"/>
      <c r="B15" s="1"/>
      <c r="C15" s="1"/>
      <c r="D15" s="323" t="s">
        <v>216</v>
      </c>
      <c r="E15" s="323"/>
      <c r="F15" s="1"/>
      <c r="G15" s="1"/>
      <c r="H15" s="1"/>
      <c r="I15" s="1"/>
      <c r="J15" s="1"/>
      <c r="K15" s="1"/>
      <c r="L15" s="1"/>
      <c r="M15" s="1"/>
      <c r="N15" s="1"/>
      <c r="O15" s="1"/>
      <c r="P15" s="1"/>
      <c r="Q15" s="1"/>
      <c r="R15" s="1"/>
      <c r="S15" s="1"/>
      <c r="T15" s="1"/>
      <c r="U15" s="1"/>
      <c r="V15" s="1"/>
      <c r="W15" s="1"/>
      <c r="X15" s="1"/>
      <c r="Y15" s="1"/>
      <c r="Z15" s="1"/>
    </row>
    <row r="16" spans="1:26" x14ac:dyDescent="0.2">
      <c r="A16" s="1"/>
      <c r="B16" s="138" t="s">
        <v>207</v>
      </c>
      <c r="C16" s="1"/>
      <c r="D16" s="141">
        <f>D9+10</f>
        <v>19.663090674679243</v>
      </c>
      <c r="E16" s="117" t="s">
        <v>41</v>
      </c>
      <c r="F16" s="1"/>
      <c r="G16" s="1"/>
      <c r="H16" s="1"/>
      <c r="I16" s="1"/>
      <c r="J16" s="138" t="s">
        <v>222</v>
      </c>
      <c r="K16" s="1"/>
      <c r="L16" s="123">
        <f>'7-Downlink Budget'!B34</f>
        <v>-18.072191507993267</v>
      </c>
      <c r="M16" s="117" t="s">
        <v>73</v>
      </c>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319" t="s">
        <v>330</v>
      </c>
      <c r="K19" s="319"/>
      <c r="L19" s="319"/>
      <c r="M19" s="319"/>
      <c r="N19" s="1"/>
      <c r="O19" s="1"/>
      <c r="P19" s="1"/>
      <c r="Q19" s="1"/>
      <c r="R19" s="1"/>
      <c r="S19" s="1"/>
      <c r="T19" s="1"/>
      <c r="U19" s="1"/>
      <c r="V19" s="1"/>
      <c r="W19" s="1"/>
      <c r="X19" s="1"/>
      <c r="Y19" s="1"/>
      <c r="Z19" s="1"/>
    </row>
    <row r="20" spans="1:26" x14ac:dyDescent="0.2">
      <c r="A20" s="1"/>
      <c r="B20" s="319" t="s">
        <v>230</v>
      </c>
      <c r="C20" s="319"/>
      <c r="D20" s="319"/>
      <c r="E20" s="319"/>
      <c r="F20" s="1"/>
      <c r="G20" s="1"/>
      <c r="H20" s="1"/>
      <c r="I20" s="1"/>
      <c r="J20" s="320"/>
      <c r="K20" s="320"/>
      <c r="L20" s="320"/>
      <c r="M20" s="320"/>
      <c r="N20" s="1"/>
      <c r="O20" s="1"/>
      <c r="P20" s="1"/>
      <c r="Q20" s="1"/>
      <c r="R20" s="1"/>
      <c r="S20" s="1"/>
      <c r="T20" s="1"/>
      <c r="U20" s="1"/>
      <c r="V20" s="1"/>
      <c r="W20" s="1"/>
      <c r="X20" s="1"/>
      <c r="Y20" s="1"/>
      <c r="Z20" s="1"/>
    </row>
    <row r="21" spans="1:26" x14ac:dyDescent="0.2">
      <c r="A21" s="1"/>
      <c r="B21" s="1"/>
      <c r="C21" s="1"/>
      <c r="D21" s="1"/>
      <c r="E21" s="1"/>
      <c r="F21" s="1"/>
      <c r="G21" s="1"/>
      <c r="H21" s="1"/>
      <c r="I21" s="1"/>
      <c r="J21" s="138" t="s">
        <v>210</v>
      </c>
      <c r="K21" s="1"/>
      <c r="L21" s="142">
        <f>'6-Uplink Budget'!B23</f>
        <v>9</v>
      </c>
      <c r="M21" s="117" t="s">
        <v>69</v>
      </c>
      <c r="N21" s="1"/>
      <c r="O21" s="1"/>
      <c r="P21" s="1"/>
      <c r="Q21" s="1"/>
      <c r="R21" s="1"/>
      <c r="S21" s="1"/>
      <c r="T21" s="1"/>
      <c r="U21" s="1"/>
      <c r="V21" s="1"/>
      <c r="W21" s="1"/>
      <c r="X21" s="1"/>
      <c r="Y21" s="1"/>
      <c r="Z21" s="1"/>
    </row>
    <row r="22" spans="1:26" x14ac:dyDescent="0.2">
      <c r="A22" s="1"/>
      <c r="B22" s="138" t="s">
        <v>221</v>
      </c>
      <c r="C22" s="1"/>
      <c r="D22" s="116">
        <f>'4-Transponder Set-Up'!D9</f>
        <v>200</v>
      </c>
      <c r="E22" s="117" t="s">
        <v>137</v>
      </c>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38" t="s">
        <v>211</v>
      </c>
      <c r="K23" s="1"/>
      <c r="L23" s="123">
        <f>'6-Uplink Budget'!B31</f>
        <v>-17.946181957727681</v>
      </c>
      <c r="M23" s="117" t="s">
        <v>73</v>
      </c>
      <c r="N23" s="1"/>
      <c r="O23" s="1"/>
      <c r="P23" s="1"/>
      <c r="Q23" s="1"/>
      <c r="R23" s="1"/>
      <c r="S23" s="1"/>
      <c r="T23" s="1"/>
      <c r="U23" s="1"/>
      <c r="V23" s="1"/>
      <c r="W23" s="1"/>
      <c r="X23" s="1"/>
      <c r="Y23" s="1"/>
      <c r="Z23" s="1"/>
    </row>
    <row r="24" spans="1:26" x14ac:dyDescent="0.2">
      <c r="A24" s="1"/>
      <c r="B24" s="138" t="s">
        <v>231</v>
      </c>
      <c r="C24" s="1"/>
      <c r="D24" s="143">
        <f>'4-Transponder Set-Up'!J11</f>
        <v>40</v>
      </c>
      <c r="E24" s="109" t="s">
        <v>215</v>
      </c>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42">
        <f>'4-Transponder Set-Up'!J15</f>
        <v>3</v>
      </c>
      <c r="E25" s="117" t="s">
        <v>232</v>
      </c>
      <c r="F25" s="1"/>
      <c r="G25" s="1"/>
      <c r="H25" s="1"/>
      <c r="I25" s="1"/>
      <c r="J25" s="138" t="s">
        <v>212</v>
      </c>
      <c r="K25" s="1"/>
      <c r="L25" s="123">
        <f>'4-Transponder Set-Up'!D13</f>
        <v>100</v>
      </c>
      <c r="M25" s="117" t="s">
        <v>161</v>
      </c>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38" t="s">
        <v>220</v>
      </c>
      <c r="C27" s="1"/>
      <c r="D27" s="112">
        <f>'4-Transponder Set-Up'!D21</f>
        <v>166.6597862835176</v>
      </c>
      <c r="E27" s="109" t="s">
        <v>41</v>
      </c>
      <c r="F27" s="1"/>
      <c r="G27" s="1"/>
      <c r="H27" s="1"/>
      <c r="I27" s="1"/>
      <c r="J27" s="138" t="s">
        <v>213</v>
      </c>
      <c r="K27" s="1"/>
      <c r="L27" s="123">
        <f>'4-Transponder Set-Up'!J19</f>
        <v>2.5</v>
      </c>
      <c r="M27" s="117" t="s">
        <v>161</v>
      </c>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47" t="s">
        <v>228</v>
      </c>
      <c r="C29" s="1"/>
      <c r="D29" s="149">
        <f>'4-Transponder Set-Up'!D19</f>
        <v>222.22222222222223</v>
      </c>
      <c r="E29" s="148" t="s">
        <v>161</v>
      </c>
      <c r="F29" s="1"/>
      <c r="G29" s="1"/>
      <c r="H29" s="1"/>
      <c r="I29" s="1"/>
      <c r="J29" s="138" t="s">
        <v>214</v>
      </c>
      <c r="K29" s="1"/>
      <c r="L29" s="142">
        <f>'7-Downlink Budget'!B14</f>
        <v>7</v>
      </c>
      <c r="M29" s="117" t="s">
        <v>69</v>
      </c>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53" t="s">
        <v>236</v>
      </c>
      <c r="C31" s="1"/>
      <c r="D31" s="149">
        <f>D29-'4-Transponder Set-Up'!D13</f>
        <v>122.22222222222223</v>
      </c>
      <c r="E31" s="148" t="s">
        <v>161</v>
      </c>
      <c r="F31" s="1"/>
      <c r="G31" s="1"/>
      <c r="H31" s="1"/>
      <c r="I31" s="1"/>
      <c r="J31" s="153" t="s">
        <v>240</v>
      </c>
      <c r="K31" s="1"/>
      <c r="L31" s="116">
        <f>10*LOG10(D24*L27)+'7-Downlink Budget'!B12+'7-Downlink Budget'!B13+'7-Downlink Budget'!B14</f>
        <v>25.3</v>
      </c>
      <c r="M31" s="154" t="s">
        <v>67</v>
      </c>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53" t="s">
        <v>239</v>
      </c>
      <c r="K33" s="1"/>
      <c r="L33" s="142">
        <f>'7-Downlink Budget'!B15</f>
        <v>7.4814505473579365</v>
      </c>
      <c r="M33" s="154" t="s">
        <v>67</v>
      </c>
      <c r="N33" s="1"/>
      <c r="O33" s="1"/>
      <c r="P33" s="1"/>
      <c r="Q33" s="1"/>
      <c r="R33" s="1"/>
      <c r="S33" s="1"/>
      <c r="T33" s="1"/>
      <c r="U33" s="1"/>
      <c r="V33" s="1"/>
      <c r="W33" s="1"/>
      <c r="X33" s="1"/>
      <c r="Y33" s="1"/>
      <c r="Z33" s="1"/>
    </row>
    <row r="34" spans="1:26" x14ac:dyDescent="0.2">
      <c r="A34" s="1"/>
      <c r="B34" s="1"/>
      <c r="C34" s="1"/>
      <c r="D34" s="155" t="s">
        <v>241</v>
      </c>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sheetData>
  <mergeCells count="7">
    <mergeCell ref="B20:E20"/>
    <mergeCell ref="J20:M20"/>
    <mergeCell ref="J19:M19"/>
    <mergeCell ref="J2:M2"/>
    <mergeCell ref="J9:M9"/>
    <mergeCell ref="D15:E15"/>
    <mergeCell ref="B3:E3"/>
  </mergeCells>
  <phoneticPr fontId="20" type="noConversion"/>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1-Title Page</vt:lpstr>
      <vt:lpstr>Amendment Log</vt:lpstr>
      <vt:lpstr>2-Orbit</vt:lpstr>
      <vt:lpstr>3-Frequency</vt:lpstr>
      <vt:lpstr>4-Transponder Set-Up</vt:lpstr>
      <vt:lpstr>5-User Set-Up</vt:lpstr>
      <vt:lpstr>6-Uplink Budget</vt:lpstr>
      <vt:lpstr>7-Downlink Budget</vt:lpstr>
      <vt:lpstr>8-Transponder Link Results</vt:lpstr>
      <vt:lpstr>9-System Block Diagram</vt:lpstr>
      <vt:lpstr>Orbit Shape Data</vt:lpstr>
    </vt:vector>
  </TitlesOfParts>
  <Company>BlastOff!</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 </cp:lastModifiedBy>
  <dcterms:created xsi:type="dcterms:W3CDTF">2003-03-25T04:05:57Z</dcterms:created>
  <dcterms:modified xsi:type="dcterms:W3CDTF">2012-08-30T22:14:24Z</dcterms:modified>
</cp:coreProperties>
</file>