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MV\Recreating full fmv basic with my own choice of comp\"/>
    </mc:Choice>
  </mc:AlternateContent>
  <bookViews>
    <workbookView xWindow="0" yWindow="0" windowWidth="28800" windowHeight="12300" activeTab="1"/>
  </bookViews>
  <sheets>
    <sheet name="Financials&gt;" sheetId="7" r:id="rId1"/>
    <sheet name="HistoricalFS" sheetId="8" r:id="rId2"/>
    <sheet name="Ratio Analysis" sheetId="10" r:id="rId3"/>
    <sheet name="Forecasting" sheetId="11" r:id="rId4"/>
    <sheet name="Data&gt;" sheetId="9" r:id="rId5"/>
    <sheet name="Data Sheet" sheetId="6" r:id="rId6"/>
  </sheets>
  <definedNames>
    <definedName name="UPDATE">'Data Sheet'!$E$1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8" l="1"/>
  <c r="C9" i="8"/>
  <c r="D4" i="11" l="1" a="1"/>
  <c r="D4" i="11" s="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N7" i="1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6" i="11"/>
  <c r="N5" i="11"/>
  <c r="N2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H7" i="1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6" i="11"/>
  <c r="H5" i="11"/>
  <c r="H2" i="11"/>
  <c r="B2" i="1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5" i="11"/>
  <c r="C4" i="11"/>
  <c r="B15" i="11"/>
  <c r="B16" i="11" s="1"/>
  <c r="B17" i="11" s="1"/>
  <c r="B18" i="11" s="1"/>
  <c r="B6" i="11"/>
  <c r="B7" i="11" s="1"/>
  <c r="B8" i="11" s="1"/>
  <c r="B9" i="11" s="1"/>
  <c r="B10" i="11" s="1"/>
  <c r="B11" i="11" s="1"/>
  <c r="B12" i="11" s="1"/>
  <c r="B13" i="11" s="1"/>
  <c r="B14" i="11" s="1"/>
  <c r="B5" i="11"/>
  <c r="D13" i="11" l="1"/>
  <c r="D11" i="11"/>
  <c r="D6" i="11"/>
  <c r="D12" i="11"/>
  <c r="D10" i="11"/>
  <c r="D9" i="11"/>
  <c r="D8" i="11"/>
  <c r="D7" i="11"/>
  <c r="D5" i="11"/>
  <c r="E5" i="11" s="1"/>
  <c r="E10" i="11"/>
  <c r="E13" i="11"/>
  <c r="E7" i="11"/>
  <c r="H28" i="10"/>
  <c r="E8" i="11" l="1"/>
  <c r="E11" i="11"/>
  <c r="E9" i="11"/>
  <c r="E12" i="11"/>
  <c r="D14" i="11"/>
  <c r="E14" i="11" s="1"/>
  <c r="D18" i="11"/>
  <c r="D15" i="11"/>
  <c r="D16" i="11"/>
  <c r="E16" i="11" s="1"/>
  <c r="E6" i="11"/>
  <c r="D17" i="11"/>
  <c r="O40" i="10"/>
  <c r="N40" i="10"/>
  <c r="O39" i="10"/>
  <c r="N39" i="10"/>
  <c r="O38" i="10"/>
  <c r="N38" i="10"/>
  <c r="O35" i="10"/>
  <c r="N35" i="10"/>
  <c r="O33" i="10"/>
  <c r="N33" i="10"/>
  <c r="O31" i="10"/>
  <c r="N31" i="10"/>
  <c r="O30" i="10"/>
  <c r="N30" i="10"/>
  <c r="O29" i="10"/>
  <c r="N29" i="10"/>
  <c r="O28" i="10"/>
  <c r="N28" i="10"/>
  <c r="O27" i="10"/>
  <c r="N27" i="10"/>
  <c r="O18" i="10"/>
  <c r="N18" i="10"/>
  <c r="O17" i="10"/>
  <c r="N17" i="10"/>
  <c r="O5" i="10"/>
  <c r="N5" i="10"/>
  <c r="C40" i="10"/>
  <c r="L40" i="10"/>
  <c r="K40" i="10"/>
  <c r="J40" i="10"/>
  <c r="I40" i="10"/>
  <c r="H40" i="10"/>
  <c r="G40" i="10"/>
  <c r="F40" i="10"/>
  <c r="E40" i="10"/>
  <c r="D40" i="10"/>
  <c r="L39" i="10"/>
  <c r="K39" i="10"/>
  <c r="J39" i="10"/>
  <c r="I39" i="10"/>
  <c r="H39" i="10"/>
  <c r="G39" i="10"/>
  <c r="F39" i="10"/>
  <c r="E39" i="10"/>
  <c r="D39" i="10"/>
  <c r="L38" i="10"/>
  <c r="K38" i="10"/>
  <c r="J38" i="10"/>
  <c r="I38" i="10"/>
  <c r="H38" i="10"/>
  <c r="G38" i="10"/>
  <c r="F38" i="10"/>
  <c r="E38" i="10"/>
  <c r="D38" i="10"/>
  <c r="C39" i="10"/>
  <c r="C38" i="10"/>
  <c r="L35" i="10"/>
  <c r="K35" i="10"/>
  <c r="J35" i="10"/>
  <c r="I35" i="10"/>
  <c r="H35" i="10"/>
  <c r="G35" i="10"/>
  <c r="F35" i="10"/>
  <c r="E35" i="10"/>
  <c r="D35" i="10"/>
  <c r="L34" i="10"/>
  <c r="L36" i="10" s="1"/>
  <c r="K34" i="10"/>
  <c r="K36" i="10" s="1"/>
  <c r="J34" i="10"/>
  <c r="J36" i="10" s="1"/>
  <c r="I34" i="10"/>
  <c r="I36" i="10" s="1"/>
  <c r="H34" i="10"/>
  <c r="H36" i="10" s="1"/>
  <c r="O36" i="10" s="1"/>
  <c r="G34" i="10"/>
  <c r="G36" i="10" s="1"/>
  <c r="F34" i="10"/>
  <c r="E34" i="10"/>
  <c r="D34" i="10"/>
  <c r="L33" i="10"/>
  <c r="K33" i="10"/>
  <c r="J33" i="10"/>
  <c r="I33" i="10"/>
  <c r="H33" i="10"/>
  <c r="G33" i="10"/>
  <c r="F33" i="10"/>
  <c r="F36" i="10" s="1"/>
  <c r="E33" i="10"/>
  <c r="E36" i="10" s="1"/>
  <c r="D33" i="10"/>
  <c r="D36" i="10" s="1"/>
  <c r="C36" i="10"/>
  <c r="C35" i="10"/>
  <c r="C34" i="10"/>
  <c r="C33" i="10"/>
  <c r="L24" i="10"/>
  <c r="K24" i="10"/>
  <c r="J24" i="10"/>
  <c r="I24" i="10"/>
  <c r="H24" i="10"/>
  <c r="G24" i="10"/>
  <c r="F24" i="10"/>
  <c r="E24" i="10"/>
  <c r="D24" i="10"/>
  <c r="L19" i="10"/>
  <c r="K19" i="10"/>
  <c r="J19" i="10"/>
  <c r="I19" i="10"/>
  <c r="H19" i="10"/>
  <c r="G19" i="10"/>
  <c r="F19" i="10"/>
  <c r="E19" i="10"/>
  <c r="D19" i="10"/>
  <c r="D27" i="10"/>
  <c r="E27" i="10"/>
  <c r="F27" i="10"/>
  <c r="G27" i="10"/>
  <c r="H27" i="10"/>
  <c r="I27" i="10"/>
  <c r="J27" i="10"/>
  <c r="K27" i="10"/>
  <c r="L27" i="10"/>
  <c r="D28" i="10"/>
  <c r="E28" i="10"/>
  <c r="F28" i="10"/>
  <c r="G28" i="10"/>
  <c r="I28" i="10"/>
  <c r="J28" i="10"/>
  <c r="K28" i="10"/>
  <c r="L28" i="10"/>
  <c r="D29" i="10"/>
  <c r="E29" i="10"/>
  <c r="F29" i="10"/>
  <c r="G29" i="10"/>
  <c r="H29" i="10"/>
  <c r="I29" i="10"/>
  <c r="J29" i="10"/>
  <c r="K29" i="10"/>
  <c r="L29" i="10"/>
  <c r="D30" i="10"/>
  <c r="E30" i="10"/>
  <c r="F30" i="10"/>
  <c r="G30" i="10"/>
  <c r="H30" i="10"/>
  <c r="I30" i="10"/>
  <c r="J30" i="10"/>
  <c r="K30" i="10"/>
  <c r="L30" i="10"/>
  <c r="D31" i="10"/>
  <c r="E31" i="10"/>
  <c r="F31" i="10"/>
  <c r="G31" i="10"/>
  <c r="H31" i="10"/>
  <c r="I31" i="10"/>
  <c r="J31" i="10"/>
  <c r="K31" i="10"/>
  <c r="L31" i="10"/>
  <c r="C31" i="10"/>
  <c r="C30" i="10"/>
  <c r="C28" i="10"/>
  <c r="C29" i="10"/>
  <c r="C27" i="10"/>
  <c r="D25" i="10"/>
  <c r="E25" i="10"/>
  <c r="F25" i="10"/>
  <c r="G25" i="10"/>
  <c r="H25" i="10"/>
  <c r="I25" i="10"/>
  <c r="J25" i="10"/>
  <c r="K25" i="10"/>
  <c r="L25" i="10"/>
  <c r="D21" i="10"/>
  <c r="E21" i="10"/>
  <c r="F21" i="10"/>
  <c r="G21" i="10"/>
  <c r="H21" i="10"/>
  <c r="I21" i="10"/>
  <c r="J21" i="10"/>
  <c r="K21" i="10"/>
  <c r="L21" i="10"/>
  <c r="D22" i="10"/>
  <c r="E22" i="10"/>
  <c r="F22" i="10"/>
  <c r="G22" i="10"/>
  <c r="H22" i="10"/>
  <c r="I22" i="10"/>
  <c r="J22" i="10"/>
  <c r="K22" i="10"/>
  <c r="L22" i="10"/>
  <c r="D23" i="10"/>
  <c r="E23" i="10"/>
  <c r="F23" i="10"/>
  <c r="G23" i="10"/>
  <c r="H23" i="10"/>
  <c r="I23" i="10"/>
  <c r="J23" i="10"/>
  <c r="K23" i="10"/>
  <c r="L23" i="10"/>
  <c r="D17" i="10"/>
  <c r="E17" i="10"/>
  <c r="F17" i="10"/>
  <c r="G17" i="10"/>
  <c r="H17" i="10"/>
  <c r="I17" i="10"/>
  <c r="J17" i="10"/>
  <c r="K17" i="10"/>
  <c r="L17" i="10"/>
  <c r="D18" i="10"/>
  <c r="E18" i="10"/>
  <c r="F18" i="10"/>
  <c r="G18" i="10"/>
  <c r="H18" i="10"/>
  <c r="I18" i="10"/>
  <c r="J18" i="10"/>
  <c r="K18" i="10"/>
  <c r="L18" i="10"/>
  <c r="C18" i="10"/>
  <c r="C17" i="10"/>
  <c r="D11" i="10"/>
  <c r="E11" i="10"/>
  <c r="F11" i="10"/>
  <c r="G11" i="10"/>
  <c r="H11" i="10"/>
  <c r="I11" i="10"/>
  <c r="J11" i="10"/>
  <c r="K11" i="10"/>
  <c r="L11" i="10"/>
  <c r="D12" i="10"/>
  <c r="E12" i="10"/>
  <c r="F12" i="10"/>
  <c r="G12" i="10"/>
  <c r="H12" i="10"/>
  <c r="I12" i="10"/>
  <c r="J12" i="10"/>
  <c r="K12" i="10"/>
  <c r="L12" i="10"/>
  <c r="D13" i="10"/>
  <c r="E13" i="10"/>
  <c r="F13" i="10"/>
  <c r="G13" i="10"/>
  <c r="H13" i="10"/>
  <c r="I13" i="10"/>
  <c r="J13" i="10"/>
  <c r="K13" i="10"/>
  <c r="L13" i="10"/>
  <c r="D14" i="10"/>
  <c r="E14" i="10"/>
  <c r="F14" i="10"/>
  <c r="G14" i="10"/>
  <c r="H14" i="10"/>
  <c r="I14" i="10"/>
  <c r="J14" i="10"/>
  <c r="K14" i="10"/>
  <c r="L14" i="10"/>
  <c r="D15" i="10"/>
  <c r="E15" i="10"/>
  <c r="F15" i="10"/>
  <c r="G15" i="10"/>
  <c r="H15" i="10"/>
  <c r="I15" i="10"/>
  <c r="J15" i="10"/>
  <c r="K15" i="10"/>
  <c r="L15" i="10"/>
  <c r="C24" i="8"/>
  <c r="L9" i="10"/>
  <c r="K9" i="10"/>
  <c r="J9" i="10"/>
  <c r="I9" i="10"/>
  <c r="H9" i="10"/>
  <c r="G9" i="10"/>
  <c r="F9" i="10"/>
  <c r="E9" i="10"/>
  <c r="D9" i="10"/>
  <c r="N9" i="10" s="1"/>
  <c r="L8" i="10"/>
  <c r="K8" i="10"/>
  <c r="J8" i="10"/>
  <c r="I8" i="10"/>
  <c r="H8" i="10"/>
  <c r="G8" i="10"/>
  <c r="F8" i="10"/>
  <c r="E8" i="10"/>
  <c r="L7" i="10"/>
  <c r="K7" i="10"/>
  <c r="J7" i="10"/>
  <c r="I7" i="10"/>
  <c r="H7" i="10"/>
  <c r="G7" i="10"/>
  <c r="F7" i="10"/>
  <c r="E7" i="10"/>
  <c r="L6" i="10"/>
  <c r="K6" i="10"/>
  <c r="J6" i="10"/>
  <c r="I6" i="10"/>
  <c r="H6" i="10"/>
  <c r="G6" i="10"/>
  <c r="F6" i="10"/>
  <c r="E6" i="10"/>
  <c r="D5" i="10"/>
  <c r="E5" i="10"/>
  <c r="F5" i="10"/>
  <c r="G5" i="10"/>
  <c r="H5" i="10"/>
  <c r="I5" i="10"/>
  <c r="J5" i="10"/>
  <c r="K5" i="10"/>
  <c r="L5" i="10"/>
  <c r="D3" i="10"/>
  <c r="E3" i="10"/>
  <c r="F3" i="10"/>
  <c r="G3" i="10"/>
  <c r="H3" i="10"/>
  <c r="I3" i="10"/>
  <c r="J3" i="10"/>
  <c r="K3" i="10"/>
  <c r="L3" i="10"/>
  <c r="C3" i="10"/>
  <c r="B2" i="10"/>
  <c r="O9" i="10" l="1"/>
  <c r="E15" i="11"/>
  <c r="E17" i="11"/>
  <c r="E18" i="11"/>
  <c r="N36" i="10"/>
  <c r="N34" i="10"/>
  <c r="O34" i="10"/>
  <c r="L76" i="8"/>
  <c r="K76" i="8"/>
  <c r="J76" i="8"/>
  <c r="I76" i="8"/>
  <c r="H76" i="8"/>
  <c r="G76" i="8"/>
  <c r="F76" i="8"/>
  <c r="E76" i="8"/>
  <c r="D76" i="8"/>
  <c r="C76" i="8"/>
  <c r="L74" i="8"/>
  <c r="K74" i="8"/>
  <c r="J74" i="8"/>
  <c r="I74" i="8"/>
  <c r="H74" i="8"/>
  <c r="G74" i="8"/>
  <c r="F74" i="8"/>
  <c r="E74" i="8"/>
  <c r="D74" i="8"/>
  <c r="L72" i="8"/>
  <c r="K72" i="8"/>
  <c r="J72" i="8"/>
  <c r="I72" i="8"/>
  <c r="H72" i="8"/>
  <c r="G72" i="8"/>
  <c r="F72" i="8"/>
  <c r="E72" i="8"/>
  <c r="D72" i="8"/>
  <c r="L70" i="8"/>
  <c r="K70" i="8"/>
  <c r="J70" i="8"/>
  <c r="I70" i="8"/>
  <c r="H70" i="8"/>
  <c r="G70" i="8"/>
  <c r="F70" i="8"/>
  <c r="E70" i="8"/>
  <c r="D70" i="8"/>
  <c r="C74" i="8"/>
  <c r="C72" i="8"/>
  <c r="C70" i="8"/>
  <c r="B74" i="8"/>
  <c r="B72" i="8"/>
  <c r="B70" i="8"/>
  <c r="L56" i="8" l="1"/>
  <c r="K56" i="8"/>
  <c r="J56" i="8"/>
  <c r="I56" i="8"/>
  <c r="H56" i="8"/>
  <c r="G56" i="8"/>
  <c r="F56" i="8"/>
  <c r="E56" i="8"/>
  <c r="D56" i="8"/>
  <c r="C56" i="8"/>
  <c r="C57" i="8" s="1"/>
  <c r="C64" i="8" s="1"/>
  <c r="C66" i="8" s="1"/>
  <c r="L62" i="8"/>
  <c r="K62" i="8"/>
  <c r="J62" i="8"/>
  <c r="I62" i="8"/>
  <c r="H62" i="8"/>
  <c r="G62" i="8"/>
  <c r="F62" i="8"/>
  <c r="E62" i="8"/>
  <c r="D62" i="8"/>
  <c r="C62" i="8"/>
  <c r="L61" i="8"/>
  <c r="K61" i="8"/>
  <c r="J61" i="8"/>
  <c r="I61" i="8"/>
  <c r="H61" i="8"/>
  <c r="G61" i="8"/>
  <c r="F61" i="8"/>
  <c r="E61" i="8"/>
  <c r="D61" i="8"/>
  <c r="C61" i="8"/>
  <c r="L60" i="8"/>
  <c r="K60" i="8"/>
  <c r="J60" i="8"/>
  <c r="I60" i="8"/>
  <c r="H60" i="8"/>
  <c r="G60" i="8"/>
  <c r="F60" i="8"/>
  <c r="E60" i="8"/>
  <c r="D60" i="8"/>
  <c r="C60" i="8"/>
  <c r="L59" i="8"/>
  <c r="K59" i="8"/>
  <c r="J59" i="8"/>
  <c r="I59" i="8"/>
  <c r="H59" i="8"/>
  <c r="G59" i="8"/>
  <c r="F59" i="8"/>
  <c r="E59" i="8"/>
  <c r="D59" i="8"/>
  <c r="C59" i="8"/>
  <c r="B60" i="8"/>
  <c r="B61" i="8"/>
  <c r="B59" i="8"/>
  <c r="L57" i="8"/>
  <c r="K57" i="8"/>
  <c r="J57" i="8"/>
  <c r="J64" i="8" s="1"/>
  <c r="J66" i="8" s="1"/>
  <c r="I57" i="8"/>
  <c r="I64" i="8" s="1"/>
  <c r="I66" i="8" s="1"/>
  <c r="H57" i="8"/>
  <c r="H64" i="8" s="1"/>
  <c r="H66" i="8" s="1"/>
  <c r="G57" i="8"/>
  <c r="G64" i="8" s="1"/>
  <c r="G66" i="8" s="1"/>
  <c r="F57" i="8"/>
  <c r="F64" i="8" s="1"/>
  <c r="F66" i="8" s="1"/>
  <c r="E57" i="8"/>
  <c r="D57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B55" i="8"/>
  <c r="B56" i="8"/>
  <c r="B54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B48" i="8"/>
  <c r="B49" i="8"/>
  <c r="B50" i="8"/>
  <c r="L47" i="8"/>
  <c r="K47" i="8"/>
  <c r="J47" i="8"/>
  <c r="I47" i="8"/>
  <c r="H47" i="8"/>
  <c r="G47" i="8"/>
  <c r="F47" i="8"/>
  <c r="E47" i="8"/>
  <c r="D47" i="8"/>
  <c r="C47" i="8"/>
  <c r="B47" i="8"/>
  <c r="M44" i="8"/>
  <c r="L44" i="8"/>
  <c r="K44" i="8"/>
  <c r="J44" i="8"/>
  <c r="I44" i="8"/>
  <c r="H44" i="8"/>
  <c r="G44" i="8"/>
  <c r="F44" i="8"/>
  <c r="E44" i="8"/>
  <c r="D44" i="8"/>
  <c r="M42" i="8"/>
  <c r="L42" i="8"/>
  <c r="K42" i="8"/>
  <c r="J42" i="8"/>
  <c r="I42" i="8"/>
  <c r="H42" i="8"/>
  <c r="G42" i="8"/>
  <c r="F42" i="8"/>
  <c r="E42" i="8"/>
  <c r="D42" i="8"/>
  <c r="M41" i="8"/>
  <c r="L41" i="8"/>
  <c r="K41" i="8"/>
  <c r="J41" i="8"/>
  <c r="I41" i="8"/>
  <c r="H41" i="8"/>
  <c r="G41" i="8"/>
  <c r="F41" i="8"/>
  <c r="E41" i="8"/>
  <c r="D41" i="8"/>
  <c r="L39" i="8"/>
  <c r="K39" i="8"/>
  <c r="J39" i="8"/>
  <c r="I39" i="8"/>
  <c r="H39" i="8"/>
  <c r="G39" i="8"/>
  <c r="F39" i="8"/>
  <c r="E39" i="8"/>
  <c r="M38" i="8"/>
  <c r="L38" i="8"/>
  <c r="K38" i="8"/>
  <c r="J38" i="8"/>
  <c r="I38" i="8"/>
  <c r="H38" i="8"/>
  <c r="G38" i="8"/>
  <c r="F38" i="8"/>
  <c r="E38" i="8"/>
  <c r="D38" i="8"/>
  <c r="M36" i="8"/>
  <c r="L36" i="8"/>
  <c r="K36" i="8"/>
  <c r="J36" i="8"/>
  <c r="I36" i="8"/>
  <c r="H36" i="8"/>
  <c r="G36" i="8"/>
  <c r="F36" i="8"/>
  <c r="E36" i="8"/>
  <c r="D36" i="8"/>
  <c r="C36" i="8"/>
  <c r="M34" i="8"/>
  <c r="L34" i="8"/>
  <c r="K34" i="8"/>
  <c r="J34" i="8"/>
  <c r="I34" i="8"/>
  <c r="H34" i="8"/>
  <c r="G34" i="8"/>
  <c r="F34" i="8"/>
  <c r="E34" i="8"/>
  <c r="D34" i="8"/>
  <c r="M33" i="8"/>
  <c r="L33" i="8"/>
  <c r="K33" i="8"/>
  <c r="J33" i="8"/>
  <c r="I33" i="8"/>
  <c r="H33" i="8"/>
  <c r="G33" i="8"/>
  <c r="F33" i="8"/>
  <c r="E33" i="8"/>
  <c r="D33" i="8"/>
  <c r="M31" i="8"/>
  <c r="L31" i="8"/>
  <c r="K31" i="8"/>
  <c r="J31" i="8"/>
  <c r="I31" i="8"/>
  <c r="H31" i="8"/>
  <c r="G31" i="8"/>
  <c r="F31" i="8"/>
  <c r="E31" i="8"/>
  <c r="D31" i="8"/>
  <c r="M30" i="8"/>
  <c r="L30" i="8"/>
  <c r="K30" i="8"/>
  <c r="J30" i="8"/>
  <c r="I30" i="8"/>
  <c r="H30" i="8"/>
  <c r="G30" i="8"/>
  <c r="F30" i="8"/>
  <c r="E30" i="8"/>
  <c r="D30" i="8"/>
  <c r="C30" i="8"/>
  <c r="M27" i="8"/>
  <c r="L27" i="8"/>
  <c r="K27" i="8"/>
  <c r="J27" i="8"/>
  <c r="I27" i="8"/>
  <c r="H27" i="8"/>
  <c r="G27" i="8"/>
  <c r="G28" i="8" s="1"/>
  <c r="F27" i="8"/>
  <c r="F28" i="8" s="1"/>
  <c r="E27" i="8"/>
  <c r="E28" i="8" s="1"/>
  <c r="D27" i="8"/>
  <c r="D28" i="8" s="1"/>
  <c r="L28" i="8"/>
  <c r="J28" i="8"/>
  <c r="I28" i="8"/>
  <c r="H28" i="8"/>
  <c r="M28" i="8"/>
  <c r="K28" i="8"/>
  <c r="M25" i="8"/>
  <c r="L25" i="8"/>
  <c r="K25" i="8"/>
  <c r="J25" i="8"/>
  <c r="I25" i="8"/>
  <c r="H25" i="8"/>
  <c r="G25" i="8"/>
  <c r="F25" i="8"/>
  <c r="E25" i="8"/>
  <c r="D25" i="8"/>
  <c r="C25" i="8"/>
  <c r="M24" i="8"/>
  <c r="L24" i="8"/>
  <c r="K24" i="8"/>
  <c r="J24" i="8"/>
  <c r="I24" i="8"/>
  <c r="H24" i="8"/>
  <c r="G24" i="8"/>
  <c r="F24" i="8"/>
  <c r="E24" i="8"/>
  <c r="D24" i="8"/>
  <c r="M22" i="8"/>
  <c r="L22" i="8"/>
  <c r="K22" i="8"/>
  <c r="J22" i="8"/>
  <c r="I22" i="8"/>
  <c r="H22" i="8"/>
  <c r="G22" i="8"/>
  <c r="F22" i="8"/>
  <c r="E22" i="8"/>
  <c r="D22" i="8"/>
  <c r="C22" i="8"/>
  <c r="M21" i="8"/>
  <c r="L21" i="8"/>
  <c r="K21" i="8"/>
  <c r="J21" i="8"/>
  <c r="I21" i="8"/>
  <c r="H21" i="8"/>
  <c r="G21" i="8"/>
  <c r="F21" i="8"/>
  <c r="E21" i="8"/>
  <c r="D21" i="8"/>
  <c r="C21" i="8"/>
  <c r="M18" i="8"/>
  <c r="M19" i="8" s="1"/>
  <c r="L19" i="8"/>
  <c r="K19" i="8"/>
  <c r="J19" i="8"/>
  <c r="I19" i="8"/>
  <c r="H19" i="8"/>
  <c r="G19" i="8"/>
  <c r="F19" i="8"/>
  <c r="E19" i="8"/>
  <c r="D19" i="8"/>
  <c r="L18" i="8"/>
  <c r="K18" i="8"/>
  <c r="J18" i="8"/>
  <c r="I18" i="8"/>
  <c r="H18" i="8"/>
  <c r="G18" i="8"/>
  <c r="F18" i="8"/>
  <c r="E18" i="8"/>
  <c r="D18" i="8"/>
  <c r="M16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M13" i="8"/>
  <c r="L13" i="8"/>
  <c r="K13" i="8"/>
  <c r="J13" i="8"/>
  <c r="I13" i="8"/>
  <c r="H13" i="8"/>
  <c r="G13" i="8"/>
  <c r="F13" i="8"/>
  <c r="E13" i="8"/>
  <c r="D13" i="8"/>
  <c r="M12" i="8"/>
  <c r="L12" i="8"/>
  <c r="K12" i="8"/>
  <c r="J12" i="8"/>
  <c r="I12" i="8"/>
  <c r="H12" i="8"/>
  <c r="G12" i="8"/>
  <c r="F12" i="8"/>
  <c r="E12" i="8"/>
  <c r="D12" i="8"/>
  <c r="C12" i="8"/>
  <c r="C13" i="8" s="1"/>
  <c r="C11" i="10" s="1"/>
  <c r="M9" i="8"/>
  <c r="L9" i="8"/>
  <c r="K9" i="8"/>
  <c r="J9" i="8"/>
  <c r="I9" i="8"/>
  <c r="H9" i="8"/>
  <c r="G9" i="8"/>
  <c r="F9" i="8"/>
  <c r="E9" i="8"/>
  <c r="D9" i="8"/>
  <c r="C18" i="8" l="1"/>
  <c r="C19" i="8" s="1"/>
  <c r="C12" i="10" s="1"/>
  <c r="C27" i="8"/>
  <c r="C33" i="8" s="1"/>
  <c r="C23" i="10" s="1"/>
  <c r="O23" i="10" s="1"/>
  <c r="O11" i="10"/>
  <c r="N11" i="10"/>
  <c r="J4" i="11" a="1"/>
  <c r="C13" i="10"/>
  <c r="D6" i="10"/>
  <c r="C21" i="10"/>
  <c r="C25" i="10"/>
  <c r="O12" i="10"/>
  <c r="N12" i="10"/>
  <c r="L64" i="8"/>
  <c r="L66" i="8" s="1"/>
  <c r="K64" i="8"/>
  <c r="K66" i="8" s="1"/>
  <c r="D64" i="8"/>
  <c r="D66" i="8" s="1"/>
  <c r="E64" i="8"/>
  <c r="E66" i="8" s="1"/>
  <c r="M6" i="8"/>
  <c r="L6" i="8"/>
  <c r="K6" i="8"/>
  <c r="J6" i="8"/>
  <c r="I6" i="8"/>
  <c r="H6" i="8"/>
  <c r="G6" i="8"/>
  <c r="F6" i="8"/>
  <c r="E6" i="8"/>
  <c r="D6" i="8"/>
  <c r="C6" i="8"/>
  <c r="C10" i="8" s="1"/>
  <c r="L3" i="8"/>
  <c r="D3" i="8"/>
  <c r="E3" i="8"/>
  <c r="F3" i="8"/>
  <c r="G3" i="8"/>
  <c r="H3" i="8"/>
  <c r="I3" i="8"/>
  <c r="J3" i="8"/>
  <c r="K3" i="8"/>
  <c r="C3" i="8"/>
  <c r="B2" i="8"/>
  <c r="N23" i="10" l="1"/>
  <c r="C28" i="8"/>
  <c r="C14" i="10" s="1"/>
  <c r="C34" i="8"/>
  <c r="C15" i="10" s="1"/>
  <c r="C31" i="8"/>
  <c r="D7" i="10"/>
  <c r="N7" i="10" s="1"/>
  <c r="C38" i="8"/>
  <c r="P4" i="11" s="1" a="1"/>
  <c r="P8" i="11" s="1"/>
  <c r="D8" i="10"/>
  <c r="O25" i="10"/>
  <c r="N25" i="10"/>
  <c r="O13" i="10"/>
  <c r="N13" i="10"/>
  <c r="C19" i="10"/>
  <c r="J4" i="11"/>
  <c r="J10" i="11"/>
  <c r="J12" i="11"/>
  <c r="J8" i="11"/>
  <c r="J13" i="11"/>
  <c r="K13" i="11" s="1"/>
  <c r="J7" i="11"/>
  <c r="J11" i="11"/>
  <c r="K11" i="11" s="1"/>
  <c r="J9" i="11"/>
  <c r="J6" i="11"/>
  <c r="J5" i="11"/>
  <c r="O21" i="10"/>
  <c r="N21" i="10"/>
  <c r="N6" i="10"/>
  <c r="O6" i="10"/>
  <c r="N14" i="10"/>
  <c r="O14" i="10"/>
  <c r="O15" i="10"/>
  <c r="N15" i="10"/>
  <c r="O8" i="10"/>
  <c r="N8" i="10"/>
  <c r="L7" i="8"/>
  <c r="L10" i="8"/>
  <c r="J7" i="8"/>
  <c r="J10" i="8"/>
  <c r="H7" i="8"/>
  <c r="H10" i="8"/>
  <c r="I7" i="8"/>
  <c r="I10" i="8"/>
  <c r="M7" i="8"/>
  <c r="M10" i="8"/>
  <c r="D10" i="8"/>
  <c r="D7" i="8"/>
  <c r="F7" i="8"/>
  <c r="F10" i="8"/>
  <c r="K7" i="8"/>
  <c r="K10" i="8"/>
  <c r="E7" i="8"/>
  <c r="E10" i="8"/>
  <c r="G7" i="8"/>
  <c r="G10" i="8"/>
  <c r="B6" i="6"/>
  <c r="E1" i="6"/>
  <c r="P5" i="11" l="1"/>
  <c r="P11" i="11"/>
  <c r="P6" i="11"/>
  <c r="P4" i="11"/>
  <c r="D39" i="8"/>
  <c r="C42" i="8"/>
  <c r="C44" i="8" s="1"/>
  <c r="C22" i="10" s="1"/>
  <c r="K7" i="11"/>
  <c r="P10" i="11"/>
  <c r="P9" i="11"/>
  <c r="Q9" i="11" s="1"/>
  <c r="P13" i="11"/>
  <c r="P15" i="11" s="1"/>
  <c r="P7" i="11"/>
  <c r="Q7" i="11" s="1"/>
  <c r="P12" i="11"/>
  <c r="K10" i="11"/>
  <c r="O7" i="10"/>
  <c r="K12" i="11"/>
  <c r="J17" i="11"/>
  <c r="J16" i="11"/>
  <c r="J15" i="11"/>
  <c r="J14" i="11"/>
  <c r="K14" i="11" s="1"/>
  <c r="J18" i="11"/>
  <c r="Q11" i="11"/>
  <c r="O19" i="10"/>
  <c r="N19" i="10"/>
  <c r="Q6" i="11"/>
  <c r="K5" i="11"/>
  <c r="P14" i="11"/>
  <c r="Q14" i="11" s="1"/>
  <c r="K6" i="11"/>
  <c r="K8" i="11"/>
  <c r="K9" i="11"/>
  <c r="O22" i="10" l="1"/>
  <c r="N22" i="10"/>
  <c r="C24" i="10"/>
  <c r="P17" i="11"/>
  <c r="P16" i="11"/>
  <c r="Q16" i="11" s="1"/>
  <c r="K15" i="11"/>
  <c r="Q8" i="11"/>
  <c r="P18" i="11"/>
  <c r="Q18" i="11" s="1"/>
  <c r="Q12" i="11"/>
  <c r="Q5" i="11"/>
  <c r="Q13" i="11"/>
  <c r="K18" i="11"/>
  <c r="Q10" i="11"/>
  <c r="K16" i="11"/>
  <c r="Q15" i="11"/>
  <c r="K17" i="11"/>
  <c r="Q17" i="11"/>
  <c r="N24" i="10"/>
  <c r="O24" i="10"/>
</calcChain>
</file>

<file path=xl/sharedStrings.xml><?xml version="1.0" encoding="utf-8"?>
<sst xmlns="http://schemas.openxmlformats.org/spreadsheetml/2006/main" count="155" uniqueCount="123">
  <si>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</si>
  <si>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</si>
  <si>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</si>
  <si>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</si>
  <si>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</si>
  <si>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</si>
  <si>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</si>
  <si>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</si>
  <si>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</si>
  <si>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</si>
  <si>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</si>
  <si>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</si>
  <si>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</si>
  <si>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</si>
  <si>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</si>
  <si>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</si>
  <si>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</si>
  <si>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</si>
  <si>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</si>
  <si>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</si>
  <si>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</si>
  <si>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</si>
  <si>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</si>
  <si>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</si>
  <si>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</si>
  <si>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</si>
  <si>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</si>
  <si>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</si>
  <si>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</si>
  <si>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</si>
  <si>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</si>
  <si>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</si>
  <si>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</si>
  <si>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HINDUSTAN UNILEVER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</si>
  <si>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</si>
  <si>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</si>
  <si>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</si>
  <si>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</si>
  <si>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</si>
  <si>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</si>
  <si>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</si>
  <si>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</si>
  <si>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</si>
  <si>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</si>
  <si>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</si>
  <si>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</si>
  <si>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</si>
  <si>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</si>
  <si>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</si>
  <si>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</si>
  <si>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</si>
  <si>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</si>
  <si>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</si>
  <si>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</si>
  <si>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</si>
  <si>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</si>
  <si>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</si>
  <si>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</si>
  <si>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</si>
  <si>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-</t>
  </si>
  <si>
    <t>COGS</t>
  </si>
  <si>
    <t>COGS % SALES</t>
  </si>
  <si>
    <t>Gross Profit</t>
  </si>
  <si>
    <t>Gros Margins</t>
  </si>
  <si>
    <t>Selling &amp; General Expenses</t>
  </si>
  <si>
    <t>S&amp;G Exp. % Sales</t>
  </si>
  <si>
    <t>EBIDTA</t>
  </si>
  <si>
    <t>EBIDTA Margins</t>
  </si>
  <si>
    <t>Interest % Sales</t>
  </si>
  <si>
    <t>Depreciation % Sales</t>
  </si>
  <si>
    <t>Earnings Before Tax</t>
  </si>
  <si>
    <t>EBT % Sales</t>
  </si>
  <si>
    <t>Effective Tax Rate</t>
  </si>
  <si>
    <t>Net Profit</t>
  </si>
  <si>
    <t>Net Margins</t>
  </si>
  <si>
    <t>Earning Per Share</t>
  </si>
  <si>
    <t>EPS % Growth</t>
  </si>
  <si>
    <t>Dividend Per Share</t>
  </si>
  <si>
    <t>Dividend Payout Ratio</t>
  </si>
  <si>
    <t>Retained Earnings</t>
  </si>
  <si>
    <t>Balance Sheet</t>
  </si>
  <si>
    <t>Total Liabilites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</si>
  <si>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</si>
  <si>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</si>
  <si>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</si>
  <si>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</si>
  <si>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</si>
  <si>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</si>
  <si>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Trend</t>
  </si>
  <si>
    <t xml:space="preserve">Mean </t>
  </si>
  <si>
    <t>Median</t>
  </si>
  <si>
    <t>EBIT Growth</t>
  </si>
  <si>
    <t>Net Profit Growth</t>
  </si>
  <si>
    <t>Dividend Growth</t>
  </si>
  <si>
    <t>Gross Margin</t>
  </si>
  <si>
    <t>EBITDA Growth</t>
  </si>
  <si>
    <t>EBITDA Margin</t>
  </si>
  <si>
    <t>EBIT Margin</t>
  </si>
  <si>
    <t>EBT Margin</t>
  </si>
  <si>
    <t>Net Profit Margin</t>
  </si>
  <si>
    <t>Sales Expenses % Sales</t>
  </si>
  <si>
    <t>Operating 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</si>
  <si>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</si>
  <si>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</si>
  <si>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</si>
  <si>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</si>
  <si>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</si>
  <si>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</si>
  <si>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</si>
  <si>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</si>
  <si>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</si>
  <si>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</si>
  <si>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</si>
  <si>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</si>
  <si>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</si>
  <si>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CFO/Sales</t>
  </si>
  <si>
    <t>CFO/Total Assets</t>
  </si>
  <si>
    <t>CFO/Total Debt</t>
  </si>
  <si>
    <r>
      <t>Cash Conversion Cycle</t>
    </r>
    <r>
      <rPr>
        <sz val="11"/>
        <color theme="0" tint="-0.499984740745262"/>
        <rFont val="Calibri"/>
        <family val="2"/>
        <scheme val="minor"/>
      </rPr>
      <t>(in days</t>
    </r>
    <r>
      <rPr>
        <sz val="11"/>
        <color theme="1"/>
        <rFont val="Calibri"/>
        <family val="2"/>
        <scheme val="minor"/>
      </rPr>
      <t>)</t>
    </r>
  </si>
  <si>
    <t>Year Weight</t>
  </si>
  <si>
    <t>Year</t>
  </si>
  <si>
    <t>EBIDTA Growth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</si>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</sst>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&quot;₹&quot;\ \(#,##0.0\);\-"/>
    <numFmt numFmtId="167" formatCode="0.00&quot;x&quot;"/>
    <numFmt numFmtId="168" formatCode="0;\(0\)"/>
    <numFmt numFmtId="169" formatCode="yyyy&quot;A&quot;"/>
    <numFmt numFmtId="170" formatCode="yyyy&quot;F&quot;"/>
    <numFmt numFmtId="171" formatCode="#,##0.0;\(#,##0.0\)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333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theme="8" tint="-0.24994659260841701"/>
      </top>
      <bottom style="hair">
        <color theme="8" tint="-0.24994659260841701"/>
      </bottom>
      <diagonal/>
    </border>
    <border>
      <left/>
      <right/>
      <top style="hair">
        <color theme="7" tint="-0.499984740745262"/>
      </top>
      <bottom style="hair">
        <color theme="7" tint="-0.499984740745262"/>
      </bottom>
      <diagonal/>
    </border>
    <border>
      <left/>
      <right/>
      <top style="hair">
        <color theme="7" tint="-0.24994659260841701"/>
      </top>
      <bottom/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Border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2" fillId="5" borderId="0" xfId="0" applyFont="1" applyFill="1"/>
    <xf numFmtId="17" fontId="2" fillId="5" borderId="0" xfId="0" applyNumberFormat="1" applyFont="1" applyFill="1"/>
    <xf numFmtId="17" fontId="2" fillId="5" borderId="0" xfId="0" applyNumberFormat="1" applyFont="1" applyFill="1" applyAlignment="1">
      <alignment horizontal="right"/>
    </xf>
    <xf numFmtId="0" fontId="2" fillId="0" borderId="0" xfId="0" applyFont="1" applyFill="1"/>
    <xf numFmtId="17" fontId="2" fillId="0" borderId="0" xfId="0" applyNumberFormat="1" applyFont="1" applyFill="1"/>
    <xf numFmtId="17" fontId="2" fillId="0" borderId="0" xfId="0" applyNumberFormat="1" applyFont="1" applyFill="1" applyAlignment="1">
      <alignment horizontal="right"/>
    </xf>
    <xf numFmtId="166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4" applyNumberFormat="1" applyFont="1"/>
    <xf numFmtId="10" fontId="7" fillId="0" borderId="0" xfId="4" applyNumberFormat="1" applyFont="1" applyAlignment="1">
      <alignment horizontal="right"/>
    </xf>
    <xf numFmtId="0" fontId="0" fillId="4" borderId="0" xfId="0" applyFill="1"/>
    <xf numFmtId="0" fontId="1" fillId="4" borderId="0" xfId="0" applyFont="1" applyFill="1"/>
    <xf numFmtId="0" fontId="1" fillId="0" borderId="1" xfId="0" applyFont="1" applyBorder="1"/>
    <xf numFmtId="166" fontId="1" fillId="0" borderId="1" xfId="0" applyNumberFormat="1" applyFont="1" applyBorder="1"/>
    <xf numFmtId="0" fontId="1" fillId="0" borderId="2" xfId="0" applyFont="1" applyBorder="1"/>
    <xf numFmtId="166" fontId="1" fillId="0" borderId="2" xfId="0" applyNumberFormat="1" applyFont="1" applyBorder="1"/>
    <xf numFmtId="166" fontId="1" fillId="0" borderId="2" xfId="0" applyNumberFormat="1" applyFont="1" applyBorder="1" applyAlignment="1">
      <alignment horizontal="right"/>
    </xf>
    <xf numFmtId="0" fontId="1" fillId="0" borderId="0" xfId="0" applyFont="1"/>
    <xf numFmtId="17" fontId="1" fillId="0" borderId="0" xfId="0" applyNumberFormat="1" applyFont="1"/>
    <xf numFmtId="17" fontId="1" fillId="0" borderId="0" xfId="0" applyNumberFormat="1" applyFont="1" applyAlignment="1">
      <alignment horizontal="right"/>
    </xf>
    <xf numFmtId="167" fontId="0" fillId="0" borderId="0" xfId="0" applyNumberFormat="1"/>
    <xf numFmtId="168" fontId="0" fillId="0" borderId="0" xfId="0" applyNumberFormat="1"/>
    <xf numFmtId="0" fontId="0" fillId="0" borderId="3" xfId="0" applyBorder="1"/>
    <xf numFmtId="10" fontId="0" fillId="0" borderId="3" xfId="4" applyNumberFormat="1" applyFont="1" applyBorder="1"/>
    <xf numFmtId="0" fontId="0" fillId="0" borderId="4" xfId="0" applyBorder="1"/>
    <xf numFmtId="10" fontId="0" fillId="0" borderId="4" xfId="4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9" fontId="0" fillId="0" borderId="0" xfId="0" applyNumberFormat="1"/>
    <xf numFmtId="171" fontId="0" fillId="0" borderId="0" xfId="0" applyNumberFormat="1"/>
    <xf numFmtId="0" fontId="0" fillId="6" borderId="0" xfId="0" applyFill="1"/>
    <xf numFmtId="170" fontId="0" fillId="6" borderId="0" xfId="0" applyNumberFormat="1" applyFill="1"/>
    <xf numFmtId="171" fontId="0" fillId="6" borderId="0" xfId="0" applyNumberFormat="1" applyFill="1"/>
    <xf numFmtId="10" fontId="0" fillId="6" borderId="0" xfId="4" applyNumberFormat="1" applyFont="1" applyFill="1"/>
    <xf numFmtId="0" fontId="9" fillId="0" borderId="0" xfId="0" applyFont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3333FF"/>
      <color rgb="FF0000CC"/>
      <color rgb="FF3333CC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showGridLines="0" tabSelected="1" workbookViewId="0">
      <pane ySplit="3" topLeftCell="A4" activePane="bottomLeft" state="frozen"/>
      <selection pane="bottomLeft" activeCell="C57" sqref="C57"/>
    </sheetView>
  </sheetViews>
  <sheetFormatPr defaultRowHeight="15" x14ac:dyDescent="0.25"/>
  <cols>
    <col min="1" max="1" width="2" bestFit="1" customWidth="1"/>
    <col min="2" max="2" width="27.140625" customWidth="1"/>
    <col min="3" max="3" width="11" bestFit="1" customWidth="1"/>
    <col min="4" max="7" width="10.140625" bestFit="1" customWidth="1"/>
    <col min="8" max="13" width="11.140625" bestFit="1" customWidth="1"/>
  </cols>
  <sheetData>
    <row r="2" spans="1:13" x14ac:dyDescent="0.25">
      <c r="B2" s="45" t="str">
        <f>"Historical Financial Statement - "&amp;'Data Sheet'!B1</f>
        <v>Historical Financial Statement - HINDUSTAN UNILEVER LTD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25">
      <c r="B3" s="8" t="s">
        <v>55</v>
      </c>
      <c r="C3" s="9">
        <f>'Data Sheet'!B16</f>
        <v>42460</v>
      </c>
      <c r="D3" s="9">
        <f>'Data Sheet'!C16</f>
        <v>42825</v>
      </c>
      <c r="E3" s="9">
        <f>'Data Sheet'!D16</f>
        <v>43190</v>
      </c>
      <c r="F3" s="9">
        <f>'Data Sheet'!E16</f>
        <v>43555</v>
      </c>
      <c r="G3" s="9">
        <f>'Data Sheet'!F16</f>
        <v>43921</v>
      </c>
      <c r="H3" s="9">
        <f>'Data Sheet'!G16</f>
        <v>44286</v>
      </c>
      <c r="I3" s="9">
        <f>'Data Sheet'!H16</f>
        <v>44651</v>
      </c>
      <c r="J3" s="9">
        <f>'Data Sheet'!I16</f>
        <v>45016</v>
      </c>
      <c r="K3" s="9">
        <f>'Data Sheet'!J16</f>
        <v>45382</v>
      </c>
      <c r="L3" s="9">
        <f>'Data Sheet'!K16</f>
        <v>45747</v>
      </c>
      <c r="M3" s="10" t="s">
        <v>56</v>
      </c>
    </row>
    <row r="4" spans="1:13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x14ac:dyDescent="0.25">
      <c r="A5" s="20" t="s">
        <v>58</v>
      </c>
      <c r="B5" s="21" t="s">
        <v>57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25">
      <c r="B6" t="s">
        <v>1</v>
      </c>
      <c r="C6" s="14">
        <f>IFERROR('Data Sheet'!B17,0)</f>
        <v>32186</v>
      </c>
      <c r="D6" s="14">
        <f>IFERROR('Data Sheet'!C17,0)</f>
        <v>33162</v>
      </c>
      <c r="E6" s="14">
        <f>IFERROR('Data Sheet'!D17,0)</f>
        <v>35545</v>
      </c>
      <c r="F6" s="14">
        <f>IFERROR('Data Sheet'!E17,0)</f>
        <v>39310</v>
      </c>
      <c r="G6" s="14">
        <f>IFERROR('Data Sheet'!F17,0)</f>
        <v>39783</v>
      </c>
      <c r="H6" s="14">
        <f>IFERROR('Data Sheet'!G17,0)</f>
        <v>47028</v>
      </c>
      <c r="I6" s="14">
        <f>IFERROR('Data Sheet'!H17,0)</f>
        <v>52446</v>
      </c>
      <c r="J6" s="14">
        <f>IFERROR('Data Sheet'!I17,0)</f>
        <v>60580</v>
      </c>
      <c r="K6" s="14">
        <f>IFERROR('Data Sheet'!J17,0)</f>
        <v>61896</v>
      </c>
      <c r="L6" s="14">
        <f>IFERROR('Data Sheet'!K17,0)</f>
        <v>63121</v>
      </c>
      <c r="M6" s="14">
        <f>IFERROR(SUM('Data Sheet'!H42:K42),0)</f>
        <v>63928</v>
      </c>
    </row>
    <row r="7" spans="1:13" x14ac:dyDescent="0.25">
      <c r="B7" s="16" t="s">
        <v>10</v>
      </c>
      <c r="C7" s="17" t="s">
        <v>59</v>
      </c>
      <c r="D7" s="18">
        <f>IFERROR(D6/C6-1,0)</f>
        <v>3.03237432424035E-2</v>
      </c>
      <c r="E7" s="18">
        <f t="shared" ref="E7:M7" si="0">IFERROR(E6/D6-1,0)</f>
        <v>7.1859357095470644E-2</v>
      </c>
      <c r="F7" s="18">
        <f t="shared" si="0"/>
        <v>0.1059220706147137</v>
      </c>
      <c r="G7" s="18">
        <f t="shared" si="0"/>
        <v>1.2032561689137689E-2</v>
      </c>
      <c r="H7" s="18">
        <f t="shared" si="0"/>
        <v>0.18211296282331646</v>
      </c>
      <c r="I7" s="18">
        <f t="shared" si="0"/>
        <v>0.11520796121459553</v>
      </c>
      <c r="J7" s="18">
        <f t="shared" si="0"/>
        <v>0.15509285741524614</v>
      </c>
      <c r="K7" s="18">
        <f t="shared" si="0"/>
        <v>2.1723341036645749E-2</v>
      </c>
      <c r="L7" s="18">
        <f t="shared" si="0"/>
        <v>1.9791262763344974E-2</v>
      </c>
      <c r="M7" s="18">
        <f t="shared" si="0"/>
        <v>1.2784968552462805E-2</v>
      </c>
    </row>
    <row r="9" spans="1:13" x14ac:dyDescent="0.25">
      <c r="B9" t="s">
        <v>60</v>
      </c>
      <c r="C9" s="14">
        <f>IFERROR(SUM('Data Sheet'!B18,'Data Sheet'!B20:B22)-1*'Data Sheet'!B19,0)</f>
        <v>18222</v>
      </c>
      <c r="D9" s="14">
        <f>IFERROR(SUM('Data Sheet'!C18,'Data Sheet'!C20:C22)-1*'Data Sheet'!C19,0)</f>
        <v>18675</v>
      </c>
      <c r="E9" s="14">
        <f>IFERROR(SUM('Data Sheet'!D18,'Data Sheet'!D20:D22)-1*'Data Sheet'!D19,0)</f>
        <v>19314</v>
      </c>
      <c r="F9" s="14">
        <f>IFERROR(SUM('Data Sheet'!E18,'Data Sheet'!E20:E22)-1*'Data Sheet'!E19,0)</f>
        <v>21081</v>
      </c>
      <c r="G9" s="14">
        <f>IFERROR(SUM('Data Sheet'!F18,'Data Sheet'!F20:F22)-1*'Data Sheet'!F19,0)</f>
        <v>20614</v>
      </c>
      <c r="H9" s="14">
        <f>IFERROR(SUM('Data Sheet'!G18,'Data Sheet'!G20:G22)-1*'Data Sheet'!G19,0)</f>
        <v>25301</v>
      </c>
      <c r="I9" s="14">
        <f>IFERROR(SUM('Data Sheet'!H18,'Data Sheet'!H20:H22)-1*'Data Sheet'!H19,0)</f>
        <v>29066</v>
      </c>
      <c r="J9" s="14">
        <f>IFERROR(SUM('Data Sheet'!I18,'Data Sheet'!I20:I22)-1*'Data Sheet'!I19,0)</f>
        <v>35381</v>
      </c>
      <c r="K9" s="14">
        <f>IFERROR(SUM('Data Sheet'!J18,'Data Sheet'!J20:J22)-1*'Data Sheet'!J19,0)</f>
        <v>33651</v>
      </c>
      <c r="L9" s="14">
        <f>IFERROR(SUM('Data Sheet'!K18,'Data Sheet'!K20:K22)-1*'Data Sheet'!K19,0)</f>
        <v>34529</v>
      </c>
      <c r="M9" s="14">
        <f>IFERROR(SUM('Data Sheet'!H43:K43),0)</f>
        <v>49111</v>
      </c>
    </row>
    <row r="10" spans="1:13" x14ac:dyDescent="0.25">
      <c r="B10" s="18" t="s">
        <v>61</v>
      </c>
      <c r="C10" s="18">
        <f>IFERROR(C9/C6,0)</f>
        <v>0.56614677188839868</v>
      </c>
      <c r="D10" s="18">
        <f t="shared" ref="D10:M10" si="1">IFERROR(D9/D6,0)</f>
        <v>0.5631445630540981</v>
      </c>
      <c r="E10" s="18">
        <f t="shared" si="1"/>
        <v>0.54336756224504146</v>
      </c>
      <c r="F10" s="18">
        <f t="shared" si="1"/>
        <v>0.53627575680488426</v>
      </c>
      <c r="G10" s="18">
        <f t="shared" si="1"/>
        <v>0.51816102355277383</v>
      </c>
      <c r="H10" s="18">
        <f t="shared" si="1"/>
        <v>0.53799863910861612</v>
      </c>
      <c r="I10" s="18">
        <f t="shared" si="1"/>
        <v>0.55420813789421497</v>
      </c>
      <c r="J10" s="18">
        <f t="shared" si="1"/>
        <v>0.58403763618355897</v>
      </c>
      <c r="K10" s="18">
        <f t="shared" si="1"/>
        <v>0.54367002714230317</v>
      </c>
      <c r="L10" s="18">
        <f t="shared" si="1"/>
        <v>0.54702872261212587</v>
      </c>
      <c r="M10" s="18">
        <f t="shared" si="1"/>
        <v>0.7682236265799024</v>
      </c>
    </row>
    <row r="12" spans="1:13" x14ac:dyDescent="0.25">
      <c r="B12" s="24" t="s">
        <v>62</v>
      </c>
      <c r="C12" s="25">
        <f>IFERROR(C6-C9,0)</f>
        <v>13964</v>
      </c>
      <c r="D12" s="25">
        <f t="shared" ref="D12:M12" si="2">IFERROR(D6-D9,0)</f>
        <v>14487</v>
      </c>
      <c r="E12" s="25">
        <f t="shared" si="2"/>
        <v>16231</v>
      </c>
      <c r="F12" s="25">
        <f t="shared" si="2"/>
        <v>18229</v>
      </c>
      <c r="G12" s="25">
        <f t="shared" si="2"/>
        <v>19169</v>
      </c>
      <c r="H12" s="25">
        <f t="shared" si="2"/>
        <v>21727</v>
      </c>
      <c r="I12" s="25">
        <f t="shared" si="2"/>
        <v>23380</v>
      </c>
      <c r="J12" s="25">
        <f t="shared" si="2"/>
        <v>25199</v>
      </c>
      <c r="K12" s="25">
        <f t="shared" si="2"/>
        <v>28245</v>
      </c>
      <c r="L12" s="25">
        <f t="shared" si="2"/>
        <v>28592</v>
      </c>
      <c r="M12" s="25">
        <f t="shared" si="2"/>
        <v>14817</v>
      </c>
    </row>
    <row r="13" spans="1:13" x14ac:dyDescent="0.25">
      <c r="B13" s="18" t="s">
        <v>63</v>
      </c>
      <c r="C13" s="18">
        <f>IFERROR(C12/C6,0)</f>
        <v>0.43385322811160132</v>
      </c>
      <c r="D13" s="18">
        <f t="shared" ref="D13:M13" si="3">IFERROR(D12/D6,0)</f>
        <v>0.43685543694590195</v>
      </c>
      <c r="E13" s="18">
        <f t="shared" si="3"/>
        <v>0.45663243775495849</v>
      </c>
      <c r="F13" s="18">
        <f t="shared" si="3"/>
        <v>0.46372424319511574</v>
      </c>
      <c r="G13" s="18">
        <f t="shared" si="3"/>
        <v>0.48183897644722617</v>
      </c>
      <c r="H13" s="18">
        <f t="shared" si="3"/>
        <v>0.46200136089138388</v>
      </c>
      <c r="I13" s="18">
        <f t="shared" si="3"/>
        <v>0.44579186210578498</v>
      </c>
      <c r="J13" s="18">
        <f t="shared" si="3"/>
        <v>0.41596236381644108</v>
      </c>
      <c r="K13" s="18">
        <f t="shared" si="3"/>
        <v>0.45632997285769678</v>
      </c>
      <c r="L13" s="18">
        <f t="shared" si="3"/>
        <v>0.45297127738787407</v>
      </c>
      <c r="M13" s="18">
        <f t="shared" si="3"/>
        <v>0.2317763734200976</v>
      </c>
    </row>
    <row r="15" spans="1:13" x14ac:dyDescent="0.25">
      <c r="B15" t="s">
        <v>64</v>
      </c>
      <c r="C15" s="14">
        <f>IFERROR(SUM('Data Sheet'!B23:B24),0)</f>
        <v>8054</v>
      </c>
      <c r="D15" s="14">
        <f>IFERROR(SUM('Data Sheet'!C23:C24),0)</f>
        <v>8159</v>
      </c>
      <c r="E15" s="14">
        <f>IFERROR(SUM('Data Sheet'!D23:D24),0)</f>
        <v>8732</v>
      </c>
      <c r="F15" s="14">
        <f>IFERROR(SUM('Data Sheet'!E23:E24),0)</f>
        <v>9349</v>
      </c>
      <c r="G15" s="14">
        <f>IFERROR(SUM('Data Sheet'!F23:F24),0)</f>
        <v>9308</v>
      </c>
      <c r="H15" s="14">
        <f>IFERROR(SUM('Data Sheet'!G23:G24),0)</f>
        <v>10101</v>
      </c>
      <c r="I15" s="14">
        <f>IFERROR(SUM('Data Sheet'!H23:H24),0)</f>
        <v>10523</v>
      </c>
      <c r="J15" s="14">
        <f>IFERROR(SUM('Data Sheet'!I23:I24),0)</f>
        <v>11052</v>
      </c>
      <c r="K15" s="14">
        <f>IFERROR(SUM('Data Sheet'!J23:J24),0)</f>
        <v>13586</v>
      </c>
      <c r="L15" s="14">
        <f>IFERROR(SUM('Data Sheet'!K23:K24),0)</f>
        <v>13749</v>
      </c>
      <c r="M15" s="14"/>
    </row>
    <row r="16" spans="1:13" x14ac:dyDescent="0.25">
      <c r="B16" s="18" t="s">
        <v>65</v>
      </c>
      <c r="C16" s="18">
        <f>IFERROR(C15/C6,0)</f>
        <v>0.25023302056794877</v>
      </c>
      <c r="D16" s="18">
        <f t="shared" ref="D16:M16" si="4">IFERROR(D15/D6,0)</f>
        <v>0.24603461793619202</v>
      </c>
      <c r="E16" s="18">
        <f t="shared" si="4"/>
        <v>0.24566043044028696</v>
      </c>
      <c r="F16" s="18">
        <f t="shared" si="4"/>
        <v>0.23782752480284916</v>
      </c>
      <c r="G16" s="18">
        <f t="shared" si="4"/>
        <v>0.23396928336224015</v>
      </c>
      <c r="H16" s="18">
        <f t="shared" si="4"/>
        <v>0.21478693544271499</v>
      </c>
      <c r="I16" s="18">
        <f t="shared" si="4"/>
        <v>0.20064447240971667</v>
      </c>
      <c r="J16" s="18">
        <f t="shared" si="4"/>
        <v>0.18243644767249917</v>
      </c>
      <c r="K16" s="18">
        <f t="shared" si="4"/>
        <v>0.21949722114514669</v>
      </c>
      <c r="L16" s="18">
        <f t="shared" si="4"/>
        <v>0.21781974303322191</v>
      </c>
      <c r="M16" s="18">
        <f t="shared" si="4"/>
        <v>0</v>
      </c>
    </row>
    <row r="18" spans="2:13" x14ac:dyDescent="0.25">
      <c r="B18" s="24" t="s">
        <v>66</v>
      </c>
      <c r="C18" s="25">
        <f>IFERROR(C12-C15,0)</f>
        <v>5910</v>
      </c>
      <c r="D18" s="25">
        <f t="shared" ref="D18:L18" si="5">IFERROR(D12-D15,0)</f>
        <v>6328</v>
      </c>
      <c r="E18" s="25">
        <f t="shared" si="5"/>
        <v>7499</v>
      </c>
      <c r="F18" s="25">
        <f t="shared" si="5"/>
        <v>8880</v>
      </c>
      <c r="G18" s="25">
        <f t="shared" si="5"/>
        <v>9861</v>
      </c>
      <c r="H18" s="25">
        <f t="shared" si="5"/>
        <v>11626</v>
      </c>
      <c r="I18" s="25">
        <f t="shared" si="5"/>
        <v>12857</v>
      </c>
      <c r="J18" s="25">
        <f t="shared" si="5"/>
        <v>14147</v>
      </c>
      <c r="K18" s="25">
        <f t="shared" si="5"/>
        <v>14659</v>
      </c>
      <c r="L18" s="25">
        <f t="shared" si="5"/>
        <v>14843</v>
      </c>
      <c r="M18" s="26">
        <f>IFERROR(SUM('Data Sheet'!H45:K47),0)</f>
        <v>16005</v>
      </c>
    </row>
    <row r="19" spans="2:13" x14ac:dyDescent="0.25">
      <c r="B19" s="18" t="s">
        <v>67</v>
      </c>
      <c r="C19" s="18">
        <f>IFERROR(C18/C6,0)</f>
        <v>0.18362020754365252</v>
      </c>
      <c r="D19" s="18">
        <f t="shared" ref="D19:M19" si="6">IFERROR(D18/D6,0)</f>
        <v>0.1908208190097099</v>
      </c>
      <c r="E19" s="18">
        <f t="shared" si="6"/>
        <v>0.21097200731467156</v>
      </c>
      <c r="F19" s="18">
        <f t="shared" si="6"/>
        <v>0.2258967183922666</v>
      </c>
      <c r="G19" s="18">
        <f t="shared" si="6"/>
        <v>0.24786969308498605</v>
      </c>
      <c r="H19" s="18">
        <f t="shared" si="6"/>
        <v>0.24721442544866887</v>
      </c>
      <c r="I19" s="18">
        <f t="shared" si="6"/>
        <v>0.24514738969606834</v>
      </c>
      <c r="J19" s="18">
        <f t="shared" si="6"/>
        <v>0.23352591614394189</v>
      </c>
      <c r="K19" s="18">
        <f t="shared" si="6"/>
        <v>0.23683275171255008</v>
      </c>
      <c r="L19" s="18">
        <f t="shared" si="6"/>
        <v>0.23515153435465216</v>
      </c>
      <c r="M19" s="18">
        <f t="shared" si="6"/>
        <v>0.25035977975222123</v>
      </c>
    </row>
    <row r="21" spans="2:13" x14ac:dyDescent="0.25">
      <c r="B21" t="s">
        <v>6</v>
      </c>
      <c r="C21" s="14">
        <f>IFERROR('Data Sheet'!B27,0)</f>
        <v>17</v>
      </c>
      <c r="D21" s="14">
        <f>IFERROR('Data Sheet'!C27,0)</f>
        <v>35</v>
      </c>
      <c r="E21" s="14">
        <f>IFERROR('Data Sheet'!D27,0)</f>
        <v>26</v>
      </c>
      <c r="F21" s="14">
        <f>IFERROR('Data Sheet'!E27,0)</f>
        <v>33</v>
      </c>
      <c r="G21" s="14">
        <f>IFERROR('Data Sheet'!F27,0)</f>
        <v>118</v>
      </c>
      <c r="H21" s="14">
        <f>IFERROR('Data Sheet'!G27,0)</f>
        <v>117</v>
      </c>
      <c r="I21" s="14">
        <f>IFERROR('Data Sheet'!H27,0)</f>
        <v>106</v>
      </c>
      <c r="J21" s="14">
        <f>IFERROR('Data Sheet'!I27,0)</f>
        <v>114</v>
      </c>
      <c r="K21" s="14">
        <f>IFERROR('Data Sheet'!J27,0)</f>
        <v>334</v>
      </c>
      <c r="L21" s="14">
        <f>IFERROR('Data Sheet'!K27,0)</f>
        <v>395</v>
      </c>
      <c r="M21" s="14">
        <f>IFERROR(SUM('Data Sheet'!H46:K46),0)</f>
        <v>429</v>
      </c>
    </row>
    <row r="22" spans="2:13" x14ac:dyDescent="0.25">
      <c r="B22" s="18" t="s">
        <v>68</v>
      </c>
      <c r="C22" s="18">
        <f>IFERROR(C21/C6,0)</f>
        <v>5.2817995401727462E-4</v>
      </c>
      <c r="D22" s="18">
        <f t="shared" ref="D22:M22" si="7">IFERROR(D21/D6,0)</f>
        <v>1.0554248839032628E-3</v>
      </c>
      <c r="E22" s="18">
        <f t="shared" si="7"/>
        <v>7.3146715431143621E-4</v>
      </c>
      <c r="F22" s="18">
        <f t="shared" si="7"/>
        <v>8.3948104807936915E-4</v>
      </c>
      <c r="G22" s="18">
        <f t="shared" si="7"/>
        <v>2.9660910439132291E-3</v>
      </c>
      <c r="H22" s="18">
        <f t="shared" si="7"/>
        <v>2.4878795611125285E-3</v>
      </c>
      <c r="I22" s="18">
        <f t="shared" si="7"/>
        <v>2.0211264920108303E-3</v>
      </c>
      <c r="J22" s="18">
        <f t="shared" si="7"/>
        <v>1.881809177946517E-3</v>
      </c>
      <c r="K22" s="18">
        <f t="shared" si="7"/>
        <v>5.3961483779242604E-3</v>
      </c>
      <c r="L22" s="18">
        <f t="shared" si="7"/>
        <v>6.2578222778473091E-3</v>
      </c>
      <c r="M22" s="18">
        <f t="shared" si="7"/>
        <v>6.710674508822425E-3</v>
      </c>
    </row>
    <row r="24" spans="2:13" x14ac:dyDescent="0.25">
      <c r="B24" t="s">
        <v>5</v>
      </c>
      <c r="C24" s="14">
        <f>IFERROR('Data Sheet'!B26,0)</f>
        <v>353</v>
      </c>
      <c r="D24" s="14">
        <f>IFERROR('Data Sheet'!C26,0)</f>
        <v>432</v>
      </c>
      <c r="E24" s="14">
        <f>IFERROR('Data Sheet'!D26,0)</f>
        <v>520</v>
      </c>
      <c r="F24" s="14">
        <f>IFERROR('Data Sheet'!E26,0)</f>
        <v>565</v>
      </c>
      <c r="G24" s="14">
        <f>IFERROR('Data Sheet'!F26,0)</f>
        <v>1002</v>
      </c>
      <c r="H24" s="14">
        <f>IFERROR('Data Sheet'!G26,0)</f>
        <v>1074</v>
      </c>
      <c r="I24" s="14">
        <f>IFERROR('Data Sheet'!H26,0)</f>
        <v>1091</v>
      </c>
      <c r="J24" s="14">
        <f>IFERROR('Data Sheet'!I26,0)</f>
        <v>1137</v>
      </c>
      <c r="K24" s="14">
        <f>IFERROR('Data Sheet'!J26,0)</f>
        <v>1216</v>
      </c>
      <c r="L24" s="14">
        <f>IFERROR('Data Sheet'!K26,0)</f>
        <v>1355</v>
      </c>
      <c r="M24" s="14">
        <f>IFERROR(SUM('Data Sheet'!H45:K45),0)</f>
        <v>1387</v>
      </c>
    </row>
    <row r="25" spans="2:13" x14ac:dyDescent="0.25">
      <c r="B25" s="18" t="s">
        <v>69</v>
      </c>
      <c r="C25" s="18">
        <f>IFERROR(C24/C6,0)</f>
        <v>1.0967501398123409E-2</v>
      </c>
      <c r="D25" s="18">
        <f t="shared" ref="D25:M25" si="8">IFERROR(D24/D6,0)</f>
        <v>1.3026958567034558E-2</v>
      </c>
      <c r="E25" s="18">
        <f t="shared" si="8"/>
        <v>1.4629343086228723E-2</v>
      </c>
      <c r="F25" s="18">
        <f t="shared" si="8"/>
        <v>1.437293309590435E-2</v>
      </c>
      <c r="G25" s="18">
        <f t="shared" si="8"/>
        <v>2.5186637508483524E-2</v>
      </c>
      <c r="H25" s="18">
        <f t="shared" si="8"/>
        <v>2.2837458535340648E-2</v>
      </c>
      <c r="I25" s="18">
        <f t="shared" si="8"/>
        <v>2.0802349082866187E-2</v>
      </c>
      <c r="J25" s="18">
        <f t="shared" si="8"/>
        <v>1.8768570485308684E-2</v>
      </c>
      <c r="K25" s="18">
        <f t="shared" si="8"/>
        <v>1.9645857567532635E-2</v>
      </c>
      <c r="L25" s="18">
        <f t="shared" si="8"/>
        <v>2.1466706801223048E-2</v>
      </c>
      <c r="M25" s="18">
        <f t="shared" si="8"/>
        <v>2.1696283318733574E-2</v>
      </c>
    </row>
    <row r="27" spans="2:13" x14ac:dyDescent="0.25">
      <c r="B27" s="24" t="s">
        <v>70</v>
      </c>
      <c r="C27" s="25">
        <f>IFERROR(C18-SUM(C21,C24),0)</f>
        <v>5540</v>
      </c>
      <c r="D27" s="25">
        <f t="shared" ref="D27:M27" si="9">IFERROR(D18-SUM(D21,D24),0)</f>
        <v>5861</v>
      </c>
      <c r="E27" s="25">
        <f t="shared" si="9"/>
        <v>6953</v>
      </c>
      <c r="F27" s="25">
        <f t="shared" si="9"/>
        <v>8282</v>
      </c>
      <c r="G27" s="25">
        <f t="shared" si="9"/>
        <v>8741</v>
      </c>
      <c r="H27" s="25">
        <f t="shared" si="9"/>
        <v>10435</v>
      </c>
      <c r="I27" s="25">
        <f t="shared" si="9"/>
        <v>11660</v>
      </c>
      <c r="J27" s="25">
        <f t="shared" si="9"/>
        <v>12896</v>
      </c>
      <c r="K27" s="25">
        <f t="shared" si="9"/>
        <v>13109</v>
      </c>
      <c r="L27" s="25">
        <f t="shared" si="9"/>
        <v>13093</v>
      </c>
      <c r="M27" s="25">
        <f t="shared" si="9"/>
        <v>14189</v>
      </c>
    </row>
    <row r="28" spans="2:13" x14ac:dyDescent="0.25">
      <c r="B28" s="18" t="s">
        <v>71</v>
      </c>
      <c r="C28" s="18">
        <f>IFERROR(C27/C6,0)</f>
        <v>0.17212452619151183</v>
      </c>
      <c r="D28" s="18">
        <f t="shared" ref="D28:M28" si="10">IFERROR(D27/D6,0)</f>
        <v>0.17673843555877208</v>
      </c>
      <c r="E28" s="18">
        <f t="shared" si="10"/>
        <v>0.19561119707413138</v>
      </c>
      <c r="F28" s="18">
        <f t="shared" si="10"/>
        <v>0.21068430424828288</v>
      </c>
      <c r="G28" s="18">
        <f t="shared" si="10"/>
        <v>0.21971696453258929</v>
      </c>
      <c r="H28" s="18">
        <f t="shared" si="10"/>
        <v>0.22188908735221571</v>
      </c>
      <c r="I28" s="18">
        <f t="shared" si="10"/>
        <v>0.22232391412119132</v>
      </c>
      <c r="J28" s="18">
        <f t="shared" si="10"/>
        <v>0.21287553648068669</v>
      </c>
      <c r="K28" s="18">
        <f t="shared" si="10"/>
        <v>0.2117907457670932</v>
      </c>
      <c r="L28" s="18">
        <f t="shared" si="10"/>
        <v>0.20742700527558183</v>
      </c>
      <c r="M28" s="18">
        <f t="shared" si="10"/>
        <v>0.22195282192466526</v>
      </c>
    </row>
    <row r="30" spans="2:13" x14ac:dyDescent="0.25">
      <c r="B30" t="s">
        <v>8</v>
      </c>
      <c r="C30" s="14">
        <f>IFERROR('Data Sheet'!B29,0)</f>
        <v>1875</v>
      </c>
      <c r="D30" s="14">
        <f>IFERROR('Data Sheet'!C29,0)</f>
        <v>1977</v>
      </c>
      <c r="E30" s="14">
        <f>IFERROR('Data Sheet'!D29,0)</f>
        <v>2079</v>
      </c>
      <c r="F30" s="14">
        <f>IFERROR('Data Sheet'!E29,0)</f>
        <v>2544</v>
      </c>
      <c r="G30" s="14">
        <f>IFERROR('Data Sheet'!F29,0)</f>
        <v>2409</v>
      </c>
      <c r="H30" s="14">
        <f>IFERROR('Data Sheet'!G29,0)</f>
        <v>2606</v>
      </c>
      <c r="I30" s="14">
        <f>IFERROR('Data Sheet'!H29,0)</f>
        <v>2987</v>
      </c>
      <c r="J30" s="14">
        <f>IFERROR('Data Sheet'!I29,0)</f>
        <v>3201</v>
      </c>
      <c r="K30" s="14">
        <f>IFERROR('Data Sheet'!J29,0)</f>
        <v>3644</v>
      </c>
      <c r="L30" s="14">
        <f>IFERROR('Data Sheet'!K29,0)</f>
        <v>3744</v>
      </c>
      <c r="M30" s="14">
        <f>IFERROR(SUM('Data Sheet'!H48:K48),0)</f>
        <v>3362</v>
      </c>
    </row>
    <row r="31" spans="2:13" x14ac:dyDescent="0.25">
      <c r="B31" s="18" t="s">
        <v>72</v>
      </c>
      <c r="C31" s="18">
        <f>IFERROR(C30/C27,0)</f>
        <v>0.33844765342960287</v>
      </c>
      <c r="D31" s="18">
        <f t="shared" ref="D31:M31" si="11">IFERROR(D30/D27,0)</f>
        <v>0.33731445145879541</v>
      </c>
      <c r="E31" s="18">
        <f t="shared" si="11"/>
        <v>0.29900762260894576</v>
      </c>
      <c r="F31" s="18">
        <f t="shared" si="11"/>
        <v>0.30717218063269741</v>
      </c>
      <c r="G31" s="18">
        <f t="shared" si="11"/>
        <v>0.27559775769362771</v>
      </c>
      <c r="H31" s="18">
        <f t="shared" si="11"/>
        <v>0.24973646382367035</v>
      </c>
      <c r="I31" s="18">
        <f t="shared" si="11"/>
        <v>0.25617495711835336</v>
      </c>
      <c r="J31" s="18">
        <f t="shared" si="11"/>
        <v>0.24821650124069478</v>
      </c>
      <c r="K31" s="18">
        <f t="shared" si="11"/>
        <v>0.27797696239224962</v>
      </c>
      <c r="L31" s="18">
        <f t="shared" si="11"/>
        <v>0.28595432673947913</v>
      </c>
      <c r="M31" s="18">
        <f t="shared" si="11"/>
        <v>0.2369441116357742</v>
      </c>
    </row>
    <row r="33" spans="1:13" x14ac:dyDescent="0.25">
      <c r="B33" s="24" t="s">
        <v>73</v>
      </c>
      <c r="C33" s="25">
        <f>IFERROR(C27-C30,0)</f>
        <v>3665</v>
      </c>
      <c r="D33" s="25">
        <f t="shared" ref="D33:M33" si="12">IFERROR(D27-D30,0)</f>
        <v>3884</v>
      </c>
      <c r="E33" s="25">
        <f t="shared" si="12"/>
        <v>4874</v>
      </c>
      <c r="F33" s="25">
        <f t="shared" si="12"/>
        <v>5738</v>
      </c>
      <c r="G33" s="25">
        <f t="shared" si="12"/>
        <v>6332</v>
      </c>
      <c r="H33" s="25">
        <f t="shared" si="12"/>
        <v>7829</v>
      </c>
      <c r="I33" s="25">
        <f t="shared" si="12"/>
        <v>8673</v>
      </c>
      <c r="J33" s="25">
        <f t="shared" si="12"/>
        <v>9695</v>
      </c>
      <c r="K33" s="25">
        <f t="shared" si="12"/>
        <v>9465</v>
      </c>
      <c r="L33" s="25">
        <f t="shared" si="12"/>
        <v>9349</v>
      </c>
      <c r="M33" s="25">
        <f t="shared" si="12"/>
        <v>10827</v>
      </c>
    </row>
    <row r="34" spans="1:13" x14ac:dyDescent="0.25">
      <c r="B34" s="18" t="s">
        <v>74</v>
      </c>
      <c r="C34" s="18">
        <f>IFERROR(C33/C6,0)</f>
        <v>0.11386938420431243</v>
      </c>
      <c r="D34" s="18">
        <f t="shared" ref="D34:M34" si="13">IFERROR(D33/D6,0)</f>
        <v>0.11712200711657922</v>
      </c>
      <c r="E34" s="18">
        <f t="shared" si="13"/>
        <v>0.1371219580813054</v>
      </c>
      <c r="F34" s="18">
        <f t="shared" si="13"/>
        <v>0.14596794708725516</v>
      </c>
      <c r="G34" s="18">
        <f t="shared" si="13"/>
        <v>0.15916346178015736</v>
      </c>
      <c r="H34" s="18">
        <f t="shared" si="13"/>
        <v>0.16647529131581185</v>
      </c>
      <c r="I34" s="18">
        <f t="shared" si="13"/>
        <v>0.16537009495481067</v>
      </c>
      <c r="J34" s="18">
        <f t="shared" si="13"/>
        <v>0.16003631561571477</v>
      </c>
      <c r="K34" s="18">
        <f t="shared" si="13"/>
        <v>0.15291779759596744</v>
      </c>
      <c r="L34" s="18">
        <f t="shared" si="13"/>
        <v>0.14811235563441644</v>
      </c>
      <c r="M34" s="18">
        <f t="shared" si="13"/>
        <v>0.16936240770867225</v>
      </c>
    </row>
    <row r="36" spans="1:13" x14ac:dyDescent="0.25">
      <c r="B36" t="s">
        <v>39</v>
      </c>
      <c r="C36">
        <f>IFERROR('Data Sheet'!B93,0)</f>
        <v>216.39</v>
      </c>
      <c r="D36">
        <f>IFERROR('Data Sheet'!C93,0)</f>
        <v>216.43</v>
      </c>
      <c r="E36">
        <f>IFERROR('Data Sheet'!D93,0)</f>
        <v>216.45</v>
      </c>
      <c r="F36">
        <f>IFERROR('Data Sheet'!E93,0)</f>
        <v>216.47</v>
      </c>
      <c r="G36">
        <f>IFERROR('Data Sheet'!F93,0)</f>
        <v>216.48</v>
      </c>
      <c r="H36">
        <f>IFERROR('Data Sheet'!G93,0)</f>
        <v>234.96</v>
      </c>
      <c r="I36">
        <f>IFERROR('Data Sheet'!H93,0)</f>
        <v>234.96</v>
      </c>
      <c r="J36">
        <f>IFERROR('Data Sheet'!I93,0)</f>
        <v>234.96</v>
      </c>
      <c r="K36">
        <f>IFERROR('Data Sheet'!J93,0)</f>
        <v>234.96</v>
      </c>
      <c r="L36">
        <f>IFERROR('Data Sheet'!K93,0)</f>
        <v>234.96</v>
      </c>
      <c r="M36">
        <f>IFERROR('Data Sheet'!L93,0)</f>
        <v>0</v>
      </c>
    </row>
    <row r="38" spans="1:13" x14ac:dyDescent="0.25">
      <c r="B38" t="s">
        <v>75</v>
      </c>
      <c r="C38" s="14">
        <f>IFERROR(C33/C36,0)</f>
        <v>16.937011876704101</v>
      </c>
      <c r="D38" s="14">
        <f t="shared" ref="D38:M38" si="14">IFERROR(D33/D36,0)</f>
        <v>17.945756133622879</v>
      </c>
      <c r="E38" s="14">
        <f t="shared" si="14"/>
        <v>22.51790251790252</v>
      </c>
      <c r="F38" s="14">
        <f t="shared" si="14"/>
        <v>26.507137247655564</v>
      </c>
      <c r="G38" s="14">
        <f t="shared" si="14"/>
        <v>29.249815225424982</v>
      </c>
      <c r="H38" s="14">
        <f t="shared" si="14"/>
        <v>33.320565202587673</v>
      </c>
      <c r="I38" s="14">
        <f t="shared" si="14"/>
        <v>36.912665985699689</v>
      </c>
      <c r="J38" s="14">
        <f t="shared" si="14"/>
        <v>41.262342526387471</v>
      </c>
      <c r="K38" s="14">
        <f t="shared" si="14"/>
        <v>40.283452502553622</v>
      </c>
      <c r="L38" s="14">
        <f t="shared" si="14"/>
        <v>39.789751447054819</v>
      </c>
      <c r="M38" s="14">
        <f t="shared" si="14"/>
        <v>0</v>
      </c>
    </row>
    <row r="39" spans="1:13" x14ac:dyDescent="0.25">
      <c r="B39" s="18" t="s">
        <v>76</v>
      </c>
      <c r="C39" s="19" t="s">
        <v>59</v>
      </c>
      <c r="D39" s="18">
        <f>IFERROR(D38/C38-1,0)</f>
        <v>5.9558572920778818E-2</v>
      </c>
      <c r="E39" s="18">
        <f t="shared" ref="E39:L39" si="15">IFERROR(E38/D38-1,0)</f>
        <v>0.25477591193348159</v>
      </c>
      <c r="F39" s="18">
        <f t="shared" si="15"/>
        <v>0.17715836217789205</v>
      </c>
      <c r="G39" s="18">
        <f t="shared" si="15"/>
        <v>0.10346941475213423</v>
      </c>
      <c r="H39" s="18">
        <f t="shared" si="15"/>
        <v>0.1391718185496178</v>
      </c>
      <c r="I39" s="18">
        <f t="shared" si="15"/>
        <v>0.10780431728190054</v>
      </c>
      <c r="J39" s="18">
        <f t="shared" si="15"/>
        <v>0.11783696529459253</v>
      </c>
      <c r="K39" s="18">
        <f t="shared" si="15"/>
        <v>-2.3723568849922771E-2</v>
      </c>
      <c r="L39" s="18">
        <f t="shared" si="15"/>
        <v>-1.2255678816692983E-2</v>
      </c>
      <c r="M39" s="19" t="s">
        <v>59</v>
      </c>
    </row>
    <row r="41" spans="1:13" x14ac:dyDescent="0.25">
      <c r="B41" t="s">
        <v>77</v>
      </c>
      <c r="C41" s="14">
        <f>IFERROR('Data Sheet'!B31/HistoricalFS!C36,0)</f>
        <v>15.971163177596008</v>
      </c>
      <c r="D41" s="14">
        <f>IFERROR('Data Sheet'!C31/HistoricalFS!D36,0)</f>
        <v>16.966224645381878</v>
      </c>
      <c r="E41" s="14">
        <f>IFERROR('Data Sheet'!D31/HistoricalFS!E36,0)</f>
        <v>19.95841995841996</v>
      </c>
      <c r="F41" s="14">
        <f>IFERROR('Data Sheet'!E31/HistoricalFS!F36,0)</f>
        <v>21.95223356585208</v>
      </c>
      <c r="G41" s="14">
        <f>IFERROR('Data Sheet'!F31/HistoricalFS!G36,0)</f>
        <v>24.944567627494457</v>
      </c>
      <c r="H41" s="14">
        <f>IFERROR('Data Sheet'!G31/HistoricalFS!H36,0)</f>
        <v>40.506894790602651</v>
      </c>
      <c r="I41" s="14">
        <f>IFERROR('Data Sheet'!H31/HistoricalFS!I36,0)</f>
        <v>34.005788219271366</v>
      </c>
      <c r="J41" s="14">
        <f>IFERROR('Data Sheet'!I31/HistoricalFS!J36,0)</f>
        <v>39.006639427987743</v>
      </c>
      <c r="K41" s="14">
        <f>IFERROR('Data Sheet'!J31/HistoricalFS!K36,0)</f>
        <v>42.007150153217566</v>
      </c>
      <c r="L41" s="14">
        <f>IFERROR('Data Sheet'!K31/HistoricalFS!L36,0)</f>
        <v>53.009022812393596</v>
      </c>
      <c r="M41" s="14">
        <f>IFERROR('Data Sheet'!L31/HistoricalFS!M36,0)</f>
        <v>0</v>
      </c>
    </row>
    <row r="42" spans="1:13" x14ac:dyDescent="0.25">
      <c r="B42" s="18" t="s">
        <v>78</v>
      </c>
      <c r="C42" s="18">
        <f>IFERROR(C41/C38,0)</f>
        <v>0.94297407912687581</v>
      </c>
      <c r="D42" s="18">
        <f t="shared" ref="D42:M42" si="16">IFERROR(D41/D38,0)</f>
        <v>0.94541709577754895</v>
      </c>
      <c r="E42" s="18">
        <f t="shared" si="16"/>
        <v>0.88633565859663521</v>
      </c>
      <c r="F42" s="18">
        <f t="shared" si="16"/>
        <v>0.82816312303938655</v>
      </c>
      <c r="G42" s="18">
        <f t="shared" si="16"/>
        <v>0.85281111813013266</v>
      </c>
      <c r="H42" s="18">
        <f t="shared" si="16"/>
        <v>1.2156724996806743</v>
      </c>
      <c r="I42" s="18">
        <f t="shared" si="16"/>
        <v>0.92124985587455333</v>
      </c>
      <c r="J42" s="18">
        <f t="shared" si="16"/>
        <v>0.94533264569365649</v>
      </c>
      <c r="K42" s="18">
        <f t="shared" si="16"/>
        <v>1.0427892234548337</v>
      </c>
      <c r="L42" s="18">
        <f t="shared" si="16"/>
        <v>1.3322280457802973</v>
      </c>
      <c r="M42" s="18">
        <f t="shared" si="16"/>
        <v>0</v>
      </c>
    </row>
    <row r="44" spans="1:13" x14ac:dyDescent="0.25">
      <c r="B44" t="s">
        <v>79</v>
      </c>
      <c r="C44" s="15">
        <f>IFERROR(IF(C38&gt;C41,1-C42,0),0)</f>
        <v>5.7025920873124192E-2</v>
      </c>
      <c r="D44" s="15">
        <f t="shared" ref="D44:M44" si="17">IFERROR(IF(D38&gt;D41,1-D42,0),0)</f>
        <v>5.4582904222451045E-2</v>
      </c>
      <c r="E44" s="15">
        <f t="shared" si="17"/>
        <v>0.11366434140336479</v>
      </c>
      <c r="F44" s="15">
        <f t="shared" si="17"/>
        <v>0.17183687696061345</v>
      </c>
      <c r="G44" s="15">
        <f t="shared" si="17"/>
        <v>0.14718888186986734</v>
      </c>
      <c r="H44" s="15">
        <f t="shared" si="17"/>
        <v>0</v>
      </c>
      <c r="I44" s="15">
        <f t="shared" si="17"/>
        <v>7.8750144125446675E-2</v>
      </c>
      <c r="J44" s="15">
        <f t="shared" si="17"/>
        <v>5.4667354306343507E-2</v>
      </c>
      <c r="K44" s="15">
        <f t="shared" si="17"/>
        <v>0</v>
      </c>
      <c r="L44" s="15">
        <f t="shared" si="17"/>
        <v>0</v>
      </c>
      <c r="M44" s="15">
        <f t="shared" si="17"/>
        <v>0</v>
      </c>
    </row>
    <row r="46" spans="1:13" x14ac:dyDescent="0.25">
      <c r="A46" s="20" t="s">
        <v>58</v>
      </c>
      <c r="B46" s="21" t="s">
        <v>80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25">
      <c r="B47" t="str">
        <f>IFERROR('Data Sheet'!A57,0)</f>
        <v>Equity Share Capital</v>
      </c>
      <c r="C47" s="14">
        <f>IFERROR('Data Sheet'!B57,0)</f>
        <v>216</v>
      </c>
      <c r="D47" s="14">
        <f>IFERROR('Data Sheet'!C57,0)</f>
        <v>216</v>
      </c>
      <c r="E47" s="14">
        <f>IFERROR('Data Sheet'!D57,0)</f>
        <v>216</v>
      </c>
      <c r="F47" s="14">
        <f>IFERROR('Data Sheet'!E57,0)</f>
        <v>216</v>
      </c>
      <c r="G47" s="14">
        <f>IFERROR('Data Sheet'!F57,0)</f>
        <v>216</v>
      </c>
      <c r="H47" s="14">
        <f>IFERROR('Data Sheet'!G57,0)</f>
        <v>235</v>
      </c>
      <c r="I47" s="14">
        <f>IFERROR('Data Sheet'!H57,0)</f>
        <v>235</v>
      </c>
      <c r="J47" s="14">
        <f>IFERROR('Data Sheet'!I57,0)</f>
        <v>235</v>
      </c>
      <c r="K47" s="14">
        <f>IFERROR('Data Sheet'!J57,0)</f>
        <v>235</v>
      </c>
      <c r="L47" s="14">
        <f>IFERROR('Data Sheet'!K57,0)</f>
        <v>235</v>
      </c>
    </row>
    <row r="48" spans="1:13" x14ac:dyDescent="0.25">
      <c r="B48" t="str">
        <f>IFERROR('Data Sheet'!A58,0)</f>
        <v>Reserves</v>
      </c>
      <c r="C48" s="14">
        <f>IFERROR('Data Sheet'!B58,0)</f>
        <v>6357</v>
      </c>
      <c r="D48" s="14">
        <f>IFERROR('Data Sheet'!C58,0)</f>
        <v>6528</v>
      </c>
      <c r="E48" s="14">
        <f>IFERROR('Data Sheet'!D58,0)</f>
        <v>7065</v>
      </c>
      <c r="F48" s="14">
        <f>IFERROR('Data Sheet'!E58,0)</f>
        <v>7651</v>
      </c>
      <c r="G48" s="14">
        <f>IFERROR('Data Sheet'!F58,0)</f>
        <v>8013</v>
      </c>
      <c r="H48" s="14">
        <f>IFERROR('Data Sheet'!G58,0)</f>
        <v>47439</v>
      </c>
      <c r="I48" s="14">
        <f>IFERROR('Data Sheet'!H58,0)</f>
        <v>48826</v>
      </c>
      <c r="J48" s="14">
        <f>IFERROR('Data Sheet'!I58,0)</f>
        <v>50069</v>
      </c>
      <c r="K48" s="14">
        <f>IFERROR('Data Sheet'!J58,0)</f>
        <v>50983</v>
      </c>
      <c r="L48" s="14">
        <f>IFERROR('Data Sheet'!K58,0)</f>
        <v>49167</v>
      </c>
    </row>
    <row r="49" spans="2:12" x14ac:dyDescent="0.25">
      <c r="B49" t="str">
        <f>IFERROR('Data Sheet'!A59,0)</f>
        <v>Borrowings</v>
      </c>
      <c r="C49" s="14">
        <f>IFERROR('Data Sheet'!B59,0)</f>
        <v>177</v>
      </c>
      <c r="D49" s="14">
        <f>IFERROR('Data Sheet'!C59,0)</f>
        <v>277</v>
      </c>
      <c r="E49" s="14">
        <f>IFERROR('Data Sheet'!D59,0)</f>
        <v>0</v>
      </c>
      <c r="F49" s="14">
        <f>IFERROR('Data Sheet'!E59,0)</f>
        <v>99</v>
      </c>
      <c r="G49" s="14">
        <f>IFERROR('Data Sheet'!F59,0)</f>
        <v>0</v>
      </c>
      <c r="H49" s="14">
        <f>IFERROR('Data Sheet'!G59,0)</f>
        <v>0</v>
      </c>
      <c r="I49" s="14">
        <f>IFERROR('Data Sheet'!H59,0)</f>
        <v>1043</v>
      </c>
      <c r="J49" s="14">
        <f>IFERROR('Data Sheet'!I59,0)</f>
        <v>1219</v>
      </c>
      <c r="K49" s="14">
        <f>IFERROR('Data Sheet'!J59,0)</f>
        <v>1484</v>
      </c>
      <c r="L49" s="14">
        <f>IFERROR('Data Sheet'!K59,0)</f>
        <v>1648</v>
      </c>
    </row>
    <row r="50" spans="2:12" x14ac:dyDescent="0.25">
      <c r="B50" t="str">
        <f>IFERROR('Data Sheet'!A60,0)</f>
        <v>Other Liabilities</v>
      </c>
      <c r="C50" s="14">
        <f>IFERROR('Data Sheet'!B60,0)</f>
        <v>8043</v>
      </c>
      <c r="D50" s="14">
        <f>IFERROR('Data Sheet'!C60,0)</f>
        <v>8685</v>
      </c>
      <c r="E50" s="14">
        <f>IFERROR('Data Sheet'!D60,0)</f>
        <v>10581</v>
      </c>
      <c r="F50" s="14">
        <f>IFERROR('Data Sheet'!E60,0)</f>
        <v>10663</v>
      </c>
      <c r="G50" s="14">
        <f>IFERROR('Data Sheet'!F60,0)</f>
        <v>11924</v>
      </c>
      <c r="H50" s="14">
        <f>IFERROR('Data Sheet'!G60,0)</f>
        <v>21066</v>
      </c>
      <c r="I50" s="14">
        <f>IFERROR('Data Sheet'!H60,0)</f>
        <v>20402</v>
      </c>
      <c r="J50" s="14">
        <f>IFERROR('Data Sheet'!I60,0)</f>
        <v>21554</v>
      </c>
      <c r="K50" s="14">
        <f>IFERROR('Data Sheet'!J60,0)</f>
        <v>25787</v>
      </c>
      <c r="L50" s="14">
        <f>IFERROR('Data Sheet'!K60,0)</f>
        <v>28813</v>
      </c>
    </row>
    <row r="51" spans="2:12" x14ac:dyDescent="0.25">
      <c r="B51" s="22" t="s">
        <v>81</v>
      </c>
      <c r="C51" s="23">
        <f>IFERROR('Data Sheet'!B61,0)</f>
        <v>14793</v>
      </c>
      <c r="D51" s="23">
        <f>IFERROR('Data Sheet'!C61,0)</f>
        <v>15706</v>
      </c>
      <c r="E51" s="23">
        <f>IFERROR('Data Sheet'!D61,0)</f>
        <v>17862</v>
      </c>
      <c r="F51" s="23">
        <f>IFERROR('Data Sheet'!E61,0)</f>
        <v>18629</v>
      </c>
      <c r="G51" s="23">
        <f>IFERROR('Data Sheet'!F61,0)</f>
        <v>20153</v>
      </c>
      <c r="H51" s="23">
        <f>IFERROR('Data Sheet'!G61,0)</f>
        <v>68740</v>
      </c>
      <c r="I51" s="23">
        <f>IFERROR('Data Sheet'!H61,0)</f>
        <v>70506</v>
      </c>
      <c r="J51" s="23">
        <f>IFERROR('Data Sheet'!I61,0)</f>
        <v>73077</v>
      </c>
      <c r="K51" s="23">
        <f>IFERROR('Data Sheet'!J61,0)</f>
        <v>78489</v>
      </c>
      <c r="L51" s="23">
        <f>IFERROR('Data Sheet'!K61,0)</f>
        <v>79863</v>
      </c>
    </row>
    <row r="53" spans="2:12" x14ac:dyDescent="0.25">
      <c r="B53" t="s">
        <v>82</v>
      </c>
      <c r="C53" s="14">
        <f>IFERROR('Data Sheet'!B62,0)</f>
        <v>3258</v>
      </c>
      <c r="D53" s="14">
        <f>IFERROR('Data Sheet'!C62,0)</f>
        <v>4419</v>
      </c>
      <c r="E53" s="14">
        <f>IFERROR('Data Sheet'!D62,0)</f>
        <v>4528</v>
      </c>
      <c r="F53" s="14">
        <f>IFERROR('Data Sheet'!E62,0)</f>
        <v>4715</v>
      </c>
      <c r="G53" s="14">
        <f>IFERROR('Data Sheet'!F62,0)</f>
        <v>5479</v>
      </c>
      <c r="H53" s="14">
        <f>IFERROR('Data Sheet'!G62,0)</f>
        <v>51443</v>
      </c>
      <c r="I53" s="14">
        <f>IFERROR('Data Sheet'!H62,0)</f>
        <v>51473</v>
      </c>
      <c r="J53" s="14">
        <f>IFERROR('Data Sheet'!I62,0)</f>
        <v>52678</v>
      </c>
      <c r="K53" s="14">
        <f>IFERROR('Data Sheet'!J62,0)</f>
        <v>53744</v>
      </c>
      <c r="L53" s="14">
        <f>IFERROR('Data Sheet'!K62,0)</f>
        <v>54335</v>
      </c>
    </row>
    <row r="54" spans="2:12" x14ac:dyDescent="0.25">
      <c r="B54" t="str">
        <f>IFERROR('Data Sheet'!A63,)</f>
        <v>Capital Work in Progress</v>
      </c>
      <c r="C54" s="14">
        <f>IFERROR('Data Sheet'!B63,0)</f>
        <v>408</v>
      </c>
      <c r="D54" s="14">
        <f>IFERROR('Data Sheet'!C63,0)</f>
        <v>229</v>
      </c>
      <c r="E54" s="14">
        <f>IFERROR('Data Sheet'!D63,0)</f>
        <v>461</v>
      </c>
      <c r="F54" s="14">
        <f>IFERROR('Data Sheet'!E63,0)</f>
        <v>406</v>
      </c>
      <c r="G54" s="14">
        <f>IFERROR('Data Sheet'!F63,0)</f>
        <v>597</v>
      </c>
      <c r="H54" s="14">
        <f>IFERROR('Data Sheet'!G63,0)</f>
        <v>745</v>
      </c>
      <c r="I54" s="14">
        <f>IFERROR('Data Sheet'!H63,0)</f>
        <v>1313</v>
      </c>
      <c r="J54" s="14">
        <f>IFERROR('Data Sheet'!I63,0)</f>
        <v>1132</v>
      </c>
      <c r="K54" s="14">
        <f>IFERROR('Data Sheet'!J63,0)</f>
        <v>1025</v>
      </c>
      <c r="L54" s="14">
        <f>IFERROR('Data Sheet'!K63,0)</f>
        <v>1009</v>
      </c>
    </row>
    <row r="55" spans="2:12" x14ac:dyDescent="0.25">
      <c r="B55" t="str">
        <f>IFERROR('Data Sheet'!A64,)</f>
        <v>Investments</v>
      </c>
      <c r="C55" s="14">
        <f>IFERROR('Data Sheet'!B64,0)</f>
        <v>2592</v>
      </c>
      <c r="D55" s="14">
        <f>IFERROR('Data Sheet'!C64,0)</f>
        <v>3794</v>
      </c>
      <c r="E55" s="14">
        <f>IFERROR('Data Sheet'!D64,0)</f>
        <v>2873</v>
      </c>
      <c r="F55" s="14">
        <f>IFERROR('Data Sheet'!E64,0)</f>
        <v>2716</v>
      </c>
      <c r="G55" s="14">
        <f>IFERROR('Data Sheet'!F64,0)</f>
        <v>1255</v>
      </c>
      <c r="H55" s="14">
        <f>IFERROR('Data Sheet'!G64,0)</f>
        <v>2709</v>
      </c>
      <c r="I55" s="14">
        <f>IFERROR('Data Sheet'!H64,0)</f>
        <v>3521</v>
      </c>
      <c r="J55" s="14">
        <f>IFERROR('Data Sheet'!I64,0)</f>
        <v>2882</v>
      </c>
      <c r="K55" s="14">
        <f>IFERROR('Data Sheet'!J64,0)</f>
        <v>4625</v>
      </c>
      <c r="L55" s="14">
        <f>IFERROR('Data Sheet'!K64,0)</f>
        <v>3810</v>
      </c>
    </row>
    <row r="56" spans="2:12" x14ac:dyDescent="0.25">
      <c r="B56" t="str">
        <f>IFERROR('Data Sheet'!A65,)</f>
        <v>Other Assets</v>
      </c>
      <c r="C56" s="14">
        <f>IFERROR('Data Sheet'!B65-SUM('Data Sheet'!B67:B69),0)</f>
        <v>1536</v>
      </c>
      <c r="D56" s="14">
        <f>IFERROR('Data Sheet'!C65-SUM('Data Sheet'!C67:C69),0)</f>
        <v>1810</v>
      </c>
      <c r="E56" s="14">
        <f>IFERROR('Data Sheet'!D65-SUM('Data Sheet'!D67:D69),0)</f>
        <v>2692</v>
      </c>
      <c r="F56" s="14">
        <f>IFERROR('Data Sheet'!E65-SUM('Data Sheet'!E67:E69),0)</f>
        <v>2645</v>
      </c>
      <c r="G56" s="14">
        <f>IFERROR('Data Sheet'!F65-SUM('Data Sheet'!F67:F69),0)</f>
        <v>3793</v>
      </c>
      <c r="H56" s="14">
        <f>IFERROR('Data Sheet'!G65-SUM('Data Sheet'!G67:G69),0)</f>
        <v>4035</v>
      </c>
      <c r="I56" s="14">
        <f>IFERROR('Data Sheet'!H65-SUM('Data Sheet'!H67:H69),0)</f>
        <v>4021</v>
      </c>
      <c r="J56" s="14">
        <f>IFERROR('Data Sheet'!I65-SUM('Data Sheet'!I67:I69),0)</f>
        <v>4377</v>
      </c>
      <c r="K56" s="14">
        <f>IFERROR('Data Sheet'!J65-SUM('Data Sheet'!J67:J69),0)</f>
        <v>4517</v>
      </c>
      <c r="L56" s="14">
        <f>IFERROR('Data Sheet'!K65-SUM('Data Sheet'!K67:K69),0)</f>
        <v>4921</v>
      </c>
    </row>
    <row r="57" spans="2:12" x14ac:dyDescent="0.25">
      <c r="B57" s="22" t="s">
        <v>83</v>
      </c>
      <c r="C57" s="23">
        <f>IFERROR(SUM(C53:C56),0)</f>
        <v>7794</v>
      </c>
      <c r="D57" s="23">
        <f t="shared" ref="D57:L57" si="18">IFERROR(SUM(D53:D56),0)</f>
        <v>10252</v>
      </c>
      <c r="E57" s="23">
        <f t="shared" si="18"/>
        <v>10554</v>
      </c>
      <c r="F57" s="23">
        <f t="shared" si="18"/>
        <v>10482</v>
      </c>
      <c r="G57" s="23">
        <f t="shared" si="18"/>
        <v>11124</v>
      </c>
      <c r="H57" s="23">
        <f t="shared" si="18"/>
        <v>58932</v>
      </c>
      <c r="I57" s="23">
        <f t="shared" si="18"/>
        <v>60328</v>
      </c>
      <c r="J57" s="23">
        <f t="shared" si="18"/>
        <v>61069</v>
      </c>
      <c r="K57" s="23">
        <f t="shared" si="18"/>
        <v>63911</v>
      </c>
      <c r="L57" s="23">
        <f t="shared" si="18"/>
        <v>64075</v>
      </c>
    </row>
    <row r="59" spans="2:12" x14ac:dyDescent="0.25">
      <c r="B59" t="str">
        <f>IFERROR('Data Sheet'!A67,0)</f>
        <v>Receivables</v>
      </c>
      <c r="C59" s="14">
        <f>IFERROR('Data Sheet'!B67,0)</f>
        <v>1264</v>
      </c>
      <c r="D59" s="14">
        <f>IFERROR('Data Sheet'!C67,0)</f>
        <v>1085</v>
      </c>
      <c r="E59" s="14">
        <f>IFERROR('Data Sheet'!D67,0)</f>
        <v>1310</v>
      </c>
      <c r="F59" s="14">
        <f>IFERROR('Data Sheet'!E67,0)</f>
        <v>1816</v>
      </c>
      <c r="G59" s="14">
        <f>IFERROR('Data Sheet'!F67,0)</f>
        <v>1149</v>
      </c>
      <c r="H59" s="14">
        <f>IFERROR('Data Sheet'!G67,0)</f>
        <v>1758</v>
      </c>
      <c r="I59" s="14">
        <f>IFERROR('Data Sheet'!H67,0)</f>
        <v>2236</v>
      </c>
      <c r="J59" s="14">
        <f>IFERROR('Data Sheet'!I67,0)</f>
        <v>3079</v>
      </c>
      <c r="K59" s="14">
        <f>IFERROR('Data Sheet'!J67,0)</f>
        <v>2997</v>
      </c>
      <c r="L59" s="14">
        <f>IFERROR('Data Sheet'!K67,0)</f>
        <v>3819</v>
      </c>
    </row>
    <row r="60" spans="2:12" x14ac:dyDescent="0.25">
      <c r="B60" t="str">
        <f>IFERROR('Data Sheet'!A68,0)</f>
        <v>Inventory</v>
      </c>
      <c r="C60" s="14">
        <f>IFERROR('Data Sheet'!B68,0)</f>
        <v>2726</v>
      </c>
      <c r="D60" s="14">
        <f>IFERROR('Data Sheet'!C68,0)</f>
        <v>2541</v>
      </c>
      <c r="E60" s="14">
        <f>IFERROR('Data Sheet'!D68,0)</f>
        <v>2513</v>
      </c>
      <c r="F60" s="14">
        <f>IFERROR('Data Sheet'!E68,0)</f>
        <v>2574</v>
      </c>
      <c r="G60" s="14">
        <f>IFERROR('Data Sheet'!F68,0)</f>
        <v>2767</v>
      </c>
      <c r="H60" s="14">
        <f>IFERROR('Data Sheet'!G68,0)</f>
        <v>3579</v>
      </c>
      <c r="I60" s="14">
        <f>IFERROR('Data Sheet'!H68,0)</f>
        <v>4096</v>
      </c>
      <c r="J60" s="14">
        <f>IFERROR('Data Sheet'!I68,0)</f>
        <v>4251</v>
      </c>
      <c r="K60" s="14">
        <f>IFERROR('Data Sheet'!J68,0)</f>
        <v>4022</v>
      </c>
      <c r="L60" s="14">
        <f>IFERROR('Data Sheet'!K68,0)</f>
        <v>4415</v>
      </c>
    </row>
    <row r="61" spans="2:12" x14ac:dyDescent="0.25">
      <c r="B61" t="str">
        <f>IFERROR('Data Sheet'!A69,0)</f>
        <v>Cash &amp; Bank</v>
      </c>
      <c r="C61" s="14">
        <f>IFERROR('Data Sheet'!B69,0)</f>
        <v>3009</v>
      </c>
      <c r="D61" s="14">
        <f>IFERROR('Data Sheet'!C69,0)</f>
        <v>1828</v>
      </c>
      <c r="E61" s="14">
        <f>IFERROR('Data Sheet'!D69,0)</f>
        <v>3485</v>
      </c>
      <c r="F61" s="14">
        <f>IFERROR('Data Sheet'!E69,0)</f>
        <v>3757</v>
      </c>
      <c r="G61" s="14">
        <f>IFERROR('Data Sheet'!F69,0)</f>
        <v>5113</v>
      </c>
      <c r="H61" s="14">
        <f>IFERROR('Data Sheet'!G69,0)</f>
        <v>4471</v>
      </c>
      <c r="I61" s="14">
        <f>IFERROR('Data Sheet'!H69,0)</f>
        <v>3846</v>
      </c>
      <c r="J61" s="14">
        <f>IFERROR('Data Sheet'!I69,0)</f>
        <v>4678</v>
      </c>
      <c r="K61" s="14">
        <f>IFERROR('Data Sheet'!J69,0)</f>
        <v>7559</v>
      </c>
      <c r="L61" s="14">
        <f>IFERROR('Data Sheet'!K69,0)</f>
        <v>7554</v>
      </c>
    </row>
    <row r="62" spans="2:12" x14ac:dyDescent="0.25">
      <c r="B62" s="22" t="s">
        <v>84</v>
      </c>
      <c r="C62" s="23">
        <f>IFERROR(SUM(C59:C61),0)</f>
        <v>6999</v>
      </c>
      <c r="D62" s="23">
        <f t="shared" ref="D62:L62" si="19">IFERROR(SUM(D59:D61),0)</f>
        <v>5454</v>
      </c>
      <c r="E62" s="23">
        <f t="shared" si="19"/>
        <v>7308</v>
      </c>
      <c r="F62" s="23">
        <f t="shared" si="19"/>
        <v>8147</v>
      </c>
      <c r="G62" s="23">
        <f t="shared" si="19"/>
        <v>9029</v>
      </c>
      <c r="H62" s="23">
        <f t="shared" si="19"/>
        <v>9808</v>
      </c>
      <c r="I62" s="23">
        <f t="shared" si="19"/>
        <v>10178</v>
      </c>
      <c r="J62" s="23">
        <f t="shared" si="19"/>
        <v>12008</v>
      </c>
      <c r="K62" s="23">
        <f t="shared" si="19"/>
        <v>14578</v>
      </c>
      <c r="L62" s="23">
        <f t="shared" si="19"/>
        <v>15788</v>
      </c>
    </row>
    <row r="64" spans="2:12" x14ac:dyDescent="0.25">
      <c r="B64" s="22" t="s">
        <v>85</v>
      </c>
      <c r="C64" s="23">
        <f>IFERROR(SUM(C57,C62),0)</f>
        <v>14793</v>
      </c>
      <c r="D64" s="23">
        <f t="shared" ref="D64:L64" si="20">IFERROR(SUM(D57,D62),0)</f>
        <v>15706</v>
      </c>
      <c r="E64" s="23">
        <f t="shared" si="20"/>
        <v>17862</v>
      </c>
      <c r="F64" s="23">
        <f t="shared" si="20"/>
        <v>18629</v>
      </c>
      <c r="G64" s="23">
        <f t="shared" si="20"/>
        <v>20153</v>
      </c>
      <c r="H64" s="23">
        <f t="shared" si="20"/>
        <v>68740</v>
      </c>
      <c r="I64" s="23">
        <f t="shared" si="20"/>
        <v>70506</v>
      </c>
      <c r="J64" s="23">
        <f t="shared" si="20"/>
        <v>73077</v>
      </c>
      <c r="K64" s="23">
        <f t="shared" si="20"/>
        <v>78489</v>
      </c>
      <c r="L64" s="23">
        <f t="shared" si="20"/>
        <v>79863</v>
      </c>
    </row>
    <row r="66" spans="1:13" x14ac:dyDescent="0.25">
      <c r="B66" s="18" t="s">
        <v>86</v>
      </c>
      <c r="C66" s="18" t="b">
        <f>C64=C51</f>
        <v>1</v>
      </c>
      <c r="D66" s="18" t="b">
        <f t="shared" ref="D66:L66" si="21">D64=D51</f>
        <v>1</v>
      </c>
      <c r="E66" s="18" t="b">
        <f t="shared" si="21"/>
        <v>1</v>
      </c>
      <c r="F66" s="18" t="b">
        <f t="shared" si="21"/>
        <v>1</v>
      </c>
      <c r="G66" s="18" t="b">
        <f t="shared" si="21"/>
        <v>1</v>
      </c>
      <c r="H66" s="18" t="b">
        <f t="shared" si="21"/>
        <v>1</v>
      </c>
      <c r="I66" s="18" t="b">
        <f t="shared" si="21"/>
        <v>1</v>
      </c>
      <c r="J66" s="18" t="b">
        <f t="shared" si="21"/>
        <v>1</v>
      </c>
      <c r="K66" s="18" t="b">
        <f t="shared" si="21"/>
        <v>1</v>
      </c>
      <c r="L66" s="18" t="b">
        <f t="shared" si="21"/>
        <v>1</v>
      </c>
      <c r="M66" s="18"/>
    </row>
    <row r="68" spans="1:13" x14ac:dyDescent="0.25">
      <c r="A68" s="20" t="s">
        <v>58</v>
      </c>
      <c r="B68" s="21" t="s">
        <v>87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70" spans="1:13" x14ac:dyDescent="0.25">
      <c r="B70" t="str">
        <f>IFERROR('Data Sheet'!A82,0)</f>
        <v>Cash from Operating Activity</v>
      </c>
      <c r="C70" s="14">
        <f>IFERROR('Data Sheet'!B82,0)</f>
        <v>4171</v>
      </c>
      <c r="D70" s="14">
        <f>IFERROR('Data Sheet'!C82,0)</f>
        <v>5185</v>
      </c>
      <c r="E70" s="14">
        <f>IFERROR('Data Sheet'!D82,0)</f>
        <v>6059</v>
      </c>
      <c r="F70" s="14">
        <f>IFERROR('Data Sheet'!E82,0)</f>
        <v>5800</v>
      </c>
      <c r="G70" s="14">
        <f>IFERROR('Data Sheet'!F82,0)</f>
        <v>7623</v>
      </c>
      <c r="H70" s="14">
        <f>IFERROR('Data Sheet'!G82,0)</f>
        <v>9163</v>
      </c>
      <c r="I70" s="14">
        <f>IFERROR('Data Sheet'!H82,0)</f>
        <v>9048</v>
      </c>
      <c r="J70" s="14">
        <f>IFERROR('Data Sheet'!I82,0)</f>
        <v>9991</v>
      </c>
      <c r="K70" s="14">
        <f>IFERROR('Data Sheet'!J82,0)</f>
        <v>15469</v>
      </c>
      <c r="L70" s="14">
        <f>IFERROR('Data Sheet'!K82,0)</f>
        <v>11886</v>
      </c>
    </row>
    <row r="71" spans="1:13" x14ac:dyDescent="0.25"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3" x14ac:dyDescent="0.25">
      <c r="B72" t="str">
        <f>IFERROR('Data Sheet'!A83,0)</f>
        <v>Cash from Investing Activity</v>
      </c>
      <c r="C72" s="14">
        <f>IFERROR('Data Sheet'!B83,0)</f>
        <v>-282</v>
      </c>
      <c r="D72" s="14">
        <f>IFERROR('Data Sheet'!C83,0)</f>
        <v>-1173</v>
      </c>
      <c r="E72" s="14">
        <f>IFERROR('Data Sheet'!D83,0)</f>
        <v>-1063</v>
      </c>
      <c r="F72" s="14">
        <f>IFERROR('Data Sheet'!E83,0)</f>
        <v>-438</v>
      </c>
      <c r="G72" s="14">
        <f>IFERROR('Data Sheet'!F83,0)</f>
        <v>1791</v>
      </c>
      <c r="H72" s="14">
        <f>IFERROR('Data Sheet'!G83,0)</f>
        <v>-1228</v>
      </c>
      <c r="I72" s="14">
        <f>IFERROR('Data Sheet'!H83,0)</f>
        <v>-1728</v>
      </c>
      <c r="J72" s="14">
        <f>IFERROR('Data Sheet'!I83,0)</f>
        <v>-1484</v>
      </c>
      <c r="K72" s="14">
        <f>IFERROR('Data Sheet'!J83,0)</f>
        <v>-5324</v>
      </c>
      <c r="L72" s="14">
        <f>IFERROR('Data Sheet'!K83,0)</f>
        <v>6473</v>
      </c>
    </row>
    <row r="73" spans="1:13" x14ac:dyDescent="0.25"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3" x14ac:dyDescent="0.25">
      <c r="B74" t="str">
        <f>IFERROR('Data Sheet'!A84,0)</f>
        <v>Cash from Financing Activity</v>
      </c>
      <c r="C74" s="14">
        <f>IFERROR('Data Sheet'!B84,0)</f>
        <v>-3864</v>
      </c>
      <c r="D74" s="14">
        <f>IFERROR('Data Sheet'!C84,0)</f>
        <v>-4214</v>
      </c>
      <c r="E74" s="14">
        <f>IFERROR('Data Sheet'!D84,0)</f>
        <v>-4975</v>
      </c>
      <c r="F74" s="14">
        <f>IFERROR('Data Sheet'!E84,0)</f>
        <v>-5390</v>
      </c>
      <c r="G74" s="14">
        <f>IFERROR('Data Sheet'!F84,0)</f>
        <v>-6819</v>
      </c>
      <c r="H74" s="14">
        <f>IFERROR('Data Sheet'!G84,0)</f>
        <v>-9309</v>
      </c>
      <c r="I74" s="14">
        <f>IFERROR('Data Sheet'!H84,0)</f>
        <v>-8015</v>
      </c>
      <c r="J74" s="14">
        <f>IFERROR('Data Sheet'!I84,0)</f>
        <v>-8953</v>
      </c>
      <c r="K74" s="14">
        <f>IFERROR('Data Sheet'!J84,0)</f>
        <v>-10034</v>
      </c>
      <c r="L74" s="14">
        <f>IFERROR('Data Sheet'!K84,0)</f>
        <v>-13101</v>
      </c>
    </row>
    <row r="76" spans="1:13" x14ac:dyDescent="0.25">
      <c r="B76" s="24" t="s">
        <v>21</v>
      </c>
      <c r="C76" s="25">
        <f>IFERROR(SUM(C70,C72,C74),0)</f>
        <v>25</v>
      </c>
      <c r="D76" s="25">
        <f t="shared" ref="D76:L76" si="22">IFERROR(SUM(D70,D72,D74),0)</f>
        <v>-202</v>
      </c>
      <c r="E76" s="25">
        <f t="shared" si="22"/>
        <v>21</v>
      </c>
      <c r="F76" s="25">
        <f t="shared" si="22"/>
        <v>-28</v>
      </c>
      <c r="G76" s="25">
        <f t="shared" si="22"/>
        <v>2595</v>
      </c>
      <c r="H76" s="25">
        <f t="shared" si="22"/>
        <v>-1374</v>
      </c>
      <c r="I76" s="25">
        <f t="shared" si="22"/>
        <v>-695</v>
      </c>
      <c r="J76" s="25">
        <f t="shared" si="22"/>
        <v>-446</v>
      </c>
      <c r="K76" s="25">
        <f t="shared" si="22"/>
        <v>111</v>
      </c>
      <c r="L76" s="25">
        <f t="shared" si="22"/>
        <v>5258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H15 I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showGridLines="0" workbookViewId="0">
      <pane ySplit="3" topLeftCell="A13" activePane="bottomLeft" state="frozen"/>
      <selection pane="bottomLeft" activeCell="C19" sqref="C19"/>
    </sheetView>
  </sheetViews>
  <sheetFormatPr defaultRowHeight="15" x14ac:dyDescent="0.25"/>
  <cols>
    <col min="1" max="1" width="1.85546875" customWidth="1"/>
    <col min="2" max="2" width="28.140625" customWidth="1"/>
    <col min="3" max="4" width="13.42578125" bestFit="1" customWidth="1"/>
    <col min="5" max="5" width="13.7109375" bestFit="1" customWidth="1"/>
    <col min="6" max="6" width="13.42578125" bestFit="1" customWidth="1"/>
    <col min="7" max="7" width="13.7109375" bestFit="1" customWidth="1"/>
    <col min="8" max="8" width="14.42578125" bestFit="1" customWidth="1"/>
    <col min="9" max="10" width="13.7109375" bestFit="1" customWidth="1"/>
    <col min="11" max="12" width="14.42578125" bestFit="1" customWidth="1"/>
    <col min="13" max="13" width="17.42578125" customWidth="1"/>
    <col min="14" max="15" width="10.42578125" bestFit="1" customWidth="1"/>
  </cols>
  <sheetData>
    <row r="2" spans="2:15" x14ac:dyDescent="0.25">
      <c r="B2" s="45" t="str">
        <f>"Ratio Analysis- "&amp;'Data Sheet'!B1</f>
        <v>Ratio Analysis- HINDUSTAN UNILEVER LTD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2:15" x14ac:dyDescent="0.25">
      <c r="B3" s="27" t="s">
        <v>55</v>
      </c>
      <c r="C3" s="28">
        <f>'Data Sheet'!B16</f>
        <v>42460</v>
      </c>
      <c r="D3" s="28">
        <f>'Data Sheet'!C16</f>
        <v>42825</v>
      </c>
      <c r="E3" s="28">
        <f>'Data Sheet'!D16</f>
        <v>43190</v>
      </c>
      <c r="F3" s="28">
        <f>'Data Sheet'!E16</f>
        <v>43555</v>
      </c>
      <c r="G3" s="28">
        <f>'Data Sheet'!F16</f>
        <v>43921</v>
      </c>
      <c r="H3" s="28">
        <f>'Data Sheet'!G16</f>
        <v>44286</v>
      </c>
      <c r="I3" s="28">
        <f>'Data Sheet'!H16</f>
        <v>44651</v>
      </c>
      <c r="J3" s="28">
        <f>'Data Sheet'!I16</f>
        <v>45016</v>
      </c>
      <c r="K3" s="28">
        <f>'Data Sheet'!J16</f>
        <v>45382</v>
      </c>
      <c r="L3" s="28">
        <f>'Data Sheet'!K16</f>
        <v>45747</v>
      </c>
      <c r="M3" s="29" t="s">
        <v>88</v>
      </c>
      <c r="N3" s="29" t="s">
        <v>89</v>
      </c>
      <c r="O3" s="29" t="s">
        <v>90</v>
      </c>
    </row>
    <row r="5" spans="2:15" x14ac:dyDescent="0.25">
      <c r="B5" s="32" t="s">
        <v>10</v>
      </c>
      <c r="C5" s="32"/>
      <c r="D5" s="33">
        <f>IFERROR(HistoricalFS!D7,0)</f>
        <v>3.03237432424035E-2</v>
      </c>
      <c r="E5" s="33">
        <f>IFERROR(HistoricalFS!E7,0)</f>
        <v>7.1859357095470644E-2</v>
      </c>
      <c r="F5" s="33">
        <f>IFERROR(HistoricalFS!F7,0)</f>
        <v>0.1059220706147137</v>
      </c>
      <c r="G5" s="33">
        <f>IFERROR(HistoricalFS!G7,0)</f>
        <v>1.2032561689137689E-2</v>
      </c>
      <c r="H5" s="33">
        <f>IFERROR(HistoricalFS!H7,0)</f>
        <v>0.18211296282331646</v>
      </c>
      <c r="I5" s="33">
        <f>IFERROR(HistoricalFS!I7,0)</f>
        <v>0.11520796121459553</v>
      </c>
      <c r="J5" s="33">
        <f>IFERROR(HistoricalFS!J7,0)</f>
        <v>0.15509285741524614</v>
      </c>
      <c r="K5" s="33">
        <f>IFERROR(HistoricalFS!K7,0)</f>
        <v>2.1723341036645749E-2</v>
      </c>
      <c r="L5" s="33">
        <f>IFERROR(HistoricalFS!L7,0)</f>
        <v>1.9791262763344974E-2</v>
      </c>
      <c r="M5" s="32"/>
      <c r="N5" s="33">
        <f>IFERROR(AVERAGE(D5:L5),0)</f>
        <v>7.9340679766097155E-2</v>
      </c>
      <c r="O5" s="33">
        <f>IFERROR(MEDIAN(D5:L5),0)</f>
        <v>7.1859357095470644E-2</v>
      </c>
    </row>
    <row r="6" spans="2:15" x14ac:dyDescent="0.25">
      <c r="B6" t="s">
        <v>95</v>
      </c>
      <c r="D6" s="15">
        <f>IFERROR(HistoricalFS!D18/HistoricalFS!C18-1,0)</f>
        <v>7.0727580372250465E-2</v>
      </c>
      <c r="E6" s="15">
        <f>IFERROR(HistoricalFS!E18/HistoricalFS!D18-1,0)</f>
        <v>0.1850505689001265</v>
      </c>
      <c r="F6" s="15">
        <f>IFERROR(HistoricalFS!F18/HistoricalFS!E18-1,0)</f>
        <v>0.1841578877183625</v>
      </c>
      <c r="G6" s="15">
        <f>IFERROR(HistoricalFS!G18/HistoricalFS!F18-1,0)</f>
        <v>0.11047297297297298</v>
      </c>
      <c r="H6" s="15">
        <f>IFERROR(HistoricalFS!H18/HistoricalFS!G18-1,0)</f>
        <v>0.1789879322583916</v>
      </c>
      <c r="I6" s="15">
        <f>IFERROR(HistoricalFS!I18/HistoricalFS!H18-1,0)</f>
        <v>0.10588336487183891</v>
      </c>
      <c r="J6" s="15">
        <f>IFERROR(HistoricalFS!J18/HistoricalFS!I18-1,0)</f>
        <v>0.10033444816053505</v>
      </c>
      <c r="K6" s="15">
        <f>IFERROR(HistoricalFS!K18/HistoricalFS!J18-1,0)</f>
        <v>3.6191418675337594E-2</v>
      </c>
      <c r="L6" s="15">
        <f>IFERROR(HistoricalFS!L18/HistoricalFS!K18-1,0)</f>
        <v>1.255201582645471E-2</v>
      </c>
      <c r="N6" s="15">
        <f t="shared" ref="N6:N9" si="0">IFERROR(AVERAGE(D6:L6),0)</f>
        <v>0.10937313219514115</v>
      </c>
      <c r="O6" s="15">
        <f t="shared" ref="O6:O9" si="1">IFERROR(MEDIAN(D6:L6),0)</f>
        <v>0.10588336487183891</v>
      </c>
    </row>
    <row r="7" spans="2:15" x14ac:dyDescent="0.25">
      <c r="B7" t="s">
        <v>91</v>
      </c>
      <c r="D7" s="15">
        <f>IFERROR(HistoricalFS!D27/HistoricalFS!C27-1,0)</f>
        <v>5.794223826714795E-2</v>
      </c>
      <c r="E7" s="15">
        <f>IFERROR(HistoricalFS!E27/HistoricalFS!D27-1,0)</f>
        <v>0.18631632827162603</v>
      </c>
      <c r="F7" s="15">
        <f>IFERROR(HistoricalFS!F27/HistoricalFS!E27-1,0)</f>
        <v>0.19114051488566086</v>
      </c>
      <c r="G7" s="15">
        <f>IFERROR(HistoricalFS!G27/HistoricalFS!F27-1,0)</f>
        <v>5.5421395798116446E-2</v>
      </c>
      <c r="H7" s="15">
        <f>IFERROR(HistoricalFS!H27/HistoricalFS!G27-1,0)</f>
        <v>0.19379933646035918</v>
      </c>
      <c r="I7" s="15">
        <f>IFERROR(HistoricalFS!I27/HistoricalFS!H27-1,0)</f>
        <v>0.11739338763775753</v>
      </c>
      <c r="J7" s="15">
        <f>IFERROR(HistoricalFS!J27/HistoricalFS!I27-1,0)</f>
        <v>0.10600343053173233</v>
      </c>
      <c r="K7" s="15">
        <f>IFERROR(HistoricalFS!K27/HistoricalFS!J27-1,0)</f>
        <v>1.6516749379652529E-2</v>
      </c>
      <c r="L7" s="15">
        <f>IFERROR(HistoricalFS!L27/HistoricalFS!K27-1,0)</f>
        <v>-1.2205355099550452E-3</v>
      </c>
      <c r="N7" s="15">
        <f t="shared" si="0"/>
        <v>0.10259031619134421</v>
      </c>
      <c r="O7" s="15">
        <f t="shared" si="1"/>
        <v>0.10600343053173233</v>
      </c>
    </row>
    <row r="8" spans="2:15" x14ac:dyDescent="0.25">
      <c r="B8" t="s">
        <v>92</v>
      </c>
      <c r="D8" s="15">
        <f>IFERROR(HistoricalFS!D33/HistoricalFS!C33-1,0)</f>
        <v>5.9754433833560716E-2</v>
      </c>
      <c r="E8" s="15">
        <f>IFERROR(HistoricalFS!E33/HistoricalFS!D33-1,0)</f>
        <v>0.2548918640576725</v>
      </c>
      <c r="F8" s="15">
        <f>IFERROR(HistoricalFS!F33/HistoricalFS!E33-1,0)</f>
        <v>0.17726713171932706</v>
      </c>
      <c r="G8" s="15">
        <f>IFERROR(HistoricalFS!G33/HistoricalFS!F33-1,0)</f>
        <v>0.10352039037992333</v>
      </c>
      <c r="H8" s="15">
        <f>IFERROR(HistoricalFS!H33/HistoricalFS!G33-1,0)</f>
        <v>0.23641819330385339</v>
      </c>
      <c r="I8" s="15">
        <f>IFERROR(HistoricalFS!I33/HistoricalFS!H33-1,0)</f>
        <v>0.10780431728190054</v>
      </c>
      <c r="J8" s="15">
        <f>IFERROR(HistoricalFS!J33/HistoricalFS!I33-1,0)</f>
        <v>0.11783696529459231</v>
      </c>
      <c r="K8" s="15">
        <f>IFERROR(HistoricalFS!K33/HistoricalFS!J33-1,0)</f>
        <v>-2.372356884992266E-2</v>
      </c>
      <c r="L8" s="15">
        <f>IFERROR(HistoricalFS!L33/HistoricalFS!K33-1,0)</f>
        <v>-1.2255678816693094E-2</v>
      </c>
      <c r="N8" s="15">
        <f t="shared" si="0"/>
        <v>0.11350156091157936</v>
      </c>
      <c r="O8" s="15">
        <f t="shared" si="1"/>
        <v>0.10780431728190054</v>
      </c>
    </row>
    <row r="9" spans="2:15" x14ac:dyDescent="0.25">
      <c r="B9" t="s">
        <v>93</v>
      </c>
      <c r="D9" s="15">
        <f>IFERROR(HistoricalFS!D41/HistoricalFS!C41-1,0)</f>
        <v>6.2303631659196945E-2</v>
      </c>
      <c r="E9" s="15">
        <f>IFERROR(HistoricalFS!E41/HistoricalFS!D41-1,0)</f>
        <v>0.17636188224423521</v>
      </c>
      <c r="F9" s="15">
        <f>IFERROR(HistoricalFS!F41/HistoricalFS!E41-1,0)</f>
        <v>9.989836928904694E-2</v>
      </c>
      <c r="G9" s="15">
        <f>IFERROR(HistoricalFS!G41/HistoricalFS!F41-1,0)</f>
        <v>0.13631114358664265</v>
      </c>
      <c r="H9" s="15">
        <f>IFERROR(HistoricalFS!H41/HistoricalFS!G41-1,0)</f>
        <v>0.62387640449438186</v>
      </c>
      <c r="I9" s="15">
        <f>IFERROR(HistoricalFS!I41/HistoricalFS!H41-1,0)</f>
        <v>-0.16049382716049365</v>
      </c>
      <c r="J9" s="15">
        <f>IFERROR(HistoricalFS!J41/HistoricalFS!I41-1,0)</f>
        <v>0.14705882352941169</v>
      </c>
      <c r="K9" s="15">
        <f>IFERROR(HistoricalFS!K41/HistoricalFS!J41-1,0)</f>
        <v>7.6923076923076872E-2</v>
      </c>
      <c r="L9" s="15">
        <f>IFERROR(HistoricalFS!L41/HistoricalFS!K41-1,0)</f>
        <v>0.26190476190476186</v>
      </c>
      <c r="N9" s="15">
        <f t="shared" si="0"/>
        <v>0.15823825183002893</v>
      </c>
      <c r="O9" s="15">
        <f t="shared" si="1"/>
        <v>0.13631114358664265</v>
      </c>
    </row>
    <row r="10" spans="2:15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 spans="2:15" x14ac:dyDescent="0.25">
      <c r="B11" t="s">
        <v>94</v>
      </c>
      <c r="C11" s="15">
        <f>IFERROR(HistoricalFS!C13,0)</f>
        <v>0.43385322811160132</v>
      </c>
      <c r="D11" s="15">
        <f>IFERROR(HistoricalFS!D13,0)</f>
        <v>0.43685543694590195</v>
      </c>
      <c r="E11" s="15">
        <f>IFERROR(HistoricalFS!E13,0)</f>
        <v>0.45663243775495849</v>
      </c>
      <c r="F11" s="15">
        <f>IFERROR(HistoricalFS!F13,0)</f>
        <v>0.46372424319511574</v>
      </c>
      <c r="G11" s="15">
        <f>IFERROR(HistoricalFS!G13,0)</f>
        <v>0.48183897644722617</v>
      </c>
      <c r="H11" s="15">
        <f>IFERROR(HistoricalFS!H13,0)</f>
        <v>0.46200136089138388</v>
      </c>
      <c r="I11" s="15">
        <f>IFERROR(HistoricalFS!I13,0)</f>
        <v>0.44579186210578498</v>
      </c>
      <c r="J11" s="15">
        <f>IFERROR(HistoricalFS!J13,0)</f>
        <v>0.41596236381644108</v>
      </c>
      <c r="K11" s="15">
        <f>IFERROR(HistoricalFS!K13,0)</f>
        <v>0.45632997285769678</v>
      </c>
      <c r="L11" s="15">
        <f>IFERROR(HistoricalFS!L13,0)</f>
        <v>0.45297127738787407</v>
      </c>
      <c r="N11" s="15">
        <f>IFERROR(AVERAGE(C11:L11),0)</f>
        <v>0.45059611595139842</v>
      </c>
      <c r="O11" s="15">
        <f>IFERROR(MEDIAN(C11:L11),0)</f>
        <v>0.45465062512278542</v>
      </c>
    </row>
    <row r="12" spans="2:15" x14ac:dyDescent="0.25">
      <c r="B12" t="s">
        <v>96</v>
      </c>
      <c r="C12" s="15">
        <f>IFERROR(HistoricalFS!C19,0)</f>
        <v>0.18362020754365252</v>
      </c>
      <c r="D12" s="15">
        <f>IFERROR(HistoricalFS!D19,0)</f>
        <v>0.1908208190097099</v>
      </c>
      <c r="E12" s="15">
        <f>IFERROR(HistoricalFS!E19,0)</f>
        <v>0.21097200731467156</v>
      </c>
      <c r="F12" s="15">
        <f>IFERROR(HistoricalFS!F19,0)</f>
        <v>0.2258967183922666</v>
      </c>
      <c r="G12" s="15">
        <f>IFERROR(HistoricalFS!G19,0)</f>
        <v>0.24786969308498605</v>
      </c>
      <c r="H12" s="15">
        <f>IFERROR(HistoricalFS!H19,0)</f>
        <v>0.24721442544866887</v>
      </c>
      <c r="I12" s="15">
        <f>IFERROR(HistoricalFS!I19,0)</f>
        <v>0.24514738969606834</v>
      </c>
      <c r="J12" s="15">
        <f>IFERROR(HistoricalFS!J19,0)</f>
        <v>0.23352591614394189</v>
      </c>
      <c r="K12" s="15">
        <f>IFERROR(HistoricalFS!K19,0)</f>
        <v>0.23683275171255008</v>
      </c>
      <c r="L12" s="15">
        <f>IFERROR(HistoricalFS!L19,0)</f>
        <v>0.23515153435465216</v>
      </c>
      <c r="N12" s="15">
        <f t="shared" ref="N12:N15" si="2">IFERROR(AVERAGE(C12:L12),0)</f>
        <v>0.22570514627011679</v>
      </c>
      <c r="O12" s="15">
        <f t="shared" ref="O12:O15" si="3">IFERROR(MEDIAN(C12:L12),0)</f>
        <v>0.23433872524929703</v>
      </c>
    </row>
    <row r="13" spans="2:15" x14ac:dyDescent="0.25">
      <c r="B13" t="s">
        <v>97</v>
      </c>
      <c r="C13" s="15">
        <f>IFERROR((HistoricalFS!C18-HistoricalFS!C24)/HistoricalFS!C6,0)</f>
        <v>0.17265270614552911</v>
      </c>
      <c r="D13" s="15">
        <f>IFERROR((HistoricalFS!D18-HistoricalFS!D24)/HistoricalFS!D6,0)</f>
        <v>0.17779386044267534</v>
      </c>
      <c r="E13" s="15">
        <f>IFERROR((HistoricalFS!E18-HistoricalFS!E24)/HistoricalFS!E6,0)</f>
        <v>0.19634266422844282</v>
      </c>
      <c r="F13" s="15">
        <f>IFERROR((HistoricalFS!F18-HistoricalFS!F24)/HistoricalFS!F6,0)</f>
        <v>0.21152378529636226</v>
      </c>
      <c r="G13" s="15">
        <f>IFERROR((HistoricalFS!G18-HistoricalFS!G24)/HistoricalFS!G6,0)</f>
        <v>0.22268305557650253</v>
      </c>
      <c r="H13" s="15">
        <f>IFERROR((HistoricalFS!H18-HistoricalFS!H24)/HistoricalFS!H6,0)</f>
        <v>0.22437696691332823</v>
      </c>
      <c r="I13" s="15">
        <f>IFERROR((HistoricalFS!I18-HistoricalFS!I24)/HistoricalFS!I6,0)</f>
        <v>0.22434504061320215</v>
      </c>
      <c r="J13" s="15">
        <f>IFERROR((HistoricalFS!J18-HistoricalFS!J24)/HistoricalFS!J6,0)</f>
        <v>0.21475734565863322</v>
      </c>
      <c r="K13" s="15">
        <f>IFERROR((HistoricalFS!K18-HistoricalFS!K24)/HistoricalFS!K6,0)</f>
        <v>0.21718689414501746</v>
      </c>
      <c r="L13" s="15">
        <f>IFERROR((HistoricalFS!L18-HistoricalFS!L24)/HistoricalFS!L6,0)</f>
        <v>0.21368482755342913</v>
      </c>
      <c r="N13" s="15">
        <f t="shared" si="2"/>
        <v>0.20753471465731224</v>
      </c>
      <c r="O13" s="15">
        <f t="shared" si="3"/>
        <v>0.21422108660603117</v>
      </c>
    </row>
    <row r="14" spans="2:15" x14ac:dyDescent="0.25">
      <c r="B14" t="s">
        <v>98</v>
      </c>
      <c r="C14" s="15">
        <f>IFERROR(HistoricalFS!C28,0)</f>
        <v>0.17212452619151183</v>
      </c>
      <c r="D14" s="15">
        <f>IFERROR(HistoricalFS!D28,0)</f>
        <v>0.17673843555877208</v>
      </c>
      <c r="E14" s="15">
        <f>IFERROR(HistoricalFS!E28,0)</f>
        <v>0.19561119707413138</v>
      </c>
      <c r="F14" s="15">
        <f>IFERROR(HistoricalFS!F28,0)</f>
        <v>0.21068430424828288</v>
      </c>
      <c r="G14" s="15">
        <f>IFERROR(HistoricalFS!G28,0)</f>
        <v>0.21971696453258929</v>
      </c>
      <c r="H14" s="15">
        <f>IFERROR(HistoricalFS!H28,0)</f>
        <v>0.22188908735221571</v>
      </c>
      <c r="I14" s="15">
        <f>IFERROR(HistoricalFS!I28,0)</f>
        <v>0.22232391412119132</v>
      </c>
      <c r="J14" s="15">
        <f>IFERROR(HistoricalFS!J28,0)</f>
        <v>0.21287553648068669</v>
      </c>
      <c r="K14" s="15">
        <f>IFERROR(HistoricalFS!K28,0)</f>
        <v>0.2117907457670932</v>
      </c>
      <c r="L14" s="15">
        <f>IFERROR(HistoricalFS!L28,0)</f>
        <v>0.20742700527558183</v>
      </c>
      <c r="N14" s="15">
        <f t="shared" si="2"/>
        <v>0.2051181716602056</v>
      </c>
      <c r="O14" s="15">
        <f t="shared" si="3"/>
        <v>0.21123752500768805</v>
      </c>
    </row>
    <row r="15" spans="2:15" x14ac:dyDescent="0.25">
      <c r="B15" t="s">
        <v>99</v>
      </c>
      <c r="C15" s="15">
        <f>IFERROR(HistoricalFS!C34,0)</f>
        <v>0.11386938420431243</v>
      </c>
      <c r="D15" s="15">
        <f>IFERROR(HistoricalFS!D34,0)</f>
        <v>0.11712200711657922</v>
      </c>
      <c r="E15" s="15">
        <f>IFERROR(HistoricalFS!E34,0)</f>
        <v>0.1371219580813054</v>
      </c>
      <c r="F15" s="15">
        <f>IFERROR(HistoricalFS!F34,0)</f>
        <v>0.14596794708725516</v>
      </c>
      <c r="G15" s="15">
        <f>IFERROR(HistoricalFS!G34,0)</f>
        <v>0.15916346178015736</v>
      </c>
      <c r="H15" s="15">
        <f>IFERROR(HistoricalFS!H34,0)</f>
        <v>0.16647529131581185</v>
      </c>
      <c r="I15" s="15">
        <f>IFERROR(HistoricalFS!I34,0)</f>
        <v>0.16537009495481067</v>
      </c>
      <c r="J15" s="15">
        <f>IFERROR(HistoricalFS!J34,0)</f>
        <v>0.16003631561571477</v>
      </c>
      <c r="K15" s="15">
        <f>IFERROR(HistoricalFS!K34,0)</f>
        <v>0.15291779759596744</v>
      </c>
      <c r="L15" s="15">
        <f>IFERROR(HistoricalFS!L34,0)</f>
        <v>0.14811235563441644</v>
      </c>
      <c r="N15" s="15">
        <f t="shared" si="2"/>
        <v>0.14661566133863307</v>
      </c>
      <c r="O15" s="15">
        <f t="shared" si="3"/>
        <v>0.15051507661519192</v>
      </c>
    </row>
    <row r="16" spans="2:15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  <c r="O16" s="35"/>
    </row>
    <row r="17" spans="2:15" x14ac:dyDescent="0.25">
      <c r="B17" t="s">
        <v>100</v>
      </c>
      <c r="C17" s="15">
        <f>IFERROR(HistoricalFS!C16,0)</f>
        <v>0.25023302056794877</v>
      </c>
      <c r="D17" s="15">
        <f>IFERROR(HistoricalFS!D16,0)</f>
        <v>0.24603461793619202</v>
      </c>
      <c r="E17" s="15">
        <f>IFERROR(HistoricalFS!E16,0)</f>
        <v>0.24566043044028696</v>
      </c>
      <c r="F17" s="15">
        <f>IFERROR(HistoricalFS!F16,0)</f>
        <v>0.23782752480284916</v>
      </c>
      <c r="G17" s="15">
        <f>IFERROR(HistoricalFS!G16,0)</f>
        <v>0.23396928336224015</v>
      </c>
      <c r="H17" s="15">
        <f>IFERROR(HistoricalFS!H16,0)</f>
        <v>0.21478693544271499</v>
      </c>
      <c r="I17" s="15">
        <f>IFERROR(HistoricalFS!I16,0)</f>
        <v>0.20064447240971667</v>
      </c>
      <c r="J17" s="15">
        <f>IFERROR(HistoricalFS!J16,0)</f>
        <v>0.18243644767249917</v>
      </c>
      <c r="K17" s="15">
        <f>IFERROR(HistoricalFS!K16,0)</f>
        <v>0.21949722114514669</v>
      </c>
      <c r="L17" s="15">
        <f>IFERROR(HistoricalFS!L16,0)</f>
        <v>0.21781974303322191</v>
      </c>
      <c r="N17" s="15">
        <f t="shared" ref="N17:N40" si="4">IFERROR(AVERAGE(C17:L17),0)</f>
        <v>0.22489096968128167</v>
      </c>
      <c r="O17" s="15">
        <f t="shared" ref="O17:O40" si="5">IFERROR(MEDIAN(C17:L17),0)</f>
        <v>0.22673325225369342</v>
      </c>
    </row>
    <row r="18" spans="2:15" x14ac:dyDescent="0.25">
      <c r="B18" t="s">
        <v>69</v>
      </c>
      <c r="C18" s="15">
        <f>IFERROR(HistoricalFS!C25,0)</f>
        <v>1.0967501398123409E-2</v>
      </c>
      <c r="D18" s="15">
        <f>IFERROR(HistoricalFS!D25,0)</f>
        <v>1.3026958567034558E-2</v>
      </c>
      <c r="E18" s="15">
        <f>IFERROR(HistoricalFS!E25,0)</f>
        <v>1.4629343086228723E-2</v>
      </c>
      <c r="F18" s="15">
        <f>IFERROR(HistoricalFS!F25,0)</f>
        <v>1.437293309590435E-2</v>
      </c>
      <c r="G18" s="15">
        <f>IFERROR(HistoricalFS!G25,0)</f>
        <v>2.5186637508483524E-2</v>
      </c>
      <c r="H18" s="15">
        <f>IFERROR(HistoricalFS!H25,0)</f>
        <v>2.2837458535340648E-2</v>
      </c>
      <c r="I18" s="15">
        <f>IFERROR(HistoricalFS!I25,0)</f>
        <v>2.0802349082866187E-2</v>
      </c>
      <c r="J18" s="15">
        <f>IFERROR(HistoricalFS!J25,0)</f>
        <v>1.8768570485308684E-2</v>
      </c>
      <c r="K18" s="15">
        <f>IFERROR(HistoricalFS!K25,0)</f>
        <v>1.9645857567532635E-2</v>
      </c>
      <c r="L18" s="15">
        <f>IFERROR(HistoricalFS!L25,0)</f>
        <v>2.1466706801223048E-2</v>
      </c>
      <c r="N18" s="15">
        <f t="shared" si="4"/>
        <v>1.8170431612804579E-2</v>
      </c>
      <c r="O18" s="15">
        <f t="shared" si="5"/>
        <v>1.9207214026420658E-2</v>
      </c>
    </row>
    <row r="19" spans="2:15" x14ac:dyDescent="0.25">
      <c r="B19" t="s">
        <v>101</v>
      </c>
      <c r="C19" s="15">
        <f>IFERROR(C13,0)</f>
        <v>0.17265270614552911</v>
      </c>
      <c r="D19" s="15">
        <f t="shared" ref="D19:L19" si="6">IFERROR(D13,0)</f>
        <v>0.17779386044267534</v>
      </c>
      <c r="E19" s="15">
        <f t="shared" si="6"/>
        <v>0.19634266422844282</v>
      </c>
      <c r="F19" s="15">
        <f t="shared" si="6"/>
        <v>0.21152378529636226</v>
      </c>
      <c r="G19" s="15">
        <f t="shared" si="6"/>
        <v>0.22268305557650253</v>
      </c>
      <c r="H19" s="15">
        <f t="shared" si="6"/>
        <v>0.22437696691332823</v>
      </c>
      <c r="I19" s="15">
        <f t="shared" si="6"/>
        <v>0.22434504061320215</v>
      </c>
      <c r="J19" s="15">
        <f t="shared" si="6"/>
        <v>0.21475734565863322</v>
      </c>
      <c r="K19" s="15">
        <f t="shared" si="6"/>
        <v>0.21718689414501746</v>
      </c>
      <c r="L19" s="15">
        <f t="shared" si="6"/>
        <v>0.21368482755342913</v>
      </c>
      <c r="N19" s="15">
        <f t="shared" si="4"/>
        <v>0.20753471465731224</v>
      </c>
      <c r="O19" s="15">
        <f t="shared" si="5"/>
        <v>0.21422108660603117</v>
      </c>
    </row>
    <row r="20" spans="2:15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5"/>
    </row>
    <row r="21" spans="2:15" x14ac:dyDescent="0.25">
      <c r="B21" t="s">
        <v>102</v>
      </c>
      <c r="C21" s="15">
        <f>IFERROR((HistoricalFS!C18-HistoricalFS!C24)/SUM(HistoricalFS!C47:C49),0)</f>
        <v>0.82325925925925925</v>
      </c>
      <c r="D21" s="15">
        <f>IFERROR((HistoricalFS!D18-HistoricalFS!D24)/SUM(HistoricalFS!D47:D49),0)</f>
        <v>0.83976641504059246</v>
      </c>
      <c r="E21" s="15">
        <f>IFERROR((HistoricalFS!E18-HistoricalFS!E24)/SUM(HistoricalFS!E47:E49),0)</f>
        <v>0.95852218101909081</v>
      </c>
      <c r="F21" s="15">
        <f>IFERROR((HistoricalFS!F18-HistoricalFS!F24)/SUM(HistoricalFS!F47:F49),0)</f>
        <v>1.0438111975897564</v>
      </c>
      <c r="G21" s="15">
        <f>IFERROR((HistoricalFS!G18-HistoricalFS!G24)/SUM(HistoricalFS!G47:G49),0)</f>
        <v>1.0765585125774699</v>
      </c>
      <c r="H21" s="15">
        <f>IFERROR((HistoricalFS!H18-HistoricalFS!H24)/SUM(HistoricalFS!H47:H49),0)</f>
        <v>0.22133657758946176</v>
      </c>
      <c r="I21" s="15">
        <f>IFERROR((HistoricalFS!I18-HistoricalFS!I24)/SUM(HistoricalFS!I47:I49),0)</f>
        <v>0.23483155037521955</v>
      </c>
      <c r="J21" s="15">
        <f>IFERROR((HistoricalFS!J18-HistoricalFS!J24)/SUM(HistoricalFS!J47:J49),0)</f>
        <v>0.25250858839741475</v>
      </c>
      <c r="K21" s="15">
        <f>IFERROR((HistoricalFS!K18-HistoricalFS!K24)/SUM(HistoricalFS!K47:K49),0)</f>
        <v>0.25507570870175705</v>
      </c>
      <c r="L21" s="15">
        <f>IFERROR((HistoricalFS!L18-HistoricalFS!L24)/SUM(HistoricalFS!L47:L49),0)</f>
        <v>0.26421155729676787</v>
      </c>
      <c r="N21" s="15">
        <f t="shared" si="4"/>
        <v>0.59698815478467915</v>
      </c>
      <c r="O21" s="15">
        <f t="shared" si="5"/>
        <v>0.54373540827801348</v>
      </c>
    </row>
    <row r="22" spans="2:15" x14ac:dyDescent="0.25">
      <c r="B22" t="s">
        <v>103</v>
      </c>
      <c r="C22" s="15">
        <f>IFERROR(HistoricalFS!C44,0)</f>
        <v>5.7025920873124192E-2</v>
      </c>
      <c r="D22" s="15">
        <f>IFERROR(HistoricalFS!D44,0)</f>
        <v>5.4582904222451045E-2</v>
      </c>
      <c r="E22" s="15">
        <f>IFERROR(HistoricalFS!E44,0)</f>
        <v>0.11366434140336479</v>
      </c>
      <c r="F22" s="15">
        <f>IFERROR(HistoricalFS!F44,0)</f>
        <v>0.17183687696061345</v>
      </c>
      <c r="G22" s="15">
        <f>IFERROR(HistoricalFS!G44,0)</f>
        <v>0.14718888186986734</v>
      </c>
      <c r="H22" s="15">
        <f>IFERROR(HistoricalFS!H44,0)</f>
        <v>0</v>
      </c>
      <c r="I22" s="15">
        <f>IFERROR(HistoricalFS!I44,0)</f>
        <v>7.8750144125446675E-2</v>
      </c>
      <c r="J22" s="15">
        <f>IFERROR(HistoricalFS!J44,0)</f>
        <v>5.4667354306343507E-2</v>
      </c>
      <c r="K22" s="15">
        <f>IFERROR(HistoricalFS!K44,0)</f>
        <v>0</v>
      </c>
      <c r="L22" s="15">
        <f>IFERROR(HistoricalFS!L44,0)</f>
        <v>0</v>
      </c>
      <c r="N22" s="15">
        <f t="shared" si="4"/>
        <v>6.77716423761211E-2</v>
      </c>
      <c r="O22" s="15">
        <f t="shared" si="5"/>
        <v>5.584663758973385E-2</v>
      </c>
    </row>
    <row r="23" spans="2:15" x14ac:dyDescent="0.25">
      <c r="B23" t="s">
        <v>104</v>
      </c>
      <c r="C23" s="15">
        <f>IFERROR(HistoricalFS!C33/SUM(HistoricalFS!C47:C48),0)</f>
        <v>0.55758405598661187</v>
      </c>
      <c r="D23" s="15">
        <f>IFERROR(HistoricalFS!D33/SUM(HistoricalFS!D47:D48),0)</f>
        <v>0.57591933570581255</v>
      </c>
      <c r="E23" s="15">
        <f>IFERROR(HistoricalFS!E33/SUM(HistoricalFS!E47:E48),0)</f>
        <v>0.6694135420958659</v>
      </c>
      <c r="F23" s="15">
        <f>IFERROR(HistoricalFS!F33/SUM(HistoricalFS!F47:F48),0)</f>
        <v>0.72937587390364811</v>
      </c>
      <c r="G23" s="15">
        <f>IFERROR(HistoricalFS!G33/SUM(HistoricalFS!G47:G48),0)</f>
        <v>0.76947381212784061</v>
      </c>
      <c r="H23" s="15">
        <f>IFERROR(HistoricalFS!H33/SUM(HistoricalFS!H47:H48),0)</f>
        <v>0.16421949070772329</v>
      </c>
      <c r="I23" s="15">
        <f>IFERROR(HistoricalFS!I33/SUM(HistoricalFS!I47:I48),0)</f>
        <v>0.1767799270296162</v>
      </c>
      <c r="J23" s="15">
        <f>IFERROR(HistoricalFS!J33/SUM(HistoricalFS!J47:J48),0)</f>
        <v>0.19272821246819338</v>
      </c>
      <c r="K23" s="15">
        <f>IFERROR(HistoricalFS!K33/SUM(HistoricalFS!K47:K48),0)</f>
        <v>0.18479831309305322</v>
      </c>
      <c r="L23" s="15">
        <f>IFERROR(HistoricalFS!L33/SUM(HistoricalFS!L47:L48),0)</f>
        <v>0.18924335047164081</v>
      </c>
      <c r="N23" s="15">
        <f t="shared" si="4"/>
        <v>0.42095359135900062</v>
      </c>
      <c r="O23" s="15">
        <f t="shared" si="5"/>
        <v>0.37515613422740263</v>
      </c>
    </row>
    <row r="24" spans="2:15" x14ac:dyDescent="0.25">
      <c r="B24" t="s">
        <v>105</v>
      </c>
      <c r="C24" s="15">
        <f>IFERROR(C22*C23,0)</f>
        <v>3.1796744256808181E-2</v>
      </c>
      <c r="D24" s="15">
        <f t="shared" ref="D24:L24" si="7">IFERROR(D22*D23,0)</f>
        <v>3.1435349940687994E-2</v>
      </c>
      <c r="E24" s="15">
        <f t="shared" si="7"/>
        <v>7.6088449388820215E-2</v>
      </c>
      <c r="F24" s="15">
        <f t="shared" si="7"/>
        <v>0.12533367230202108</v>
      </c>
      <c r="G24" s="15">
        <f t="shared" si="7"/>
        <v>0.11325799003524123</v>
      </c>
      <c r="H24" s="15">
        <f t="shared" si="7"/>
        <v>0</v>
      </c>
      <c r="I24" s="15">
        <f t="shared" si="7"/>
        <v>1.3921444732068222E-2</v>
      </c>
      <c r="J24" s="15">
        <f t="shared" si="7"/>
        <v>1.0535941475826979E-2</v>
      </c>
      <c r="K24" s="15">
        <f t="shared" si="7"/>
        <v>0</v>
      </c>
      <c r="L24" s="15">
        <f t="shared" si="7"/>
        <v>0</v>
      </c>
      <c r="N24" s="15">
        <f t="shared" si="4"/>
        <v>4.0236959213147391E-2</v>
      </c>
      <c r="O24" s="15">
        <f t="shared" si="5"/>
        <v>2.2678397336378109E-2</v>
      </c>
    </row>
    <row r="25" spans="2:15" x14ac:dyDescent="0.25">
      <c r="B25" t="s">
        <v>106</v>
      </c>
      <c r="C25" s="30">
        <f>IFERROR((HistoricalFS!C18-HistoricalFS!C24)/HistoricalFS!C21,0)</f>
        <v>326.88235294117646</v>
      </c>
      <c r="D25" s="30">
        <f>IFERROR((HistoricalFS!D18-HistoricalFS!D24)/HistoricalFS!D21,0)</f>
        <v>168.45714285714286</v>
      </c>
      <c r="E25" s="30">
        <f>IFERROR((HistoricalFS!E18-HistoricalFS!E24)/HistoricalFS!E21,0)</f>
        <v>268.42307692307691</v>
      </c>
      <c r="F25" s="30">
        <f>IFERROR((HistoricalFS!F18-HistoricalFS!F24)/HistoricalFS!F21,0)</f>
        <v>251.96969696969697</v>
      </c>
      <c r="G25" s="30">
        <f>IFERROR((HistoricalFS!G18-HistoricalFS!G24)/HistoricalFS!G21,0)</f>
        <v>75.076271186440678</v>
      </c>
      <c r="H25" s="30">
        <f>IFERROR((HistoricalFS!H18-HistoricalFS!H24)/HistoricalFS!H21,0)</f>
        <v>90.188034188034194</v>
      </c>
      <c r="I25" s="30">
        <f>IFERROR((HistoricalFS!I18-HistoricalFS!I24)/HistoricalFS!I21,0)</f>
        <v>111</v>
      </c>
      <c r="J25" s="30">
        <f>IFERROR((HistoricalFS!J18-HistoricalFS!J24)/HistoricalFS!J21,0)</f>
        <v>114.12280701754386</v>
      </c>
      <c r="K25" s="30">
        <f>IFERROR((HistoricalFS!K18-HistoricalFS!K24)/HistoricalFS!K21,0)</f>
        <v>40.248502994011979</v>
      </c>
      <c r="L25" s="30">
        <f>IFERROR((HistoricalFS!L18-HistoricalFS!L24)/HistoricalFS!L21,0)</f>
        <v>34.146835443037972</v>
      </c>
      <c r="N25" s="30">
        <f t="shared" si="4"/>
        <v>148.05147205201621</v>
      </c>
      <c r="O25" s="30">
        <f t="shared" si="5"/>
        <v>112.56140350877193</v>
      </c>
    </row>
    <row r="26" spans="2:15" x14ac:dyDescent="0.2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5"/>
      <c r="O26" s="35"/>
    </row>
    <row r="27" spans="2:15" x14ac:dyDescent="0.25">
      <c r="B27" t="s">
        <v>107</v>
      </c>
      <c r="C27" s="30">
        <f>IFERROR(HistoricalFS!C6/HistoricalFS!C59,0)</f>
        <v>25.463607594936708</v>
      </c>
      <c r="D27" s="30">
        <f>IFERROR(HistoricalFS!D6/HistoricalFS!D59,0)</f>
        <v>30.56405529953917</v>
      </c>
      <c r="E27" s="30">
        <f>IFERROR(HistoricalFS!E6/HistoricalFS!E59,0)</f>
        <v>27.133587786259543</v>
      </c>
      <c r="F27" s="30">
        <f>IFERROR(HistoricalFS!F6/HistoricalFS!F59,0)</f>
        <v>21.646475770925111</v>
      </c>
      <c r="G27" s="30">
        <f>IFERROR(HistoricalFS!G6/HistoricalFS!G59,0)</f>
        <v>34.624020887728463</v>
      </c>
      <c r="H27" s="30">
        <f>IFERROR(HistoricalFS!H6/HistoricalFS!H59,0)</f>
        <v>26.750853242320819</v>
      </c>
      <c r="I27" s="30">
        <f>IFERROR(HistoricalFS!I6/HistoricalFS!I59,0)</f>
        <v>23.455277280858677</v>
      </c>
      <c r="J27" s="30">
        <f>IFERROR(HistoricalFS!J6/HistoricalFS!J59,0)</f>
        <v>19.67521922702176</v>
      </c>
      <c r="K27" s="30">
        <f>IFERROR(HistoricalFS!K6/HistoricalFS!K59,0)</f>
        <v>20.652652652652652</v>
      </c>
      <c r="L27" s="30">
        <f>IFERROR(HistoricalFS!L6/HistoricalFS!L59,0)</f>
        <v>16.52814873003404</v>
      </c>
      <c r="N27" s="30">
        <f t="shared" si="4"/>
        <v>24.649389847227695</v>
      </c>
      <c r="O27" s="30">
        <f t="shared" si="5"/>
        <v>24.459442437897692</v>
      </c>
    </row>
    <row r="28" spans="2:15" x14ac:dyDescent="0.25">
      <c r="B28" t="s">
        <v>108</v>
      </c>
      <c r="C28" s="30">
        <f>IFERROR(HistoricalFS!C6/HistoricalFS!C50,0)</f>
        <v>4.0017406440382945</v>
      </c>
      <c r="D28" s="30">
        <f>IFERROR(HistoricalFS!D6/HistoricalFS!D50,0)</f>
        <v>3.818307426597582</v>
      </c>
      <c r="E28" s="30">
        <f>IFERROR(HistoricalFS!E6/HistoricalFS!E50,0)</f>
        <v>3.3593233153766184</v>
      </c>
      <c r="F28" s="30">
        <f>IFERROR(HistoricalFS!F6/HistoricalFS!F50,0)</f>
        <v>3.6865797617931162</v>
      </c>
      <c r="G28" s="30">
        <f>IFERROR(HistoricalFS!G6/HistoricalFS!G50,0)</f>
        <v>3.3363804092586382</v>
      </c>
      <c r="H28" s="30">
        <f>IFERROR(HistoricalFS!H6/HistoricalFS!H50,0)</f>
        <v>2.2324124181144973</v>
      </c>
      <c r="I28" s="30">
        <f>IFERROR(HistoricalFS!I6/HistoricalFS!I50,0)</f>
        <v>2.5706303303597688</v>
      </c>
      <c r="J28" s="30">
        <f>IFERROR(HistoricalFS!J6/HistoricalFS!J50,0)</f>
        <v>2.8106151990349817</v>
      </c>
      <c r="K28" s="30">
        <f>IFERROR(HistoricalFS!K6/HistoricalFS!K50,0)</f>
        <v>2.4002792104548805</v>
      </c>
      <c r="L28" s="30">
        <f>IFERROR(HistoricalFS!L6/HistoricalFS!L50,0)</f>
        <v>2.1907125255960853</v>
      </c>
      <c r="N28" s="30">
        <f t="shared" si="4"/>
        <v>3.040698124062446</v>
      </c>
      <c r="O28" s="30">
        <f t="shared" si="5"/>
        <v>3.0734978041468102</v>
      </c>
    </row>
    <row r="29" spans="2:15" x14ac:dyDescent="0.25">
      <c r="B29" t="s">
        <v>109</v>
      </c>
      <c r="C29" s="30">
        <f>IFERROR(HistoricalFS!C6/HistoricalFS!C60,0)</f>
        <v>11.807043286867204</v>
      </c>
      <c r="D29" s="30">
        <f>IFERROR(HistoricalFS!D6/HistoricalFS!D60,0)</f>
        <v>13.050767414403778</v>
      </c>
      <c r="E29" s="30">
        <f>IFERROR(HistoricalFS!E6/HistoricalFS!E60,0)</f>
        <v>14.144448865897333</v>
      </c>
      <c r="F29" s="30">
        <f>IFERROR(HistoricalFS!F6/HistoricalFS!F60,0)</f>
        <v>15.271950271950272</v>
      </c>
      <c r="G29" s="30">
        <f>IFERROR(HistoricalFS!G6/HistoricalFS!G60,0)</f>
        <v>14.377665341525118</v>
      </c>
      <c r="H29" s="30">
        <f>IFERROR(HistoricalFS!H6/HistoricalFS!H60,0)</f>
        <v>13.139983235540655</v>
      </c>
      <c r="I29" s="30">
        <f>IFERROR(HistoricalFS!I6/HistoricalFS!I60,0)</f>
        <v>12.80419921875</v>
      </c>
      <c r="J29" s="30">
        <f>IFERROR(HistoricalFS!J6/HistoricalFS!J60,0)</f>
        <v>14.250764525993883</v>
      </c>
      <c r="K29" s="30">
        <f>IFERROR(HistoricalFS!K6/HistoricalFS!K60,0)</f>
        <v>15.389358528095475</v>
      </c>
      <c r="L29" s="30">
        <f>IFERROR(HistoricalFS!L6/HistoricalFS!L60,0)</f>
        <v>14.296942242355605</v>
      </c>
      <c r="N29" s="30">
        <f t="shared" si="4"/>
        <v>13.853312293137932</v>
      </c>
      <c r="O29" s="30">
        <f t="shared" si="5"/>
        <v>14.197606695945609</v>
      </c>
    </row>
    <row r="30" spans="2:15" x14ac:dyDescent="0.25">
      <c r="B30" t="s">
        <v>110</v>
      </c>
      <c r="C30" s="30">
        <f>IFERROR(HistoricalFS!C6/HistoricalFS!C53,0)</f>
        <v>9.8790669122160839</v>
      </c>
      <c r="D30" s="30">
        <f>IFERROR(HistoricalFS!D6/HistoricalFS!D53,0)</f>
        <v>7.5044127630685677</v>
      </c>
      <c r="E30" s="30">
        <f>IFERROR(HistoricalFS!E6/HistoricalFS!E53,0)</f>
        <v>7.8500441696113077</v>
      </c>
      <c r="F30" s="30">
        <f>IFERROR(HistoricalFS!F6/HistoricalFS!F53,0)</f>
        <v>8.3372216330858961</v>
      </c>
      <c r="G30" s="30">
        <f>IFERROR(HistoricalFS!G6/HistoricalFS!G53,0)</f>
        <v>7.2609965322139081</v>
      </c>
      <c r="H30" s="30">
        <f>IFERROR(HistoricalFS!H6/HistoricalFS!H53,0)</f>
        <v>0.91417685593763975</v>
      </c>
      <c r="I30" s="30">
        <f>IFERROR(HistoricalFS!I6/HistoricalFS!I53,0)</f>
        <v>1.018903114254075</v>
      </c>
      <c r="J30" s="30">
        <f>IFERROR(HistoricalFS!J6/HistoricalFS!J53,0)</f>
        <v>1.1500056949770303</v>
      </c>
      <c r="K30" s="30">
        <f>IFERROR(HistoricalFS!K6/HistoricalFS!K53,0)</f>
        <v>1.1516820482286394</v>
      </c>
      <c r="L30" s="30">
        <f>IFERROR(HistoricalFS!L6/HistoricalFS!L53,0)</f>
        <v>1.1617005613324745</v>
      </c>
      <c r="N30" s="30">
        <f t="shared" si="4"/>
        <v>4.6228210284925622</v>
      </c>
      <c r="O30" s="30">
        <f t="shared" si="5"/>
        <v>4.2113485467731913</v>
      </c>
    </row>
    <row r="31" spans="2:15" x14ac:dyDescent="0.25">
      <c r="B31" t="s">
        <v>111</v>
      </c>
      <c r="C31" s="30">
        <f>IFERROR(HistoricalFS!C6/SUM(HistoricalFS!C47:C48),0)</f>
        <v>4.8966986155484555</v>
      </c>
      <c r="D31" s="30">
        <f>IFERROR(HistoricalFS!D6/SUM(HistoricalFS!D47:D48),0)</f>
        <v>4.9172597864768681</v>
      </c>
      <c r="E31" s="30">
        <f>IFERROR(HistoricalFS!E6/SUM(HistoricalFS!E47:E48),0)</f>
        <v>4.8818843565444308</v>
      </c>
      <c r="F31" s="30">
        <f>IFERROR(HistoricalFS!F6/SUM(HistoricalFS!F47:F48),0)</f>
        <v>4.9968221685521801</v>
      </c>
      <c r="G31" s="30">
        <f>IFERROR(HistoricalFS!G6/SUM(HistoricalFS!G47:G48),0)</f>
        <v>4.8344877870944218</v>
      </c>
      <c r="H31" s="30">
        <f>IFERROR(HistoricalFS!H6/SUM(HistoricalFS!H47:H48),0)</f>
        <v>0.98644963711876499</v>
      </c>
      <c r="I31" s="30">
        <f>IFERROR(HistoricalFS!I6/SUM(HistoricalFS!I47:I48),0)</f>
        <v>1.0689957399971464</v>
      </c>
      <c r="J31" s="30">
        <f>IFERROR(HistoricalFS!J6/SUM(HistoricalFS!J47:J48),0)</f>
        <v>1.2042779898218829</v>
      </c>
      <c r="K31" s="30">
        <f>IFERROR(HistoricalFS!K6/SUM(HistoricalFS!K47:K48),0)</f>
        <v>1.2084813932601819</v>
      </c>
      <c r="L31" s="30">
        <f>IFERROR(HistoricalFS!L6/SUM(HistoricalFS!L47:L48),0)</f>
        <v>1.2777013076393668</v>
      </c>
      <c r="N31" s="30">
        <f t="shared" si="4"/>
        <v>3.0273058782053694</v>
      </c>
      <c r="O31" s="30">
        <f t="shared" si="5"/>
        <v>3.0560945473668943</v>
      </c>
    </row>
    <row r="32" spans="2:15" x14ac:dyDescent="0.2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  <c r="O32" s="35"/>
    </row>
    <row r="33" spans="2:15" x14ac:dyDescent="0.25">
      <c r="B33" t="s">
        <v>112</v>
      </c>
      <c r="C33" s="31">
        <f>IFERROR(365/C27,)</f>
        <v>14.334182563847637</v>
      </c>
      <c r="D33" s="31">
        <f t="shared" ref="D33:L33" si="8">IFERROR(365/D27,)</f>
        <v>11.942132561365419</v>
      </c>
      <c r="E33" s="31">
        <f t="shared" si="8"/>
        <v>13.4519623013082</v>
      </c>
      <c r="F33" s="31">
        <f t="shared" si="8"/>
        <v>16.861867209361485</v>
      </c>
      <c r="G33" s="31">
        <f t="shared" si="8"/>
        <v>10.541814342809742</v>
      </c>
      <c r="H33" s="31">
        <f t="shared" si="8"/>
        <v>13.644424598111764</v>
      </c>
      <c r="I33" s="31">
        <f t="shared" si="8"/>
        <v>15.561529954619989</v>
      </c>
      <c r="J33" s="31">
        <f t="shared" si="8"/>
        <v>18.551254539451964</v>
      </c>
      <c r="K33" s="31">
        <f t="shared" si="8"/>
        <v>17.673274525009695</v>
      </c>
      <c r="L33" s="31">
        <f t="shared" si="8"/>
        <v>22.08353796676225</v>
      </c>
      <c r="N33" s="31">
        <f t="shared" si="4"/>
        <v>15.464598056264816</v>
      </c>
      <c r="O33" s="31">
        <f t="shared" si="5"/>
        <v>14.947856259233813</v>
      </c>
    </row>
    <row r="34" spans="2:15" x14ac:dyDescent="0.25">
      <c r="B34" t="s">
        <v>113</v>
      </c>
      <c r="C34" s="31">
        <f>IFERROR(365/C28,0)</f>
        <v>91.210308829926049</v>
      </c>
      <c r="D34" s="31">
        <f t="shared" ref="D34:L34" si="9">IFERROR(365/D28,0)</f>
        <v>95.592093359869736</v>
      </c>
      <c r="E34" s="31">
        <f t="shared" si="9"/>
        <v>108.65283443522296</v>
      </c>
      <c r="F34" s="31">
        <f t="shared" si="9"/>
        <v>99.007758839989833</v>
      </c>
      <c r="G34" s="31">
        <f t="shared" si="9"/>
        <v>109.39999497272704</v>
      </c>
      <c r="H34" s="31">
        <f t="shared" si="9"/>
        <v>163.50025516713447</v>
      </c>
      <c r="I34" s="31">
        <f t="shared" si="9"/>
        <v>141.98852152690384</v>
      </c>
      <c r="J34" s="31">
        <f t="shared" si="9"/>
        <v>129.86480686695279</v>
      </c>
      <c r="K34" s="31">
        <f t="shared" si="9"/>
        <v>152.06564236784283</v>
      </c>
      <c r="L34" s="31">
        <f t="shared" si="9"/>
        <v>166.61245861123871</v>
      </c>
      <c r="N34" s="31">
        <f t="shared" si="4"/>
        <v>125.78946749778083</v>
      </c>
      <c r="O34" s="31">
        <f t="shared" si="5"/>
        <v>119.63240091983991</v>
      </c>
    </row>
    <row r="35" spans="2:15" x14ac:dyDescent="0.25">
      <c r="B35" t="s">
        <v>114</v>
      </c>
      <c r="C35" s="31">
        <f>IFERROR(365/C29,0)</f>
        <v>30.913751320449887</v>
      </c>
      <c r="D35" s="31">
        <f t="shared" ref="D35:L35" si="10">IFERROR(365/D29,0)</f>
        <v>27.967703998552562</v>
      </c>
      <c r="E35" s="31">
        <f t="shared" si="10"/>
        <v>25.805176536784359</v>
      </c>
      <c r="F35" s="31">
        <f t="shared" si="10"/>
        <v>23.90002543881964</v>
      </c>
      <c r="G35" s="31">
        <f t="shared" si="10"/>
        <v>25.386597290299875</v>
      </c>
      <c r="H35" s="31">
        <f t="shared" si="10"/>
        <v>27.777813217657563</v>
      </c>
      <c r="I35" s="31">
        <f t="shared" si="10"/>
        <v>28.506273119017656</v>
      </c>
      <c r="J35" s="31">
        <f t="shared" si="10"/>
        <v>25.612660944206009</v>
      </c>
      <c r="K35" s="31">
        <f t="shared" si="10"/>
        <v>23.717687734263926</v>
      </c>
      <c r="L35" s="31">
        <f t="shared" si="10"/>
        <v>25.529934570111376</v>
      </c>
      <c r="N35" s="31">
        <f t="shared" si="4"/>
        <v>26.511762417016286</v>
      </c>
      <c r="O35" s="31">
        <f t="shared" si="5"/>
        <v>25.708918740495186</v>
      </c>
    </row>
    <row r="36" spans="2:15" x14ac:dyDescent="0.25">
      <c r="B36" t="s">
        <v>118</v>
      </c>
      <c r="C36" s="31">
        <f>IFERROR(SUM(C33,C35)-C34,0)</f>
        <v>-45.962374945628525</v>
      </c>
      <c r="D36" s="31">
        <f t="shared" ref="D36:L36" si="11">IFERROR(SUM(D33,D35)-D34,0)</f>
        <v>-55.682256799951759</v>
      </c>
      <c r="E36" s="31">
        <f t="shared" si="11"/>
        <v>-69.395695597130398</v>
      </c>
      <c r="F36" s="31">
        <f t="shared" si="11"/>
        <v>-58.245866191808709</v>
      </c>
      <c r="G36" s="31">
        <f t="shared" si="11"/>
        <v>-73.471583339617425</v>
      </c>
      <c r="H36" s="31">
        <f t="shared" si="11"/>
        <v>-122.07801735136513</v>
      </c>
      <c r="I36" s="31">
        <f t="shared" si="11"/>
        <v>-97.92071845326619</v>
      </c>
      <c r="J36" s="31">
        <f t="shared" si="11"/>
        <v>-85.700891383294817</v>
      </c>
      <c r="K36" s="31">
        <f t="shared" si="11"/>
        <v>-110.67468010856921</v>
      </c>
      <c r="L36" s="31">
        <f t="shared" si="11"/>
        <v>-118.99898607436508</v>
      </c>
      <c r="N36" s="31">
        <f t="shared" si="4"/>
        <v>-83.813107024499715</v>
      </c>
      <c r="O36" s="31">
        <f t="shared" si="5"/>
        <v>-79.586237361456114</v>
      </c>
    </row>
    <row r="37" spans="2:15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  <c r="O37" s="35"/>
    </row>
    <row r="38" spans="2:15" x14ac:dyDescent="0.25">
      <c r="B38" t="s">
        <v>115</v>
      </c>
      <c r="C38" s="15">
        <f>IFERROR(HistoricalFS!C70/HistoricalFS!C6,0)</f>
        <v>0.1295905051885913</v>
      </c>
      <c r="D38" s="15">
        <f>IFERROR(HistoricalFS!D70/HistoricalFS!D6,0)</f>
        <v>0.15635365780109764</v>
      </c>
      <c r="E38" s="15">
        <f>IFERROR(HistoricalFS!E70/HistoricalFS!E6,0)</f>
        <v>0.17045998030665355</v>
      </c>
      <c r="F38" s="15">
        <f>IFERROR(HistoricalFS!F70/HistoricalFS!F6,0)</f>
        <v>0.14754515390485881</v>
      </c>
      <c r="G38" s="15">
        <f>IFERROR(HistoricalFS!G70/HistoricalFS!G6,0)</f>
        <v>0.19161450870975039</v>
      </c>
      <c r="H38" s="15">
        <f>IFERROR(HistoricalFS!H70/HistoricalFS!H6,0)</f>
        <v>0.19484137109806923</v>
      </c>
      <c r="I38" s="15">
        <f>IFERROR(HistoricalFS!I70/HistoricalFS!I6,0)</f>
        <v>0.1725203066010754</v>
      </c>
      <c r="J38" s="15">
        <f>IFERROR(HistoricalFS!J70/HistoricalFS!J6,0)</f>
        <v>0.16492241663915483</v>
      </c>
      <c r="K38" s="15">
        <f>IFERROR(HistoricalFS!K70/HistoricalFS!K6,0)</f>
        <v>0.2499192193356598</v>
      </c>
      <c r="L38" s="15">
        <f>IFERROR(HistoricalFS!L70/HistoricalFS!L6,0)</f>
        <v>0.18830500150504587</v>
      </c>
      <c r="N38" s="15">
        <f t="shared" si="4"/>
        <v>0.17660721210899566</v>
      </c>
      <c r="O38" s="15">
        <f t="shared" si="5"/>
        <v>0.17149014345386449</v>
      </c>
    </row>
    <row r="39" spans="2:15" x14ac:dyDescent="0.25">
      <c r="B39" t="s">
        <v>116</v>
      </c>
      <c r="C39" s="15">
        <f>IFERROR(HistoricalFS!C70/HistoricalFS!C64,0)</f>
        <v>0.28195768268775773</v>
      </c>
      <c r="D39" s="15">
        <f>IFERROR(HistoricalFS!D70/HistoricalFS!D64,0)</f>
        <v>0.33012861326881449</v>
      </c>
      <c r="E39" s="15">
        <f>IFERROR(HistoricalFS!E70/HistoricalFS!E64,0)</f>
        <v>0.33921173440824098</v>
      </c>
      <c r="F39" s="15">
        <f>IFERROR(HistoricalFS!F70/HistoricalFS!F64,0)</f>
        <v>0.31134253046325622</v>
      </c>
      <c r="G39" s="15">
        <f>IFERROR(HistoricalFS!G70/HistoricalFS!G64,0)</f>
        <v>0.3782563390065995</v>
      </c>
      <c r="H39" s="15">
        <f>IFERROR(HistoricalFS!H70/HistoricalFS!H64,0)</f>
        <v>0.13329938900203667</v>
      </c>
      <c r="I39" s="15">
        <f>IFERROR(HistoricalFS!I70/HistoricalFS!I64,0)</f>
        <v>0.12832950387201089</v>
      </c>
      <c r="J39" s="15">
        <f>IFERROR(HistoricalFS!J70/HistoricalFS!J64,0)</f>
        <v>0.13671880345389109</v>
      </c>
      <c r="K39" s="15">
        <f>IFERROR(HistoricalFS!K70/HistoricalFS!K64,0)</f>
        <v>0.19708494183898381</v>
      </c>
      <c r="L39" s="15">
        <f>IFERROR(HistoricalFS!L70/HistoricalFS!L64,0)</f>
        <v>0.14882987115435184</v>
      </c>
      <c r="N39" s="15">
        <f t="shared" si="4"/>
        <v>0.23851594091559436</v>
      </c>
      <c r="O39" s="15">
        <f t="shared" si="5"/>
        <v>0.23952131226337076</v>
      </c>
    </row>
    <row r="40" spans="2:15" x14ac:dyDescent="0.25">
      <c r="B40" t="s">
        <v>117</v>
      </c>
      <c r="C40" s="15">
        <f>IFERROR(HistoricalFS!C70/HistoricalFS!C49,0)</f>
        <v>23.564971751412429</v>
      </c>
      <c r="D40" s="15">
        <f>IFERROR(HistoricalFS!D70/HistoricalFS!D49,0)</f>
        <v>18.71841155234657</v>
      </c>
      <c r="E40" s="15">
        <f>IFERROR(HistoricalFS!E70/HistoricalFS!E49,0)</f>
        <v>0</v>
      </c>
      <c r="F40" s="15">
        <f>IFERROR(HistoricalFS!F70/HistoricalFS!F49,0)</f>
        <v>58.585858585858588</v>
      </c>
      <c r="G40" s="15">
        <f>IFERROR(HistoricalFS!G70/HistoricalFS!G49,0)</f>
        <v>0</v>
      </c>
      <c r="H40" s="15">
        <f>IFERROR(HistoricalFS!H70/HistoricalFS!H49,0)</f>
        <v>0</v>
      </c>
      <c r="I40" s="15">
        <f>IFERROR(HistoricalFS!I70/HistoricalFS!I49,0)</f>
        <v>8.6749760306807282</v>
      </c>
      <c r="J40" s="15">
        <f>IFERROR(HistoricalFS!J70/HistoricalFS!J49,0)</f>
        <v>8.1960623461853981</v>
      </c>
      <c r="K40" s="15">
        <f>IFERROR(HistoricalFS!K70/HistoricalFS!K49,0)</f>
        <v>10.423854447439354</v>
      </c>
      <c r="L40" s="15">
        <f>IFERROR(HistoricalFS!L70/HistoricalFS!L49,0)</f>
        <v>7.2123786407766994</v>
      </c>
      <c r="N40" s="15">
        <f t="shared" si="4"/>
        <v>13.537651335469977</v>
      </c>
      <c r="O40" s="15">
        <f t="shared" si="5"/>
        <v>8.4355191884330623</v>
      </c>
    </row>
    <row r="41" spans="2:15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7" tint="-0.249977111117893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>
          <x14:colorSeries theme="7" tint="-0.249977111117893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showGridLines="0" workbookViewId="0">
      <selection activeCell="L10" sqref="L10"/>
    </sheetView>
  </sheetViews>
  <sheetFormatPr defaultRowHeight="15" x14ac:dyDescent="0.25"/>
  <cols>
    <col min="1" max="1" width="1.85546875" customWidth="1"/>
    <col min="2" max="2" width="13" customWidth="1"/>
    <col min="4" max="4" width="9.7109375" bestFit="1" customWidth="1"/>
    <col min="5" max="5" width="12.85546875" customWidth="1"/>
    <col min="8" max="8" width="15.85546875" customWidth="1"/>
    <col min="9" max="9" width="11.42578125" customWidth="1"/>
    <col min="10" max="10" width="9.85546875" customWidth="1"/>
    <col min="11" max="11" width="14.42578125" bestFit="1" customWidth="1"/>
    <col min="13" max="13" width="10" customWidth="1"/>
    <col min="14" max="14" width="15.5703125" customWidth="1"/>
    <col min="15" max="15" width="9.7109375" customWidth="1"/>
    <col min="16" max="16" width="17.140625" customWidth="1"/>
    <col min="17" max="17" width="16.85546875" customWidth="1"/>
  </cols>
  <sheetData>
    <row r="2" spans="2:18" x14ac:dyDescent="0.25">
      <c r="B2" s="46" t="str">
        <f>'Data Sheet'!$B$1&amp;" - "&amp;HistoricalFS!B6&amp;" Forecasting"</f>
        <v>HINDUSTAN UNILEVER LTD - Sales Forecasting</v>
      </c>
      <c r="C2" s="46"/>
      <c r="D2" s="46"/>
      <c r="E2" s="46"/>
      <c r="F2" s="46"/>
      <c r="H2" s="46" t="str">
        <f>'Data Sheet'!$B$1&amp;" - "&amp;HistoricalFS!B18&amp;" Forecasting"</f>
        <v>HINDUSTAN UNILEVER LTD - EBIDTA Forecasting</v>
      </c>
      <c r="I2" s="46"/>
      <c r="J2" s="46"/>
      <c r="K2" s="46"/>
      <c r="L2" s="46"/>
      <c r="N2" s="46" t="str">
        <f>'Data Sheet'!$B$1&amp;" - "&amp;HistoricalFS!B38&amp;" Forecasting"</f>
        <v>HINDUSTAN UNILEVER LTD - Earning Per Share Forecasting</v>
      </c>
      <c r="O2" s="46"/>
      <c r="P2" s="46"/>
      <c r="Q2" s="46"/>
      <c r="R2" s="46"/>
    </row>
    <row r="3" spans="2:18" x14ac:dyDescent="0.25">
      <c r="B3" s="37" t="s">
        <v>119</v>
      </c>
      <c r="C3" s="36" t="s">
        <v>120</v>
      </c>
      <c r="D3" s="36" t="s">
        <v>1</v>
      </c>
      <c r="E3" s="36" t="s">
        <v>10</v>
      </c>
      <c r="H3" s="37" t="s">
        <v>119</v>
      </c>
      <c r="I3" s="36" t="s">
        <v>120</v>
      </c>
      <c r="J3" s="36" t="s">
        <v>66</v>
      </c>
      <c r="K3" s="36" t="s">
        <v>121</v>
      </c>
      <c r="N3" s="37" t="s">
        <v>119</v>
      </c>
      <c r="O3" s="36" t="s">
        <v>120</v>
      </c>
      <c r="P3" s="36" t="s">
        <v>75</v>
      </c>
      <c r="Q3" s="36" t="s">
        <v>122</v>
      </c>
    </row>
    <row r="4" spans="2:18" x14ac:dyDescent="0.25">
      <c r="B4" s="44">
        <v>1</v>
      </c>
      <c r="C4" s="38">
        <f>IFERROR('Data Sheet'!B16,0)</f>
        <v>42460</v>
      </c>
      <c r="D4" s="39">
        <f t="array" ref="D4:D13">TRANSPOSE(HistoricalFS!C6:L6)</f>
        <v>32186</v>
      </c>
      <c r="H4" s="44">
        <v>1</v>
      </c>
      <c r="I4" s="38">
        <f>IFERROR(C4,0)</f>
        <v>42460</v>
      </c>
      <c r="J4" s="39">
        <f t="array" ref="J4:J13">TRANSPOSE(HistoricalFS!C18:L18)</f>
        <v>5910</v>
      </c>
      <c r="N4" s="44">
        <v>1</v>
      </c>
      <c r="O4" s="38">
        <f>IFERROR(C4,0)</f>
        <v>42460</v>
      </c>
      <c r="P4" s="39">
        <f t="array" ref="P4:P13">TRANSPOSE(HistoricalFS!C38:L38)</f>
        <v>16.937011876704101</v>
      </c>
    </row>
    <row r="5" spans="2:18" x14ac:dyDescent="0.25">
      <c r="B5">
        <f>IFERROR(B4+1,0)</f>
        <v>2</v>
      </c>
      <c r="C5" s="38">
        <f>IFERROR(C4+365,0)</f>
        <v>42825</v>
      </c>
      <c r="D5" s="39">
        <v>33162</v>
      </c>
      <c r="E5" s="15">
        <f>IFERROR(D5/D4-1,0)</f>
        <v>3.03237432424035E-2</v>
      </c>
      <c r="H5">
        <f>IFERROR(H4+1,0)</f>
        <v>2</v>
      </c>
      <c r="I5" s="38">
        <f t="shared" ref="I5:I18" si="0">IFERROR(C5,0)</f>
        <v>42825</v>
      </c>
      <c r="J5" s="39">
        <v>6328</v>
      </c>
      <c r="K5" s="15">
        <f>IFERROR(J5/J4-1,0)</f>
        <v>7.0727580372250465E-2</v>
      </c>
      <c r="N5">
        <f>IFERROR(N4+1,0)</f>
        <v>2</v>
      </c>
      <c r="O5" s="38">
        <f t="shared" ref="O5:O18" si="1">IFERROR(C5,0)</f>
        <v>42825</v>
      </c>
      <c r="P5" s="39">
        <v>17.945756133622879</v>
      </c>
      <c r="Q5" s="15">
        <f>IFERROR(P5/P4-1,0)</f>
        <v>5.9558572920778818E-2</v>
      </c>
    </row>
    <row r="6" spans="2:18" x14ac:dyDescent="0.25">
      <c r="B6">
        <f t="shared" ref="B6:B18" si="2">IFERROR(B5+1,0)</f>
        <v>3</v>
      </c>
      <c r="C6" s="38">
        <f t="shared" ref="C6:C18" si="3">IFERROR(C5+365,0)</f>
        <v>43190</v>
      </c>
      <c r="D6" s="39">
        <v>35545</v>
      </c>
      <c r="E6" s="15">
        <f t="shared" ref="E6:E18" si="4">IFERROR(D6/D5-1,0)</f>
        <v>7.1859357095470644E-2</v>
      </c>
      <c r="H6">
        <f t="shared" ref="H6:H18" si="5">IFERROR(H5+1,0)</f>
        <v>3</v>
      </c>
      <c r="I6" s="38">
        <f t="shared" si="0"/>
        <v>43190</v>
      </c>
      <c r="J6" s="39">
        <v>7499</v>
      </c>
      <c r="K6" s="15">
        <f t="shared" ref="K6:K18" si="6">IFERROR(J6/J5-1,0)</f>
        <v>0.1850505689001265</v>
      </c>
      <c r="N6">
        <f t="shared" ref="N6:N18" si="7">IFERROR(N5+1,0)</f>
        <v>3</v>
      </c>
      <c r="O6" s="38">
        <f t="shared" si="1"/>
        <v>43190</v>
      </c>
      <c r="P6" s="39">
        <v>22.51790251790252</v>
      </c>
      <c r="Q6" s="15">
        <f t="shared" ref="Q6:Q18" si="8">IFERROR(P6/P5-1,0)</f>
        <v>0.25477591193348159</v>
      </c>
    </row>
    <row r="7" spans="2:18" x14ac:dyDescent="0.25">
      <c r="B7">
        <f t="shared" si="2"/>
        <v>4</v>
      </c>
      <c r="C7" s="38">
        <f t="shared" si="3"/>
        <v>43555</v>
      </c>
      <c r="D7" s="39">
        <v>39310</v>
      </c>
      <c r="E7" s="15">
        <f t="shared" si="4"/>
        <v>0.1059220706147137</v>
      </c>
      <c r="H7">
        <f t="shared" si="5"/>
        <v>4</v>
      </c>
      <c r="I7" s="38">
        <f t="shared" si="0"/>
        <v>43555</v>
      </c>
      <c r="J7" s="39">
        <v>8880</v>
      </c>
      <c r="K7" s="15">
        <f t="shared" si="6"/>
        <v>0.1841578877183625</v>
      </c>
      <c r="N7">
        <f t="shared" si="7"/>
        <v>4</v>
      </c>
      <c r="O7" s="38">
        <f t="shared" si="1"/>
        <v>43555</v>
      </c>
      <c r="P7" s="39">
        <v>26.507137247655564</v>
      </c>
      <c r="Q7" s="15">
        <f t="shared" si="8"/>
        <v>0.17715836217789205</v>
      </c>
    </row>
    <row r="8" spans="2:18" x14ac:dyDescent="0.25">
      <c r="B8">
        <f t="shared" si="2"/>
        <v>5</v>
      </c>
      <c r="C8" s="38">
        <f t="shared" si="3"/>
        <v>43920</v>
      </c>
      <c r="D8" s="39">
        <v>39783</v>
      </c>
      <c r="E8" s="15">
        <f t="shared" si="4"/>
        <v>1.2032561689137689E-2</v>
      </c>
      <c r="H8">
        <f t="shared" si="5"/>
        <v>5</v>
      </c>
      <c r="I8" s="38">
        <f t="shared" si="0"/>
        <v>43920</v>
      </c>
      <c r="J8" s="39">
        <v>9861</v>
      </c>
      <c r="K8" s="15">
        <f t="shared" si="6"/>
        <v>0.11047297297297298</v>
      </c>
      <c r="N8">
        <f t="shared" si="7"/>
        <v>5</v>
      </c>
      <c r="O8" s="38">
        <f t="shared" si="1"/>
        <v>43920</v>
      </c>
      <c r="P8" s="39">
        <v>29.249815225424982</v>
      </c>
      <c r="Q8" s="15">
        <f t="shared" si="8"/>
        <v>0.10346941475213423</v>
      </c>
    </row>
    <row r="9" spans="2:18" x14ac:dyDescent="0.25">
      <c r="B9">
        <f t="shared" si="2"/>
        <v>6</v>
      </c>
      <c r="C9" s="38">
        <f t="shared" si="3"/>
        <v>44285</v>
      </c>
      <c r="D9" s="39">
        <v>47028</v>
      </c>
      <c r="E9" s="15">
        <f t="shared" si="4"/>
        <v>0.18211296282331646</v>
      </c>
      <c r="H9">
        <f t="shared" si="5"/>
        <v>6</v>
      </c>
      <c r="I9" s="38">
        <f t="shared" si="0"/>
        <v>44285</v>
      </c>
      <c r="J9" s="39">
        <v>11626</v>
      </c>
      <c r="K9" s="15">
        <f t="shared" si="6"/>
        <v>0.1789879322583916</v>
      </c>
      <c r="N9">
        <f t="shared" si="7"/>
        <v>6</v>
      </c>
      <c r="O9" s="38">
        <f t="shared" si="1"/>
        <v>44285</v>
      </c>
      <c r="P9" s="39">
        <v>33.320565202587673</v>
      </c>
      <c r="Q9" s="15">
        <f t="shared" si="8"/>
        <v>0.1391718185496178</v>
      </c>
    </row>
    <row r="10" spans="2:18" x14ac:dyDescent="0.25">
      <c r="B10">
        <f t="shared" si="2"/>
        <v>7</v>
      </c>
      <c r="C10" s="38">
        <f t="shared" si="3"/>
        <v>44650</v>
      </c>
      <c r="D10" s="39">
        <v>52446</v>
      </c>
      <c r="E10" s="15">
        <f t="shared" si="4"/>
        <v>0.11520796121459553</v>
      </c>
      <c r="H10">
        <f t="shared" si="5"/>
        <v>7</v>
      </c>
      <c r="I10" s="38">
        <f t="shared" si="0"/>
        <v>44650</v>
      </c>
      <c r="J10" s="39">
        <v>12857</v>
      </c>
      <c r="K10" s="15">
        <f t="shared" si="6"/>
        <v>0.10588336487183891</v>
      </c>
      <c r="N10">
        <f t="shared" si="7"/>
        <v>7</v>
      </c>
      <c r="O10" s="38">
        <f t="shared" si="1"/>
        <v>44650</v>
      </c>
      <c r="P10" s="39">
        <v>36.912665985699689</v>
      </c>
      <c r="Q10" s="15">
        <f t="shared" si="8"/>
        <v>0.10780431728190054</v>
      </c>
    </row>
    <row r="11" spans="2:18" x14ac:dyDescent="0.25">
      <c r="B11">
        <f t="shared" si="2"/>
        <v>8</v>
      </c>
      <c r="C11" s="38">
        <f t="shared" si="3"/>
        <v>45015</v>
      </c>
      <c r="D11" s="39">
        <v>60580</v>
      </c>
      <c r="E11" s="15">
        <f t="shared" si="4"/>
        <v>0.15509285741524614</v>
      </c>
      <c r="H11">
        <f t="shared" si="5"/>
        <v>8</v>
      </c>
      <c r="I11" s="38">
        <f t="shared" si="0"/>
        <v>45015</v>
      </c>
      <c r="J11" s="39">
        <v>14147</v>
      </c>
      <c r="K11" s="15">
        <f t="shared" si="6"/>
        <v>0.10033444816053505</v>
      </c>
      <c r="N11">
        <f t="shared" si="7"/>
        <v>8</v>
      </c>
      <c r="O11" s="38">
        <f t="shared" si="1"/>
        <v>45015</v>
      </c>
      <c r="P11" s="39">
        <v>41.262342526387471</v>
      </c>
      <c r="Q11" s="15">
        <f t="shared" si="8"/>
        <v>0.11783696529459253</v>
      </c>
    </row>
    <row r="12" spans="2:18" x14ac:dyDescent="0.25">
      <c r="B12">
        <f t="shared" si="2"/>
        <v>9</v>
      </c>
      <c r="C12" s="38">
        <f t="shared" si="3"/>
        <v>45380</v>
      </c>
      <c r="D12" s="39">
        <v>61896</v>
      </c>
      <c r="E12" s="15">
        <f t="shared" si="4"/>
        <v>2.1723341036645749E-2</v>
      </c>
      <c r="H12">
        <f t="shared" si="5"/>
        <v>9</v>
      </c>
      <c r="I12" s="38">
        <f t="shared" si="0"/>
        <v>45380</v>
      </c>
      <c r="J12" s="39">
        <v>14659</v>
      </c>
      <c r="K12" s="15">
        <f t="shared" si="6"/>
        <v>3.6191418675337594E-2</v>
      </c>
      <c r="N12">
        <f t="shared" si="7"/>
        <v>9</v>
      </c>
      <c r="O12" s="38">
        <f t="shared" si="1"/>
        <v>45380</v>
      </c>
      <c r="P12" s="39">
        <v>40.283452502553622</v>
      </c>
      <c r="Q12" s="15">
        <f t="shared" si="8"/>
        <v>-2.3723568849922771E-2</v>
      </c>
    </row>
    <row r="13" spans="2:18" x14ac:dyDescent="0.25">
      <c r="B13">
        <f t="shared" si="2"/>
        <v>10</v>
      </c>
      <c r="C13" s="38">
        <f t="shared" si="3"/>
        <v>45745</v>
      </c>
      <c r="D13" s="39">
        <v>63121</v>
      </c>
      <c r="E13" s="15">
        <f t="shared" si="4"/>
        <v>1.9791262763344974E-2</v>
      </c>
      <c r="H13">
        <f t="shared" si="5"/>
        <v>10</v>
      </c>
      <c r="I13" s="38">
        <f t="shared" si="0"/>
        <v>45745</v>
      </c>
      <c r="J13" s="39">
        <v>14843</v>
      </c>
      <c r="K13" s="15">
        <f t="shared" si="6"/>
        <v>1.255201582645471E-2</v>
      </c>
      <c r="N13">
        <f t="shared" si="7"/>
        <v>10</v>
      </c>
      <c r="O13" s="38">
        <f t="shared" si="1"/>
        <v>45745</v>
      </c>
      <c r="P13" s="39">
        <v>39.789751447054819</v>
      </c>
      <c r="Q13" s="15">
        <f t="shared" si="8"/>
        <v>-1.2255678816692983E-2</v>
      </c>
    </row>
    <row r="14" spans="2:18" x14ac:dyDescent="0.25">
      <c r="B14" s="40">
        <f t="shared" si="2"/>
        <v>11</v>
      </c>
      <c r="C14" s="41">
        <f t="shared" si="3"/>
        <v>46110</v>
      </c>
      <c r="D14" s="42">
        <f>FORECAST(B14,$D$4:$D$13,$B$4:$B$13)</f>
        <v>68218.399999999994</v>
      </c>
      <c r="E14" s="43">
        <f t="shared" si="4"/>
        <v>8.0756008301515969E-2</v>
      </c>
      <c r="H14" s="40">
        <f t="shared" si="5"/>
        <v>11</v>
      </c>
      <c r="I14" s="41">
        <f t="shared" si="0"/>
        <v>46110</v>
      </c>
      <c r="J14" s="42">
        <f>FORECAST(H14,$J$4:$J$13,$H$4:$H$13)</f>
        <v>16849.333333333336</v>
      </c>
      <c r="K14" s="43">
        <f t="shared" si="6"/>
        <v>0.13517033843113491</v>
      </c>
      <c r="N14" s="40">
        <f t="shared" si="7"/>
        <v>11</v>
      </c>
      <c r="O14" s="41">
        <f t="shared" si="1"/>
        <v>46110</v>
      </c>
      <c r="P14" s="42">
        <f>FORECAST(N14,$P$4:$P$13,$N$4:$N$13)</f>
        <v>46.840908964872376</v>
      </c>
      <c r="Q14" s="43">
        <f t="shared" si="8"/>
        <v>0.17721039366631874</v>
      </c>
    </row>
    <row r="15" spans="2:18" x14ac:dyDescent="0.25">
      <c r="B15" s="40">
        <f t="shared" si="2"/>
        <v>12</v>
      </c>
      <c r="C15" s="41">
        <f t="shared" si="3"/>
        <v>46475</v>
      </c>
      <c r="D15" s="42">
        <f t="shared" ref="D15:D18" si="9">FORECAST(B15,$D$4:$D$13,$B$4:$B$13)</f>
        <v>72166.163636363635</v>
      </c>
      <c r="E15" s="43">
        <f t="shared" si="4"/>
        <v>5.7869484425955964E-2</v>
      </c>
      <c r="H15" s="40">
        <f t="shared" si="5"/>
        <v>12</v>
      </c>
      <c r="I15" s="41">
        <f t="shared" si="0"/>
        <v>46475</v>
      </c>
      <c r="J15" s="42">
        <f t="shared" ref="J15:J18" si="10">FORECAST(H15,$J$4:$J$13,$H$4:$H$13)</f>
        <v>17974.484848484848</v>
      </c>
      <c r="K15" s="43">
        <f t="shared" si="6"/>
        <v>6.6777212658355234E-2</v>
      </c>
      <c r="N15" s="40">
        <f t="shared" si="7"/>
        <v>12</v>
      </c>
      <c r="O15" s="41">
        <f t="shared" si="1"/>
        <v>46475</v>
      </c>
      <c r="P15" s="42">
        <f t="shared" ref="P15:P18" si="11">FORECAST(N15,$P$4:$P$13,$N$4:$N$13)</f>
        <v>49.816957855474747</v>
      </c>
      <c r="Q15" s="43">
        <f t="shared" si="8"/>
        <v>6.3535250625349926E-2</v>
      </c>
    </row>
    <row r="16" spans="2:18" x14ac:dyDescent="0.25">
      <c r="B16" s="40">
        <f t="shared" si="2"/>
        <v>13</v>
      </c>
      <c r="C16" s="41">
        <f t="shared" si="3"/>
        <v>46840</v>
      </c>
      <c r="D16" s="42">
        <f t="shared" si="9"/>
        <v>76113.927272727276</v>
      </c>
      <c r="E16" s="43">
        <f t="shared" si="4"/>
        <v>5.4703803520108618E-2</v>
      </c>
      <c r="H16" s="40">
        <f t="shared" si="5"/>
        <v>13</v>
      </c>
      <c r="I16" s="41">
        <f t="shared" si="0"/>
        <v>46840</v>
      </c>
      <c r="J16" s="42">
        <f t="shared" si="10"/>
        <v>19099.636363636364</v>
      </c>
      <c r="K16" s="43">
        <f t="shared" si="6"/>
        <v>6.259714949473838E-2</v>
      </c>
      <c r="N16" s="40">
        <f t="shared" si="7"/>
        <v>13</v>
      </c>
      <c r="O16" s="41">
        <f t="shared" si="1"/>
        <v>46840</v>
      </c>
      <c r="P16" s="42">
        <f t="shared" si="11"/>
        <v>52.793006746077118</v>
      </c>
      <c r="Q16" s="43">
        <f t="shared" si="8"/>
        <v>5.9739675377935786E-2</v>
      </c>
    </row>
    <row r="17" spans="2:17" x14ac:dyDescent="0.25">
      <c r="B17" s="40">
        <f t="shared" si="2"/>
        <v>14</v>
      </c>
      <c r="C17" s="41">
        <f t="shared" si="3"/>
        <v>47205</v>
      </c>
      <c r="D17" s="42">
        <f t="shared" si="9"/>
        <v>80061.690909090903</v>
      </c>
      <c r="E17" s="43">
        <f t="shared" si="4"/>
        <v>5.1866508243862075E-2</v>
      </c>
      <c r="H17" s="40">
        <f t="shared" si="5"/>
        <v>14</v>
      </c>
      <c r="I17" s="41">
        <f t="shared" si="0"/>
        <v>47205</v>
      </c>
      <c r="J17" s="42">
        <f t="shared" si="10"/>
        <v>20224.78787878788</v>
      </c>
      <c r="K17" s="43">
        <f t="shared" si="6"/>
        <v>5.890957784377937E-2</v>
      </c>
      <c r="N17" s="40">
        <f t="shared" si="7"/>
        <v>14</v>
      </c>
      <c r="O17" s="41">
        <f t="shared" si="1"/>
        <v>47205</v>
      </c>
      <c r="P17" s="42">
        <f t="shared" si="11"/>
        <v>55.769055636679497</v>
      </c>
      <c r="Q17" s="43">
        <f t="shared" si="8"/>
        <v>5.6372028683960407E-2</v>
      </c>
    </row>
    <row r="18" spans="2:17" x14ac:dyDescent="0.25">
      <c r="B18" s="40">
        <f t="shared" si="2"/>
        <v>15</v>
      </c>
      <c r="C18" s="41">
        <f t="shared" si="3"/>
        <v>47570</v>
      </c>
      <c r="D18" s="42">
        <f t="shared" si="9"/>
        <v>84009.454545454544</v>
      </c>
      <c r="E18" s="43">
        <f t="shared" si="4"/>
        <v>4.930902147503069E-2</v>
      </c>
      <c r="H18" s="40">
        <f t="shared" si="5"/>
        <v>15</v>
      </c>
      <c r="I18" s="41">
        <f t="shared" si="0"/>
        <v>47570</v>
      </c>
      <c r="J18" s="42">
        <f t="shared" si="10"/>
        <v>21349.939393939392</v>
      </c>
      <c r="K18" s="43">
        <f t="shared" si="6"/>
        <v>5.5632302395200561E-2</v>
      </c>
      <c r="N18" s="40">
        <f t="shared" si="7"/>
        <v>15</v>
      </c>
      <c r="O18" s="41">
        <f t="shared" si="1"/>
        <v>47570</v>
      </c>
      <c r="P18" s="42">
        <f t="shared" si="11"/>
        <v>58.745104527281867</v>
      </c>
      <c r="Q18" s="43">
        <f t="shared" si="8"/>
        <v>5.3363802858533926E-2</v>
      </c>
    </row>
  </sheetData>
  <mergeCells count="3">
    <mergeCell ref="B2:F2"/>
    <mergeCell ref="H2:L2"/>
    <mergeCell ref="N2:R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93"/>
  <sheetViews>
    <sheetView zoomScale="120" zoomScaleNormal="120" zoomScalePageLayoutView="120" workbookViewId="0">
      <pane xSplit="1" ySplit="1" topLeftCell="B44" activePane="bottomRight" state="frozen"/>
      <selection activeCell="C4" sqref="C4"/>
      <selection pane="topRight" activeCell="C4" sqref="C4"/>
      <selection pane="bottomLeft" activeCell="C4" sqref="C4"/>
      <selection pane="bottomRight" activeCell="B67" sqref="B67:B69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33</v>
      </c>
      <c r="E1" s="47" t="str">
        <f>IF(B2&lt;&gt;B3, "A NEW VERSION OF THE WORKSHEET IS AVAILABLE", "")</f>
        <v/>
      </c>
      <c r="F1" s="47"/>
      <c r="G1" s="47"/>
      <c r="H1" s="47"/>
      <c r="I1" s="47"/>
      <c r="J1" s="47"/>
      <c r="K1" s="47"/>
    </row>
    <row r="2" spans="1:11" x14ac:dyDescent="0.25">
      <c r="A2" s="1" t="s">
        <v>31</v>
      </c>
      <c r="B2" s="2">
        <v>2.1</v>
      </c>
      <c r="E2" s="48" t="s">
        <v>22</v>
      </c>
      <c r="F2" s="48"/>
      <c r="G2" s="48"/>
      <c r="H2" s="48"/>
      <c r="I2" s="48"/>
      <c r="J2" s="48"/>
      <c r="K2" s="48"/>
    </row>
    <row r="3" spans="1:11" x14ac:dyDescent="0.25">
      <c r="A3" s="1" t="s">
        <v>32</v>
      </c>
      <c r="B3" s="2">
        <v>2.1</v>
      </c>
    </row>
    <row r="4" spans="1:11" x14ac:dyDescent="0.25">
      <c r="A4" s="1"/>
    </row>
    <row r="5" spans="1:11" x14ac:dyDescent="0.25">
      <c r="A5" s="1" t="s">
        <v>34</v>
      </c>
    </row>
    <row r="6" spans="1:11" x14ac:dyDescent="0.25">
      <c r="A6" s="2" t="s">
        <v>28</v>
      </c>
      <c r="B6" s="2">
        <f>IF(B9&gt;0, B9/B8, 0)</f>
        <v>234.95912474622151</v>
      </c>
    </row>
    <row r="7" spans="1:11" x14ac:dyDescent="0.25">
      <c r="A7" s="2" t="s">
        <v>17</v>
      </c>
      <c r="B7">
        <v>1</v>
      </c>
    </row>
    <row r="8" spans="1:11" x14ac:dyDescent="0.25">
      <c r="A8" s="2" t="s">
        <v>29</v>
      </c>
      <c r="B8">
        <v>2659.8</v>
      </c>
    </row>
    <row r="9" spans="1:11" x14ac:dyDescent="0.25">
      <c r="A9" s="2" t="s">
        <v>44</v>
      </c>
      <c r="B9">
        <v>624944.28</v>
      </c>
    </row>
    <row r="15" spans="1:11" x14ac:dyDescent="0.25">
      <c r="A15" s="1" t="s">
        <v>23</v>
      </c>
    </row>
    <row r="16" spans="1:11" s="6" customFormat="1" x14ac:dyDescent="0.25">
      <c r="A16" s="5" t="s">
        <v>24</v>
      </c>
      <c r="B16" s="4">
        <v>42460</v>
      </c>
      <c r="C16" s="4">
        <v>42825</v>
      </c>
      <c r="D16" s="4">
        <v>43190</v>
      </c>
      <c r="E16" s="4">
        <v>43555</v>
      </c>
      <c r="F16" s="4">
        <v>43921</v>
      </c>
      <c r="G16" s="4">
        <v>44286</v>
      </c>
      <c r="H16" s="4">
        <v>44651</v>
      </c>
      <c r="I16" s="4">
        <v>45016</v>
      </c>
      <c r="J16" s="4">
        <v>45382</v>
      </c>
      <c r="K16" s="4">
        <v>45747</v>
      </c>
    </row>
    <row r="17" spans="1:11" s="3" customFormat="1" x14ac:dyDescent="0.25">
      <c r="A17" s="3" t="s">
        <v>1</v>
      </c>
      <c r="B17">
        <v>32186</v>
      </c>
      <c r="C17">
        <v>33162</v>
      </c>
      <c r="D17">
        <v>35545</v>
      </c>
      <c r="E17">
        <v>39310</v>
      </c>
      <c r="F17">
        <v>39783</v>
      </c>
      <c r="G17">
        <v>47028</v>
      </c>
      <c r="H17">
        <v>52446</v>
      </c>
      <c r="I17">
        <v>60580</v>
      </c>
      <c r="J17">
        <v>61896</v>
      </c>
      <c r="K17">
        <v>63121</v>
      </c>
    </row>
    <row r="18" spans="1:11" s="3" customFormat="1" x14ac:dyDescent="0.25">
      <c r="A18" s="2" t="s">
        <v>45</v>
      </c>
      <c r="B18">
        <v>13184</v>
      </c>
      <c r="C18">
        <v>13606</v>
      </c>
      <c r="D18">
        <v>14233</v>
      </c>
      <c r="E18">
        <v>15845</v>
      </c>
      <c r="F18">
        <v>15697</v>
      </c>
      <c r="G18">
        <v>20141</v>
      </c>
      <c r="H18">
        <v>22871</v>
      </c>
      <c r="I18">
        <v>28427</v>
      </c>
      <c r="J18">
        <v>26822</v>
      </c>
      <c r="K18">
        <v>27344</v>
      </c>
    </row>
    <row r="19" spans="1:11" s="3" customFormat="1" x14ac:dyDescent="0.25">
      <c r="A19" s="2" t="s">
        <v>46</v>
      </c>
      <c r="B19">
        <v>-83</v>
      </c>
      <c r="C19">
        <v>-144</v>
      </c>
      <c r="D19">
        <v>72</v>
      </c>
      <c r="E19">
        <v>-12</v>
      </c>
      <c r="F19">
        <v>108</v>
      </c>
      <c r="G19">
        <v>405</v>
      </c>
      <c r="H19">
        <v>22</v>
      </c>
      <c r="I19">
        <v>75</v>
      </c>
      <c r="J19">
        <v>11</v>
      </c>
      <c r="K19">
        <v>153</v>
      </c>
    </row>
    <row r="20" spans="1:11" s="3" customFormat="1" x14ac:dyDescent="0.25">
      <c r="A20" s="2" t="s">
        <v>47</v>
      </c>
      <c r="B20">
        <v>309</v>
      </c>
      <c r="C20">
        <v>295</v>
      </c>
      <c r="D20">
        <v>295</v>
      </c>
      <c r="E20">
        <v>308</v>
      </c>
      <c r="F20">
        <v>299</v>
      </c>
      <c r="G20">
        <v>339</v>
      </c>
      <c r="H20">
        <v>318</v>
      </c>
      <c r="I20">
        <v>384</v>
      </c>
      <c r="J20">
        <v>446</v>
      </c>
      <c r="K20">
        <v>427</v>
      </c>
    </row>
    <row r="21" spans="1:11" s="3" customFormat="1" x14ac:dyDescent="0.25">
      <c r="A21" s="2" t="s">
        <v>48</v>
      </c>
      <c r="B21">
        <v>2966</v>
      </c>
      <c r="C21">
        <v>2887</v>
      </c>
      <c r="D21">
        <v>2998</v>
      </c>
      <c r="E21">
        <v>3041</v>
      </c>
      <c r="F21">
        <v>2906</v>
      </c>
      <c r="G21">
        <v>2868</v>
      </c>
      <c r="H21">
        <v>3354</v>
      </c>
      <c r="I21">
        <v>3791</v>
      </c>
      <c r="J21">
        <v>3385</v>
      </c>
      <c r="K21">
        <v>3834</v>
      </c>
    </row>
    <row r="22" spans="1:11" s="3" customFormat="1" x14ac:dyDescent="0.25">
      <c r="A22" s="2" t="s">
        <v>49</v>
      </c>
      <c r="B22">
        <v>1680</v>
      </c>
      <c r="C22">
        <v>1743</v>
      </c>
      <c r="D22">
        <v>1860</v>
      </c>
      <c r="E22">
        <v>1875</v>
      </c>
      <c r="F22">
        <v>1820</v>
      </c>
      <c r="G22">
        <v>2358</v>
      </c>
      <c r="H22">
        <v>2545</v>
      </c>
      <c r="I22">
        <v>2854</v>
      </c>
      <c r="J22">
        <v>3009</v>
      </c>
      <c r="K22">
        <v>3077</v>
      </c>
    </row>
    <row r="23" spans="1:11" s="3" customFormat="1" x14ac:dyDescent="0.25">
      <c r="A23" s="2" t="s">
        <v>50</v>
      </c>
      <c r="B23">
        <v>6741</v>
      </c>
      <c r="C23">
        <v>6689</v>
      </c>
      <c r="D23">
        <v>7252</v>
      </c>
      <c r="E23">
        <v>7796</v>
      </c>
      <c r="F23">
        <v>7620</v>
      </c>
      <c r="G23">
        <v>7906</v>
      </c>
      <c r="H23">
        <v>8164</v>
      </c>
      <c r="I23">
        <v>8785</v>
      </c>
      <c r="J23">
        <v>10780</v>
      </c>
      <c r="K23">
        <v>10693</v>
      </c>
    </row>
    <row r="24" spans="1:11" s="3" customFormat="1" x14ac:dyDescent="0.25">
      <c r="A24" s="2" t="s">
        <v>51</v>
      </c>
      <c r="B24">
        <v>1313</v>
      </c>
      <c r="C24">
        <v>1470</v>
      </c>
      <c r="D24">
        <v>1480</v>
      </c>
      <c r="E24">
        <v>1553</v>
      </c>
      <c r="F24">
        <v>1688</v>
      </c>
      <c r="G24">
        <v>2195</v>
      </c>
      <c r="H24">
        <v>2359</v>
      </c>
      <c r="I24">
        <v>2267</v>
      </c>
      <c r="J24">
        <v>2806</v>
      </c>
      <c r="K24">
        <v>3056</v>
      </c>
    </row>
    <row r="25" spans="1:11" s="3" customFormat="1" x14ac:dyDescent="0.25">
      <c r="A25" s="3" t="s">
        <v>4</v>
      </c>
      <c r="B25">
        <v>486</v>
      </c>
      <c r="C25">
        <v>606</v>
      </c>
      <c r="D25">
        <v>353</v>
      </c>
      <c r="E25">
        <v>322</v>
      </c>
      <c r="F25">
        <v>424</v>
      </c>
      <c r="G25">
        <v>170</v>
      </c>
      <c r="H25">
        <v>219</v>
      </c>
      <c r="I25">
        <v>448</v>
      </c>
      <c r="J25">
        <v>817</v>
      </c>
      <c r="K25">
        <v>1322</v>
      </c>
    </row>
    <row r="26" spans="1:11" s="3" customFormat="1" x14ac:dyDescent="0.25">
      <c r="A26" s="3" t="s">
        <v>5</v>
      </c>
      <c r="B26">
        <v>353</v>
      </c>
      <c r="C26">
        <v>432</v>
      </c>
      <c r="D26">
        <v>520</v>
      </c>
      <c r="E26">
        <v>565</v>
      </c>
      <c r="F26">
        <v>1002</v>
      </c>
      <c r="G26">
        <v>1074</v>
      </c>
      <c r="H26">
        <v>1091</v>
      </c>
      <c r="I26">
        <v>1137</v>
      </c>
      <c r="J26">
        <v>1216</v>
      </c>
      <c r="K26">
        <v>1355</v>
      </c>
    </row>
    <row r="27" spans="1:11" s="3" customFormat="1" x14ac:dyDescent="0.25">
      <c r="A27" s="3" t="s">
        <v>6</v>
      </c>
      <c r="B27">
        <v>17</v>
      </c>
      <c r="C27">
        <v>35</v>
      </c>
      <c r="D27">
        <v>26</v>
      </c>
      <c r="E27">
        <v>33</v>
      </c>
      <c r="F27">
        <v>118</v>
      </c>
      <c r="G27">
        <v>117</v>
      </c>
      <c r="H27">
        <v>106</v>
      </c>
      <c r="I27">
        <v>114</v>
      </c>
      <c r="J27">
        <v>334</v>
      </c>
      <c r="K27">
        <v>395</v>
      </c>
    </row>
    <row r="28" spans="1:11" s="3" customFormat="1" x14ac:dyDescent="0.25">
      <c r="A28" s="3" t="s">
        <v>7</v>
      </c>
      <c r="B28">
        <v>6026</v>
      </c>
      <c r="C28">
        <v>6467</v>
      </c>
      <c r="D28">
        <v>7306</v>
      </c>
      <c r="E28">
        <v>8604</v>
      </c>
      <c r="F28">
        <v>9165</v>
      </c>
      <c r="G28">
        <v>10605</v>
      </c>
      <c r="H28">
        <v>11879</v>
      </c>
      <c r="I28">
        <v>13344</v>
      </c>
      <c r="J28">
        <v>13926</v>
      </c>
      <c r="K28">
        <v>14415</v>
      </c>
    </row>
    <row r="29" spans="1:11" s="3" customFormat="1" x14ac:dyDescent="0.25">
      <c r="A29" s="3" t="s">
        <v>8</v>
      </c>
      <c r="B29">
        <v>1875</v>
      </c>
      <c r="C29">
        <v>1977</v>
      </c>
      <c r="D29">
        <v>2079</v>
      </c>
      <c r="E29">
        <v>2544</v>
      </c>
      <c r="F29">
        <v>2409</v>
      </c>
      <c r="G29">
        <v>2606</v>
      </c>
      <c r="H29">
        <v>2987</v>
      </c>
      <c r="I29">
        <v>3201</v>
      </c>
      <c r="J29">
        <v>3644</v>
      </c>
      <c r="K29">
        <v>3744</v>
      </c>
    </row>
    <row r="30" spans="1:11" s="3" customFormat="1" x14ac:dyDescent="0.25">
      <c r="A30" s="3" t="s">
        <v>9</v>
      </c>
      <c r="B30">
        <v>4151</v>
      </c>
      <c r="C30">
        <v>4476</v>
      </c>
      <c r="D30">
        <v>5214</v>
      </c>
      <c r="E30">
        <v>6054</v>
      </c>
      <c r="F30">
        <v>6748</v>
      </c>
      <c r="G30">
        <v>7995</v>
      </c>
      <c r="H30">
        <v>8879</v>
      </c>
      <c r="I30">
        <v>10120</v>
      </c>
      <c r="J30">
        <v>10277</v>
      </c>
      <c r="K30">
        <v>10649</v>
      </c>
    </row>
    <row r="31" spans="1:11" s="3" customFormat="1" x14ac:dyDescent="0.25">
      <c r="A31" s="3" t="s">
        <v>35</v>
      </c>
      <c r="B31">
        <v>3456</v>
      </c>
      <c r="C31">
        <v>3672</v>
      </c>
      <c r="D31">
        <v>4320</v>
      </c>
      <c r="E31">
        <v>4752</v>
      </c>
      <c r="F31">
        <v>5400</v>
      </c>
      <c r="G31">
        <v>9517.5</v>
      </c>
      <c r="H31">
        <v>7990</v>
      </c>
      <c r="I31">
        <v>9165</v>
      </c>
      <c r="J31">
        <v>9870</v>
      </c>
      <c r="K31">
        <v>12455</v>
      </c>
    </row>
    <row r="32" spans="1:11" s="3" customFormat="1" x14ac:dyDescent="0.25"/>
    <row r="33" spans="1:11" x14ac:dyDescent="0.25">
      <c r="A33" s="3"/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25</v>
      </c>
    </row>
    <row r="41" spans="1:11" s="6" customFormat="1" x14ac:dyDescent="0.25">
      <c r="A41" s="5" t="s">
        <v>24</v>
      </c>
      <c r="B41" s="4">
        <v>45016</v>
      </c>
      <c r="C41" s="4">
        <v>45107</v>
      </c>
      <c r="D41" s="4">
        <v>45199</v>
      </c>
      <c r="E41" s="4">
        <v>45291</v>
      </c>
      <c r="F41" s="4">
        <v>45382</v>
      </c>
      <c r="G41" s="4">
        <v>45473</v>
      </c>
      <c r="H41" s="4">
        <v>45565</v>
      </c>
      <c r="I41" s="4">
        <v>45657</v>
      </c>
      <c r="J41" s="4">
        <v>45747</v>
      </c>
      <c r="K41" s="4">
        <v>45838</v>
      </c>
    </row>
    <row r="42" spans="1:11" s="3" customFormat="1" x14ac:dyDescent="0.25">
      <c r="A42" s="3" t="s">
        <v>1</v>
      </c>
      <c r="B42">
        <v>15215</v>
      </c>
      <c r="C42">
        <v>15496</v>
      </c>
      <c r="D42">
        <v>15623</v>
      </c>
      <c r="E42">
        <v>15567</v>
      </c>
      <c r="F42">
        <v>15210</v>
      </c>
      <c r="G42">
        <v>15707</v>
      </c>
      <c r="H42">
        <v>15926</v>
      </c>
      <c r="I42">
        <v>15818</v>
      </c>
      <c r="J42">
        <v>15670</v>
      </c>
      <c r="K42">
        <v>16514</v>
      </c>
    </row>
    <row r="43" spans="1:11" s="3" customFormat="1" x14ac:dyDescent="0.25">
      <c r="A43" s="3" t="s">
        <v>2</v>
      </c>
      <c r="B43">
        <v>11643</v>
      </c>
      <c r="C43">
        <v>11832</v>
      </c>
      <c r="D43">
        <v>11828</v>
      </c>
      <c r="E43">
        <v>11902</v>
      </c>
      <c r="F43">
        <v>11675</v>
      </c>
      <c r="G43">
        <v>11965</v>
      </c>
      <c r="H43">
        <v>12139</v>
      </c>
      <c r="I43">
        <v>12123</v>
      </c>
      <c r="J43">
        <v>12052</v>
      </c>
      <c r="K43">
        <v>12797</v>
      </c>
    </row>
    <row r="44" spans="1:11" s="3" customFormat="1" x14ac:dyDescent="0.25">
      <c r="A44" s="3" t="s">
        <v>4</v>
      </c>
      <c r="B44">
        <v>240</v>
      </c>
      <c r="C44">
        <v>146</v>
      </c>
      <c r="D44">
        <v>178</v>
      </c>
      <c r="E44">
        <v>184</v>
      </c>
      <c r="F44">
        <v>309</v>
      </c>
      <c r="G44">
        <v>209</v>
      </c>
      <c r="H44">
        <v>203</v>
      </c>
      <c r="I44">
        <v>740</v>
      </c>
      <c r="J44">
        <v>171</v>
      </c>
      <c r="K44">
        <v>74</v>
      </c>
    </row>
    <row r="45" spans="1:11" s="3" customFormat="1" x14ac:dyDescent="0.25">
      <c r="A45" s="3" t="s">
        <v>5</v>
      </c>
      <c r="B45">
        <v>291</v>
      </c>
      <c r="C45">
        <v>286</v>
      </c>
      <c r="D45">
        <v>297</v>
      </c>
      <c r="E45">
        <v>313</v>
      </c>
      <c r="F45">
        <v>320</v>
      </c>
      <c r="G45">
        <v>329</v>
      </c>
      <c r="H45">
        <v>338</v>
      </c>
      <c r="I45">
        <v>341</v>
      </c>
      <c r="J45">
        <v>347</v>
      </c>
      <c r="K45">
        <v>361</v>
      </c>
    </row>
    <row r="46" spans="1:11" s="3" customFormat="1" x14ac:dyDescent="0.25">
      <c r="A46" s="3" t="s">
        <v>6</v>
      </c>
      <c r="B46">
        <v>29</v>
      </c>
      <c r="C46">
        <v>50</v>
      </c>
      <c r="D46">
        <v>88</v>
      </c>
      <c r="E46">
        <v>91</v>
      </c>
      <c r="F46">
        <v>105</v>
      </c>
      <c r="G46">
        <v>93</v>
      </c>
      <c r="H46">
        <v>110</v>
      </c>
      <c r="I46">
        <v>112</v>
      </c>
      <c r="J46">
        <v>80</v>
      </c>
      <c r="K46">
        <v>127</v>
      </c>
    </row>
    <row r="47" spans="1:11" s="3" customFormat="1" x14ac:dyDescent="0.25">
      <c r="A47" s="3" t="s">
        <v>7</v>
      </c>
      <c r="B47">
        <v>3492</v>
      </c>
      <c r="C47">
        <v>3474</v>
      </c>
      <c r="D47">
        <v>3588</v>
      </c>
      <c r="E47">
        <v>3445</v>
      </c>
      <c r="F47">
        <v>3419</v>
      </c>
      <c r="G47">
        <v>3529</v>
      </c>
      <c r="H47">
        <v>3542</v>
      </c>
      <c r="I47">
        <v>3982</v>
      </c>
      <c r="J47">
        <v>3362</v>
      </c>
      <c r="K47">
        <v>3303</v>
      </c>
    </row>
    <row r="48" spans="1:11" s="3" customFormat="1" x14ac:dyDescent="0.25">
      <c r="A48" s="3" t="s">
        <v>8</v>
      </c>
      <c r="B48">
        <v>891</v>
      </c>
      <c r="C48">
        <v>918</v>
      </c>
      <c r="D48">
        <v>931</v>
      </c>
      <c r="E48">
        <v>937</v>
      </c>
      <c r="F48">
        <v>858</v>
      </c>
      <c r="G48">
        <v>917</v>
      </c>
      <c r="H48">
        <v>947</v>
      </c>
      <c r="I48">
        <v>993</v>
      </c>
      <c r="J48">
        <v>887</v>
      </c>
      <c r="K48">
        <v>535</v>
      </c>
    </row>
    <row r="49" spans="1:11" s="3" customFormat="1" x14ac:dyDescent="0.25">
      <c r="A49" s="3" t="s">
        <v>9</v>
      </c>
      <c r="B49">
        <v>2600</v>
      </c>
      <c r="C49">
        <v>2554</v>
      </c>
      <c r="D49">
        <v>2656</v>
      </c>
      <c r="E49">
        <v>2509</v>
      </c>
      <c r="F49">
        <v>2558</v>
      </c>
      <c r="G49">
        <v>2610</v>
      </c>
      <c r="H49">
        <v>2591</v>
      </c>
      <c r="I49">
        <v>2984</v>
      </c>
      <c r="J49">
        <v>2464</v>
      </c>
      <c r="K49">
        <v>2756</v>
      </c>
    </row>
    <row r="50" spans="1:11" x14ac:dyDescent="0.25">
      <c r="A50" s="3" t="s">
        <v>3</v>
      </c>
      <c r="B50">
        <v>3572</v>
      </c>
      <c r="C50">
        <v>3664</v>
      </c>
      <c r="D50">
        <v>3795</v>
      </c>
      <c r="E50">
        <v>3665</v>
      </c>
      <c r="F50">
        <v>3535</v>
      </c>
      <c r="G50">
        <v>3742</v>
      </c>
      <c r="H50">
        <v>3787</v>
      </c>
      <c r="I50">
        <v>3695</v>
      </c>
      <c r="J50">
        <v>3618</v>
      </c>
      <c r="K50">
        <v>3717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26</v>
      </c>
    </row>
    <row r="56" spans="1:11" s="6" customFormat="1" x14ac:dyDescent="0.25">
      <c r="A56" s="5" t="s">
        <v>24</v>
      </c>
      <c r="B56" s="4">
        <v>42460</v>
      </c>
      <c r="C56" s="4">
        <v>42825</v>
      </c>
      <c r="D56" s="4">
        <v>43190</v>
      </c>
      <c r="E56" s="4">
        <v>43555</v>
      </c>
      <c r="F56" s="4">
        <v>43921</v>
      </c>
      <c r="G56" s="4">
        <v>44286</v>
      </c>
      <c r="H56" s="4">
        <v>44651</v>
      </c>
      <c r="I56" s="4">
        <v>45016</v>
      </c>
      <c r="J56" s="4">
        <v>45382</v>
      </c>
      <c r="K56" s="4">
        <v>45747</v>
      </c>
    </row>
    <row r="57" spans="1:11" x14ac:dyDescent="0.25">
      <c r="A57" s="3" t="s">
        <v>11</v>
      </c>
      <c r="B57">
        <v>216</v>
      </c>
      <c r="C57">
        <v>216</v>
      </c>
      <c r="D57">
        <v>216</v>
      </c>
      <c r="E57">
        <v>216</v>
      </c>
      <c r="F57">
        <v>216</v>
      </c>
      <c r="G57">
        <v>235</v>
      </c>
      <c r="H57">
        <v>235</v>
      </c>
      <c r="I57">
        <v>235</v>
      </c>
      <c r="J57">
        <v>235</v>
      </c>
      <c r="K57">
        <v>235</v>
      </c>
    </row>
    <row r="58" spans="1:11" x14ac:dyDescent="0.25">
      <c r="A58" s="3" t="s">
        <v>12</v>
      </c>
      <c r="B58">
        <v>6357</v>
      </c>
      <c r="C58">
        <v>6528</v>
      </c>
      <c r="D58">
        <v>7065</v>
      </c>
      <c r="E58">
        <v>7651</v>
      </c>
      <c r="F58">
        <v>8013</v>
      </c>
      <c r="G58">
        <v>47439</v>
      </c>
      <c r="H58">
        <v>48826</v>
      </c>
      <c r="I58">
        <v>50069</v>
      </c>
      <c r="J58">
        <v>50983</v>
      </c>
      <c r="K58">
        <v>49167</v>
      </c>
    </row>
    <row r="59" spans="1:11" x14ac:dyDescent="0.25">
      <c r="A59" s="3" t="s">
        <v>36</v>
      </c>
      <c r="B59">
        <v>177</v>
      </c>
      <c r="C59">
        <v>277</v>
      </c>
      <c r="E59">
        <v>99</v>
      </c>
      <c r="H59">
        <v>1043</v>
      </c>
      <c r="I59">
        <v>1219</v>
      </c>
      <c r="J59">
        <v>1484</v>
      </c>
      <c r="K59">
        <v>1648</v>
      </c>
    </row>
    <row r="60" spans="1:11" x14ac:dyDescent="0.25">
      <c r="A60" s="3" t="s">
        <v>37</v>
      </c>
      <c r="B60">
        <v>8043</v>
      </c>
      <c r="C60">
        <v>8685</v>
      </c>
      <c r="D60">
        <v>10581</v>
      </c>
      <c r="E60">
        <v>10663</v>
      </c>
      <c r="F60">
        <v>11924</v>
      </c>
      <c r="G60">
        <v>21066</v>
      </c>
      <c r="H60">
        <v>20402</v>
      </c>
      <c r="I60">
        <v>21554</v>
      </c>
      <c r="J60">
        <v>25787</v>
      </c>
      <c r="K60">
        <v>28813</v>
      </c>
    </row>
    <row r="61" spans="1:11" s="1" customFormat="1" x14ac:dyDescent="0.25">
      <c r="A61" s="1" t="s">
        <v>13</v>
      </c>
      <c r="B61">
        <v>14793</v>
      </c>
      <c r="C61">
        <v>15706</v>
      </c>
      <c r="D61">
        <v>17862</v>
      </c>
      <c r="E61">
        <v>18629</v>
      </c>
      <c r="F61">
        <v>20153</v>
      </c>
      <c r="G61">
        <v>68740</v>
      </c>
      <c r="H61">
        <v>70506</v>
      </c>
      <c r="I61">
        <v>73077</v>
      </c>
      <c r="J61">
        <v>78489</v>
      </c>
      <c r="K61">
        <v>79863</v>
      </c>
    </row>
    <row r="62" spans="1:11" x14ac:dyDescent="0.25">
      <c r="A62" s="3" t="s">
        <v>14</v>
      </c>
      <c r="B62">
        <v>3258</v>
      </c>
      <c r="C62">
        <v>4419</v>
      </c>
      <c r="D62">
        <v>4528</v>
      </c>
      <c r="E62">
        <v>4715</v>
      </c>
      <c r="F62">
        <v>5479</v>
      </c>
      <c r="G62">
        <v>51443</v>
      </c>
      <c r="H62">
        <v>51473</v>
      </c>
      <c r="I62">
        <v>52678</v>
      </c>
      <c r="J62">
        <v>53744</v>
      </c>
      <c r="K62">
        <v>54335</v>
      </c>
    </row>
    <row r="63" spans="1:11" x14ac:dyDescent="0.25">
      <c r="A63" s="3" t="s">
        <v>15</v>
      </c>
      <c r="B63">
        <v>408</v>
      </c>
      <c r="C63">
        <v>229</v>
      </c>
      <c r="D63">
        <v>461</v>
      </c>
      <c r="E63">
        <v>406</v>
      </c>
      <c r="F63">
        <v>597</v>
      </c>
      <c r="G63">
        <v>745</v>
      </c>
      <c r="H63">
        <v>1313</v>
      </c>
      <c r="I63">
        <v>1132</v>
      </c>
      <c r="J63">
        <v>1025</v>
      </c>
      <c r="K63">
        <v>1009</v>
      </c>
    </row>
    <row r="64" spans="1:11" x14ac:dyDescent="0.25">
      <c r="A64" s="3" t="s">
        <v>16</v>
      </c>
      <c r="B64">
        <v>2592</v>
      </c>
      <c r="C64">
        <v>3794</v>
      </c>
      <c r="D64">
        <v>2873</v>
      </c>
      <c r="E64">
        <v>2716</v>
      </c>
      <c r="F64">
        <v>1255</v>
      </c>
      <c r="G64">
        <v>2709</v>
      </c>
      <c r="H64">
        <v>3521</v>
      </c>
      <c r="I64">
        <v>2882</v>
      </c>
      <c r="J64">
        <v>4625</v>
      </c>
      <c r="K64">
        <v>3810</v>
      </c>
    </row>
    <row r="65" spans="1:11" x14ac:dyDescent="0.25">
      <c r="A65" s="3" t="s">
        <v>38</v>
      </c>
      <c r="B65">
        <v>8535</v>
      </c>
      <c r="C65">
        <v>7264</v>
      </c>
      <c r="D65">
        <v>10000</v>
      </c>
      <c r="E65">
        <v>10792</v>
      </c>
      <c r="F65">
        <v>12822</v>
      </c>
      <c r="G65">
        <v>13843</v>
      </c>
      <c r="H65">
        <v>14199</v>
      </c>
      <c r="I65">
        <v>16385</v>
      </c>
      <c r="J65">
        <v>19095</v>
      </c>
      <c r="K65">
        <v>20709</v>
      </c>
    </row>
    <row r="66" spans="1:11" s="1" customFormat="1" x14ac:dyDescent="0.25">
      <c r="A66" s="1" t="s">
        <v>13</v>
      </c>
      <c r="B66">
        <v>14793</v>
      </c>
      <c r="C66">
        <v>15706</v>
      </c>
      <c r="D66">
        <v>17862</v>
      </c>
      <c r="E66">
        <v>18629</v>
      </c>
      <c r="F66">
        <v>20153</v>
      </c>
      <c r="G66">
        <v>68740</v>
      </c>
      <c r="H66">
        <v>70506</v>
      </c>
      <c r="I66">
        <v>73077</v>
      </c>
      <c r="J66">
        <v>78489</v>
      </c>
      <c r="K66">
        <v>79863</v>
      </c>
    </row>
    <row r="67" spans="1:11" s="3" customFormat="1" x14ac:dyDescent="0.25">
      <c r="A67" s="3" t="s">
        <v>43</v>
      </c>
      <c r="B67">
        <v>1264</v>
      </c>
      <c r="C67">
        <v>1085</v>
      </c>
      <c r="D67">
        <v>1310</v>
      </c>
      <c r="E67">
        <v>1816</v>
      </c>
      <c r="F67">
        <v>1149</v>
      </c>
      <c r="G67">
        <v>1758</v>
      </c>
      <c r="H67">
        <v>2236</v>
      </c>
      <c r="I67">
        <v>3079</v>
      </c>
      <c r="J67">
        <v>2997</v>
      </c>
      <c r="K67">
        <v>3819</v>
      </c>
    </row>
    <row r="68" spans="1:11" x14ac:dyDescent="0.25">
      <c r="A68" s="3" t="s">
        <v>30</v>
      </c>
      <c r="B68">
        <v>2726</v>
      </c>
      <c r="C68">
        <v>2541</v>
      </c>
      <c r="D68">
        <v>2513</v>
      </c>
      <c r="E68">
        <v>2574</v>
      </c>
      <c r="F68">
        <v>2767</v>
      </c>
      <c r="G68">
        <v>3579</v>
      </c>
      <c r="H68">
        <v>4096</v>
      </c>
      <c r="I68">
        <v>4251</v>
      </c>
      <c r="J68">
        <v>4022</v>
      </c>
      <c r="K68">
        <v>4415</v>
      </c>
    </row>
    <row r="69" spans="1:11" x14ac:dyDescent="0.25">
      <c r="A69" s="2" t="s">
        <v>52</v>
      </c>
      <c r="B69">
        <v>3009</v>
      </c>
      <c r="C69">
        <v>1828</v>
      </c>
      <c r="D69">
        <v>3485</v>
      </c>
      <c r="E69">
        <v>3757</v>
      </c>
      <c r="F69">
        <v>5113</v>
      </c>
      <c r="G69">
        <v>4471</v>
      </c>
      <c r="H69">
        <v>3846</v>
      </c>
      <c r="I69">
        <v>4678</v>
      </c>
      <c r="J69">
        <v>7559</v>
      </c>
      <c r="K69">
        <v>7554</v>
      </c>
    </row>
    <row r="70" spans="1:11" x14ac:dyDescent="0.25">
      <c r="A70" s="2" t="s">
        <v>39</v>
      </c>
      <c r="B70">
        <v>2163936971</v>
      </c>
      <c r="C70">
        <v>2164349639</v>
      </c>
      <c r="D70">
        <v>2164528777</v>
      </c>
      <c r="E70">
        <v>2164704405</v>
      </c>
      <c r="F70">
        <v>2164704405</v>
      </c>
      <c r="G70">
        <v>2349567819</v>
      </c>
      <c r="H70">
        <v>2349591262</v>
      </c>
      <c r="I70">
        <v>2349591262</v>
      </c>
      <c r="J70">
        <v>2349591262</v>
      </c>
      <c r="K70">
        <v>2349591262</v>
      </c>
    </row>
    <row r="71" spans="1:11" x14ac:dyDescent="0.25">
      <c r="A71" s="2" t="s">
        <v>40</v>
      </c>
    </row>
    <row r="72" spans="1:11" x14ac:dyDescent="0.25">
      <c r="A72" s="2" t="s">
        <v>53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27</v>
      </c>
    </row>
    <row r="81" spans="1:11" s="6" customFormat="1" x14ac:dyDescent="0.25">
      <c r="A81" s="5" t="s">
        <v>24</v>
      </c>
      <c r="B81" s="4">
        <v>42460</v>
      </c>
      <c r="C81" s="4">
        <v>42825</v>
      </c>
      <c r="D81" s="4">
        <v>43190</v>
      </c>
      <c r="E81" s="4">
        <v>43555</v>
      </c>
      <c r="F81" s="4">
        <v>43921</v>
      </c>
      <c r="G81" s="4">
        <v>44286</v>
      </c>
      <c r="H81" s="4">
        <v>44651</v>
      </c>
      <c r="I81" s="4">
        <v>45016</v>
      </c>
      <c r="J81" s="4">
        <v>45382</v>
      </c>
      <c r="K81" s="4">
        <v>45747</v>
      </c>
    </row>
    <row r="82" spans="1:11" s="1" customFormat="1" x14ac:dyDescent="0.25">
      <c r="A82" s="3" t="s">
        <v>18</v>
      </c>
      <c r="B82">
        <v>4171</v>
      </c>
      <c r="C82">
        <v>5185</v>
      </c>
      <c r="D82">
        <v>6059</v>
      </c>
      <c r="E82">
        <v>5800</v>
      </c>
      <c r="F82">
        <v>7623</v>
      </c>
      <c r="G82">
        <v>9163</v>
      </c>
      <c r="H82">
        <v>9048</v>
      </c>
      <c r="I82">
        <v>9991</v>
      </c>
      <c r="J82">
        <v>15469</v>
      </c>
      <c r="K82">
        <v>11886</v>
      </c>
    </row>
    <row r="83" spans="1:11" s="3" customFormat="1" x14ac:dyDescent="0.25">
      <c r="A83" s="3" t="s">
        <v>19</v>
      </c>
      <c r="B83">
        <v>-282</v>
      </c>
      <c r="C83">
        <v>-1173</v>
      </c>
      <c r="D83">
        <v>-1063</v>
      </c>
      <c r="E83">
        <v>-438</v>
      </c>
      <c r="F83">
        <v>1791</v>
      </c>
      <c r="G83">
        <v>-1228</v>
      </c>
      <c r="H83">
        <v>-1728</v>
      </c>
      <c r="I83">
        <v>-1484</v>
      </c>
      <c r="J83">
        <v>-5324</v>
      </c>
      <c r="K83">
        <v>6473</v>
      </c>
    </row>
    <row r="84" spans="1:11" s="3" customFormat="1" x14ac:dyDescent="0.25">
      <c r="A84" s="3" t="s">
        <v>20</v>
      </c>
      <c r="B84">
        <v>-3864</v>
      </c>
      <c r="C84">
        <v>-4214</v>
      </c>
      <c r="D84">
        <v>-4975</v>
      </c>
      <c r="E84">
        <v>-5390</v>
      </c>
      <c r="F84">
        <v>-6819</v>
      </c>
      <c r="G84">
        <v>-9309</v>
      </c>
      <c r="H84">
        <v>-8015</v>
      </c>
      <c r="I84">
        <v>-8953</v>
      </c>
      <c r="J84">
        <v>-10034</v>
      </c>
      <c r="K84">
        <v>-13101</v>
      </c>
    </row>
    <row r="85" spans="1:11" s="1" customFormat="1" x14ac:dyDescent="0.25">
      <c r="A85" s="3" t="s">
        <v>21</v>
      </c>
      <c r="B85">
        <v>25</v>
      </c>
      <c r="C85">
        <v>-202</v>
      </c>
      <c r="D85">
        <v>21</v>
      </c>
      <c r="E85">
        <v>-28</v>
      </c>
      <c r="F85">
        <v>2595</v>
      </c>
      <c r="G85">
        <v>-1374</v>
      </c>
      <c r="H85">
        <v>-695</v>
      </c>
      <c r="I85">
        <v>-446</v>
      </c>
      <c r="J85">
        <v>111</v>
      </c>
      <c r="K85">
        <v>5258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42</v>
      </c>
      <c r="B90">
        <v>869.5</v>
      </c>
      <c r="C90">
        <v>911.75</v>
      </c>
      <c r="D90">
        <v>1333.35</v>
      </c>
      <c r="E90">
        <v>1706.8</v>
      </c>
      <c r="F90">
        <v>2298.5</v>
      </c>
      <c r="G90">
        <v>2431.5</v>
      </c>
      <c r="H90">
        <v>2048.65</v>
      </c>
      <c r="I90">
        <v>2560.35</v>
      </c>
      <c r="J90">
        <v>2264.35</v>
      </c>
      <c r="K90">
        <v>2258.85</v>
      </c>
    </row>
    <row r="92" spans="1:11" s="1" customFormat="1" x14ac:dyDescent="0.25">
      <c r="A92" s="1" t="s">
        <v>41</v>
      </c>
    </row>
    <row r="93" spans="1:11" x14ac:dyDescent="0.25">
      <c r="A93" s="2" t="s">
        <v>54</v>
      </c>
      <c r="B93" s="7">
        <v>216.39</v>
      </c>
      <c r="C93" s="7">
        <v>216.43</v>
      </c>
      <c r="D93" s="7">
        <v>216.45</v>
      </c>
      <c r="E93" s="7">
        <v>216.47</v>
      </c>
      <c r="F93" s="7">
        <v>216.48</v>
      </c>
      <c r="G93" s="7">
        <v>234.96</v>
      </c>
      <c r="H93" s="7">
        <v>234.96</v>
      </c>
      <c r="I93" s="7">
        <v>234.96</v>
      </c>
      <c r="J93" s="7">
        <v>234.96</v>
      </c>
      <c r="K93" s="7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Financials&gt;</vt:lpstr>
      <vt:lpstr>HistoricalFS</vt:lpstr>
      <vt:lpstr>Ratio Analysis</vt:lpstr>
      <vt:lpstr>Forecasting</vt:lpstr>
      <vt:lpstr>Data&gt;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Divit Lamba</cp:lastModifiedBy>
  <cp:lastPrinted>2025-09-06T14:30:24Z</cp:lastPrinted>
  <dcterms:created xsi:type="dcterms:W3CDTF">2012-08-17T09:55:37Z</dcterms:created>
  <dcterms:modified xsi:type="dcterms:W3CDTF">2025-09-06T14:39:00Z</dcterms:modified>
</cp:coreProperties>
</file>