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MV\Recreating full fmv basic with my own choice of comp\"/>
    </mc:Choice>
  </mc:AlternateContent>
  <bookViews>
    <workbookView xWindow="0" yWindow="0" windowWidth="28800" windowHeight="12300" activeTab="2"/>
  </bookViews>
  <sheets>
    <sheet name="Comps_Val" sheetId="1" r:id="rId1"/>
    <sheet name="Data" sheetId="2" r:id="rId2"/>
    <sheet name="Not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G17" i="1"/>
  <c r="E17" i="1"/>
  <c r="D17" i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O29" i="1" s="1"/>
  <c r="I12" i="2"/>
  <c r="I11" i="2"/>
  <c r="I10" i="2"/>
  <c r="I9" i="2"/>
  <c r="I8" i="2"/>
  <c r="I7" i="2"/>
  <c r="I6" i="2"/>
  <c r="I5" i="2"/>
  <c r="I4" i="2"/>
  <c r="I3" i="2"/>
  <c r="E8" i="1"/>
  <c r="Q31" i="1" s="1"/>
  <c r="D8" i="1"/>
  <c r="B17" i="1"/>
  <c r="B16" i="1"/>
  <c r="B15" i="1"/>
  <c r="B14" i="1"/>
  <c r="B13" i="1"/>
  <c r="B12" i="1"/>
  <c r="B11" i="1"/>
  <c r="B10" i="1"/>
  <c r="B9" i="1"/>
  <c r="B8" i="1"/>
  <c r="F39" i="2"/>
  <c r="J39" i="2" s="1"/>
  <c r="F38" i="2"/>
  <c r="J38" i="2" s="1"/>
  <c r="F37" i="2"/>
  <c r="J37" i="2" s="1"/>
  <c r="F36" i="2"/>
  <c r="J36" i="2" s="1"/>
  <c r="F35" i="2"/>
  <c r="J35" i="2" s="1"/>
  <c r="F34" i="2"/>
  <c r="J34" i="2" s="1"/>
  <c r="F33" i="2"/>
  <c r="J33" i="2" s="1"/>
  <c r="F32" i="2"/>
  <c r="J32" i="2" s="1"/>
  <c r="F31" i="2"/>
  <c r="J31" i="2" s="1"/>
  <c r="F30" i="2"/>
  <c r="J30" i="2" s="1"/>
  <c r="F29" i="2"/>
  <c r="J29" i="2" s="1"/>
  <c r="F28" i="2"/>
  <c r="J28" i="2" s="1"/>
  <c r="F27" i="2"/>
  <c r="J27" i="2" s="1"/>
  <c r="F26" i="2"/>
  <c r="J26" i="2" s="1"/>
  <c r="F25" i="2"/>
  <c r="J25" i="2" s="1"/>
  <c r="F24" i="2"/>
  <c r="J24" i="2" s="1"/>
  <c r="F23" i="2"/>
  <c r="J23" i="2" s="1"/>
  <c r="F22" i="2"/>
  <c r="J22" i="2" s="1"/>
  <c r="F21" i="2"/>
  <c r="J21" i="2" s="1"/>
  <c r="F20" i="2"/>
  <c r="J20" i="2" s="1"/>
  <c r="F12" i="2"/>
  <c r="J12" i="2" s="1"/>
  <c r="F11" i="2"/>
  <c r="J11" i="2" s="1"/>
  <c r="F10" i="2"/>
  <c r="J10" i="2" s="1"/>
  <c r="F9" i="2"/>
  <c r="J9" i="2" s="1"/>
  <c r="F8" i="2"/>
  <c r="J8" i="2" s="1"/>
  <c r="F7" i="2"/>
  <c r="J7" i="2" s="1"/>
  <c r="F6" i="2"/>
  <c r="J6" i="2" s="1"/>
  <c r="F5" i="2"/>
  <c r="J5" i="2" s="1"/>
  <c r="F4" i="2"/>
  <c r="J4" i="2" s="1"/>
  <c r="F3" i="2"/>
  <c r="J3" i="2" s="1"/>
  <c r="O31" i="1" l="1"/>
  <c r="P31" i="1"/>
  <c r="Q29" i="1"/>
  <c r="F12" i="1"/>
  <c r="F15" i="1"/>
  <c r="F16" i="1"/>
  <c r="F8" i="1"/>
  <c r="F9" i="1"/>
  <c r="F13" i="1"/>
  <c r="F17" i="1"/>
  <c r="F10" i="1"/>
  <c r="F14" i="1"/>
  <c r="F11" i="1"/>
  <c r="H17" i="1" l="1"/>
  <c r="Q17" i="1"/>
  <c r="H13" i="1"/>
  <c r="Q13" i="1"/>
  <c r="H10" i="1"/>
  <c r="Q10" i="1"/>
  <c r="H9" i="1"/>
  <c r="Q9" i="1"/>
  <c r="H14" i="1"/>
  <c r="Q14" i="1"/>
  <c r="H8" i="1"/>
  <c r="Q8" i="1"/>
  <c r="H16" i="1"/>
  <c r="Q16" i="1"/>
  <c r="H15" i="1"/>
  <c r="Q15" i="1"/>
  <c r="H12" i="1"/>
  <c r="Q12" i="1"/>
  <c r="H11" i="1"/>
  <c r="Q11" i="1"/>
  <c r="O8" i="1" l="1"/>
  <c r="P8" i="1"/>
  <c r="O10" i="1"/>
  <c r="P10" i="1"/>
  <c r="P11" i="1"/>
  <c r="O11" i="1"/>
  <c r="P12" i="1"/>
  <c r="O12" i="1"/>
  <c r="O15" i="1"/>
  <c r="P15" i="1"/>
  <c r="O13" i="1"/>
  <c r="P13" i="1"/>
  <c r="Q19" i="1"/>
  <c r="Q24" i="1"/>
  <c r="Q23" i="1"/>
  <c r="Q22" i="1"/>
  <c r="Q30" i="1" s="1"/>
  <c r="Q21" i="1"/>
  <c r="Q20" i="1"/>
  <c r="O14" i="1"/>
  <c r="P14" i="1"/>
  <c r="O9" i="1"/>
  <c r="P9" i="1"/>
  <c r="O16" i="1"/>
  <c r="P16" i="1"/>
  <c r="O17" i="1"/>
  <c r="P17" i="1"/>
  <c r="Q28" i="1" l="1"/>
  <c r="Q33" i="1"/>
  <c r="Q35" i="1" s="1"/>
  <c r="P20" i="1"/>
  <c r="P19" i="1"/>
  <c r="P24" i="1"/>
  <c r="P23" i="1"/>
  <c r="P22" i="1"/>
  <c r="P28" i="1" s="1"/>
  <c r="P30" i="1" s="1"/>
  <c r="P33" i="1" s="1"/>
  <c r="P35" i="1" s="1"/>
  <c r="P21" i="1"/>
  <c r="O24" i="1"/>
  <c r="O23" i="1"/>
  <c r="O22" i="1"/>
  <c r="O28" i="1" s="1"/>
  <c r="O30" i="1" s="1"/>
  <c r="O33" i="1" s="1"/>
  <c r="O35" i="1" s="1"/>
  <c r="O21" i="1"/>
  <c r="O20" i="1"/>
  <c r="O19" i="1"/>
</calcChain>
</file>

<file path=xl/sharedStrings.xml><?xml version="1.0" encoding="utf-8"?>
<sst xmlns="http://schemas.openxmlformats.org/spreadsheetml/2006/main" count="85" uniqueCount="78">
  <si>
    <t>Comparable Company Valuation</t>
  </si>
  <si>
    <t>Company</t>
  </si>
  <si>
    <t>Ticker</t>
  </si>
  <si>
    <t>Share Price</t>
  </si>
  <si>
    <t>Shares outstanding</t>
  </si>
  <si>
    <t>Equity Value</t>
  </si>
  <si>
    <t>Net Debt</t>
  </si>
  <si>
    <t>Enterprise Value</t>
  </si>
  <si>
    <t>Market Data</t>
  </si>
  <si>
    <t>Revenue</t>
  </si>
  <si>
    <t>EBITDA</t>
  </si>
  <si>
    <t>Net Income</t>
  </si>
  <si>
    <t>Valuation</t>
  </si>
  <si>
    <t xml:space="preserve"> </t>
  </si>
  <si>
    <t>Financials</t>
  </si>
  <si>
    <t>GO TO SCREENER SEARCH ANY COMPANY AND HEAD TO THE PEER COMPARISON</t>
  </si>
  <si>
    <t>IN THERE CLICK ON EDIT COLUMNS, AND SELECT THE FOLLOWING</t>
  </si>
  <si>
    <t>CURRENT PRICE,NO. OF EQUITY SHARES, DEBT, CASH END OF LAST YEAR, ENTERPRISE VALUE, SALES, EBIDTA MARGINS, NET PROFIT</t>
  </si>
  <si>
    <t>IF EBITDA MARGINS IS NOT AVAILABLE, JUST BRING EBIT AND DEPRECIATION, THEN IN EXCEL USE THE FORMULA</t>
  </si>
  <si>
    <t>(EBIT+DEPRECIATION)/SALES</t>
  </si>
  <si>
    <t>S.No.</t>
  </si>
  <si>
    <t>Name</t>
  </si>
  <si>
    <t>CMP Rs.</t>
  </si>
  <si>
    <t>No. Eq. Shares Cr.</t>
  </si>
  <si>
    <t>Debt Rs.Cr.</t>
  </si>
  <si>
    <t>Cash End Rs.Cr.</t>
  </si>
  <si>
    <t>Sales Rs.Cr.</t>
  </si>
  <si>
    <t>NP 12M Rs.Cr.</t>
  </si>
  <si>
    <t>Hind. Unilever</t>
  </si>
  <si>
    <t>ITC</t>
  </si>
  <si>
    <t>Nestle India</t>
  </si>
  <si>
    <t>Varun Beverages</t>
  </si>
  <si>
    <t>Britannia Inds.</t>
  </si>
  <si>
    <t>Godrej Consumer</t>
  </si>
  <si>
    <t>Tata Consumer</t>
  </si>
  <si>
    <t>Dabur India</t>
  </si>
  <si>
    <t>Marico</t>
  </si>
  <si>
    <t>United Spirits</t>
  </si>
  <si>
    <t>Patanjali Foods</t>
  </si>
  <si>
    <t>Colgate-Palmoliv</t>
  </si>
  <si>
    <t>Godfrey Phillips</t>
  </si>
  <si>
    <t>United Breweries</t>
  </si>
  <si>
    <t>P &amp; G Hygiene</t>
  </si>
  <si>
    <t>Elitecon Inter.</t>
  </si>
  <si>
    <t>Radico Khaitan</t>
  </si>
  <si>
    <t>AWL Agri Busine.</t>
  </si>
  <si>
    <t>Gillette India</t>
  </si>
  <si>
    <t>Emami</t>
  </si>
  <si>
    <t>Hatsun Agro</t>
  </si>
  <si>
    <t>Bikaji Foods</t>
  </si>
  <si>
    <t>EID Parry</t>
  </si>
  <si>
    <t>Doms Industries</t>
  </si>
  <si>
    <t>L T Foods</t>
  </si>
  <si>
    <t>Zydus Wellness</t>
  </si>
  <si>
    <t>Allied Blenders</t>
  </si>
  <si>
    <t>Godrej Agrovet</t>
  </si>
  <si>
    <t>Bombay Burmah</t>
  </si>
  <si>
    <t>CCL Products</t>
  </si>
  <si>
    <t>CONVERT ALL DATA TO NUMBER BY PRESSING ALT+H+N+N (EXCEPT MARGINS, THEY GO INTO %)</t>
  </si>
  <si>
    <t>Market Capitalization</t>
  </si>
  <si>
    <t>EV</t>
  </si>
  <si>
    <t>EV/Revenue</t>
  </si>
  <si>
    <t>EV/EBITDA</t>
  </si>
  <si>
    <t>P/E</t>
  </si>
  <si>
    <t>High</t>
  </si>
  <si>
    <t>75th Percentile</t>
  </si>
  <si>
    <t>Average</t>
  </si>
  <si>
    <t>Median</t>
  </si>
  <si>
    <t>25th Percentile</t>
  </si>
  <si>
    <t>Low</t>
  </si>
  <si>
    <t>Hind. Uniliver Valuation</t>
  </si>
  <si>
    <t>Implied Enterprise Value</t>
  </si>
  <si>
    <t>Implied Market Value</t>
  </si>
  <si>
    <t>Shares Outstanding</t>
  </si>
  <si>
    <t>Implied Value per Share</t>
  </si>
  <si>
    <t xml:space="preserve">INCASE OF PE UNDER HUL VALUATION </t>
  </si>
  <si>
    <t>FIRST CALCULATE EVERYTHING THEN CALCULATE THE IMPLIED ENTERPRISE VALUE</t>
  </si>
  <si>
    <t>Amount in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</si>
</sst>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;\(#,##0.0\);\-"/>
    <numFmt numFmtId="165" formatCode="0.0\x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8" tint="-0.499984740745262"/>
      <name val="Calibri"/>
      <family val="2"/>
    </font>
    <font>
      <b/>
      <sz val="11"/>
      <color theme="8" tint="-0.499984740745262"/>
      <name val="Calibri"/>
      <family val="2"/>
    </font>
    <font>
      <i/>
      <sz val="11"/>
      <name val="Calibri"/>
      <family val="2"/>
    </font>
    <font>
      <i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8" tint="-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hair">
        <color theme="8" tint="-0.499984740745262"/>
      </top>
      <bottom style="hair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1" xfId="0" applyNumberFormat="1" applyFont="1" applyFill="1" applyBorder="1"/>
    <xf numFmtId="0" fontId="2" fillId="2" borderId="0" xfId="0" applyFont="1" applyFill="1" applyAlignment="1">
      <alignment wrapText="1"/>
    </xf>
    <xf numFmtId="0" fontId="4" fillId="0" borderId="0" xfId="0" applyFont="1" applyFill="1"/>
    <xf numFmtId="0" fontId="2" fillId="2" borderId="0" xfId="0" applyFont="1" applyFill="1" applyBorder="1" applyAlignment="1"/>
    <xf numFmtId="0" fontId="0" fillId="0" borderId="0" xfId="0" applyFill="1"/>
    <xf numFmtId="0" fontId="2" fillId="0" borderId="0" xfId="0" applyFont="1" applyFill="1" applyBorder="1" applyAlignment="1"/>
    <xf numFmtId="0" fontId="6" fillId="0" borderId="0" xfId="0" applyFont="1"/>
    <xf numFmtId="0" fontId="7" fillId="0" borderId="1" xfId="0" applyNumberFormat="1" applyFont="1" applyFill="1" applyBorder="1"/>
    <xf numFmtId="2" fontId="0" fillId="0" borderId="0" xfId="0" applyNumberFormat="1"/>
    <xf numFmtId="2" fontId="0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0" fillId="3" borderId="3" xfId="0" applyFont="1" applyFill="1" applyBorder="1"/>
    <xf numFmtId="0" fontId="0" fillId="3" borderId="3" xfId="0" applyFont="1" applyFill="1" applyBorder="1" applyAlignment="1">
      <alignment horizontal="left"/>
    </xf>
    <xf numFmtId="164" fontId="0" fillId="3" borderId="3" xfId="0" applyNumberFormat="1" applyFont="1" applyFill="1" applyBorder="1"/>
    <xf numFmtId="165" fontId="0" fillId="3" borderId="3" xfId="0" applyNumberFormat="1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3" xfId="0" applyNumberFormat="1" applyBorder="1"/>
    <xf numFmtId="165" fontId="0" fillId="0" borderId="3" xfId="0" applyNumberFormat="1" applyBorder="1"/>
    <xf numFmtId="0" fontId="2" fillId="2" borderId="0" xfId="0" applyNumberFormat="1" applyFont="1" applyFill="1" applyBorder="1"/>
    <xf numFmtId="0" fontId="4" fillId="2" borderId="0" xfId="0" applyFont="1" applyFill="1" applyBorder="1"/>
    <xf numFmtId="164" fontId="0" fillId="0" borderId="0" xfId="0" applyNumberFormat="1" applyBorder="1"/>
    <xf numFmtId="0" fontId="3" fillId="3" borderId="4" xfId="0" applyFont="1" applyFill="1" applyBorder="1"/>
    <xf numFmtId="164" fontId="3" fillId="3" borderId="4" xfId="0" applyNumberFormat="1" applyFont="1" applyFill="1" applyBorder="1"/>
    <xf numFmtId="0" fontId="0" fillId="3" borderId="3" xfId="0" applyFill="1" applyBorder="1"/>
    <xf numFmtId="165" fontId="3" fillId="3" borderId="3" xfId="0" applyNumberFormat="1" applyFont="1" applyFill="1" applyBorder="1"/>
    <xf numFmtId="0" fontId="8" fillId="0" borderId="1" xfId="0" applyNumberFormat="1" applyFont="1" applyFill="1" applyBorder="1"/>
    <xf numFmtId="0" fontId="9" fillId="0" borderId="0" xfId="0" applyFont="1"/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5"/>
  <sheetViews>
    <sheetView showGridLines="0" workbookViewId="0">
      <selection activeCell="B2" sqref="B2"/>
    </sheetView>
  </sheetViews>
  <sheetFormatPr defaultRowHeight="15" x14ac:dyDescent="0.25"/>
  <cols>
    <col min="1" max="1" width="1.85546875" customWidth="1"/>
    <col min="2" max="2" width="17.28515625" customWidth="1"/>
    <col min="3" max="3" width="16.85546875" customWidth="1"/>
    <col min="4" max="4" width="10.42578125" customWidth="1"/>
    <col min="5" max="5" width="14.140625" customWidth="1"/>
    <col min="6" max="6" width="11" bestFit="1" customWidth="1"/>
    <col min="7" max="7" width="8.5703125" bestFit="1" customWidth="1"/>
    <col min="8" max="8" width="14.42578125" bestFit="1" customWidth="1"/>
    <col min="10" max="10" width="1.85546875" customWidth="1"/>
    <col min="13" max="13" width="11.28515625" bestFit="1" customWidth="1"/>
    <col min="14" max="14" width="1.85546875" customWidth="1"/>
    <col min="15" max="15" width="13.7109375" customWidth="1"/>
    <col min="16" max="16" width="13.28515625" customWidth="1"/>
    <col min="17" max="17" width="9.7109375" bestFit="1" customWidth="1"/>
    <col min="18" max="18" width="9.140625" style="7"/>
  </cols>
  <sheetData>
    <row r="2" spans="2:18" x14ac:dyDescent="0.25">
      <c r="B2" s="31" t="s">
        <v>77</v>
      </c>
    </row>
    <row r="3" spans="2:18" x14ac:dyDescent="0.25">
      <c r="B3" s="10" t="s">
        <v>0</v>
      </c>
      <c r="C3" s="3"/>
      <c r="D3" s="30"/>
      <c r="E3" s="3"/>
      <c r="F3" s="3"/>
      <c r="G3" s="3"/>
      <c r="H3" s="3"/>
      <c r="I3" s="3"/>
      <c r="J3" s="3"/>
      <c r="K3" s="3"/>
    </row>
    <row r="4" spans="2:18" ht="6" customHeight="1" x14ac:dyDescent="0.25">
      <c r="B4" s="9"/>
    </row>
    <row r="5" spans="2:18" x14ac:dyDescent="0.25">
      <c r="B5" s="2"/>
      <c r="C5" s="2"/>
      <c r="D5" s="32" t="s">
        <v>8</v>
      </c>
      <c r="E5" s="32"/>
      <c r="F5" s="32"/>
      <c r="G5" s="32"/>
      <c r="H5" s="32"/>
      <c r="I5" s="32"/>
      <c r="J5" s="2"/>
      <c r="K5" s="32" t="s">
        <v>14</v>
      </c>
      <c r="L5" s="32"/>
      <c r="M5" s="32"/>
      <c r="N5" s="6"/>
      <c r="O5" s="32" t="s">
        <v>12</v>
      </c>
      <c r="P5" s="32"/>
      <c r="Q5" s="32"/>
      <c r="R5" s="8" t="s">
        <v>13</v>
      </c>
    </row>
    <row r="6" spans="2:18" ht="35.25" customHeight="1" x14ac:dyDescent="0.25">
      <c r="B6" s="1" t="s">
        <v>1</v>
      </c>
      <c r="C6" s="1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1"/>
      <c r="J6" s="2"/>
      <c r="K6" s="1" t="s">
        <v>9</v>
      </c>
      <c r="L6" s="1" t="s">
        <v>10</v>
      </c>
      <c r="M6" s="1" t="s">
        <v>11</v>
      </c>
      <c r="N6" s="2"/>
      <c r="O6" s="4" t="s">
        <v>61</v>
      </c>
      <c r="P6" s="4" t="s">
        <v>62</v>
      </c>
      <c r="Q6" s="4" t="s">
        <v>63</v>
      </c>
      <c r="R6" s="5"/>
    </row>
    <row r="7" spans="2:18" s="7" customFormat="1" ht="6" customHeight="1" x14ac:dyDescent="0.25">
      <c r="B7" s="13"/>
      <c r="C7" s="13"/>
      <c r="D7" s="14"/>
      <c r="E7" s="14"/>
      <c r="F7" s="14"/>
      <c r="G7" s="14"/>
      <c r="H7" s="14"/>
      <c r="I7" s="13"/>
      <c r="J7" s="5"/>
      <c r="K7" s="13"/>
      <c r="L7" s="13"/>
      <c r="M7" s="13"/>
      <c r="N7" s="5"/>
      <c r="O7" s="5"/>
      <c r="P7" s="5"/>
      <c r="Q7" s="5"/>
      <c r="R7" s="5"/>
    </row>
    <row r="8" spans="2:18" x14ac:dyDescent="0.25">
      <c r="B8" s="15" t="str">
        <f>IFERROR(Data!C3,0)</f>
        <v>Hind. Unilever</v>
      </c>
      <c r="C8" s="16"/>
      <c r="D8" s="17">
        <f>IFERROR(Data!D3,0)</f>
        <v>2623.9</v>
      </c>
      <c r="E8" s="17">
        <f>IFERROR(Data!E3,0)</f>
        <v>234.96</v>
      </c>
      <c r="F8" s="17">
        <f>IFERROR(E8*D8,0)</f>
        <v>616511.54399999999</v>
      </c>
      <c r="G8" s="17">
        <f>IFERROR(Data!I3,0)</f>
        <v>-5906</v>
      </c>
      <c r="H8" s="17">
        <f>IFERROR(F8+G8,0)</f>
        <v>610605.54399999999</v>
      </c>
      <c r="I8" s="17"/>
      <c r="J8" s="17"/>
      <c r="K8" s="17">
        <f>IFERROR(Data!K3,0)</f>
        <v>63928</v>
      </c>
      <c r="L8" s="17">
        <f>IFERROR(Data!L3,0)</f>
        <v>15779</v>
      </c>
      <c r="M8" s="17">
        <f>IFERROR(Data!M3,0)</f>
        <v>10827</v>
      </c>
      <c r="N8" s="15"/>
      <c r="O8" s="18">
        <f>IFERROR($H8/K8,0)</f>
        <v>9.5514570141409081</v>
      </c>
      <c r="P8" s="18">
        <f t="shared" ref="P8:P17" si="0">IFERROR($H8/L8,0)</f>
        <v>38.697353697952977</v>
      </c>
      <c r="Q8" s="18">
        <f>IFERROR(F8/M8,0)</f>
        <v>56.942047104461068</v>
      </c>
    </row>
    <row r="9" spans="2:18" x14ac:dyDescent="0.25">
      <c r="B9" s="19" t="str">
        <f>IFERROR(Data!C4,0)</f>
        <v>ITC</v>
      </c>
      <c r="C9" s="20"/>
      <c r="D9" s="21">
        <f>IFERROR(Data!D4,0)</f>
        <v>407.55</v>
      </c>
      <c r="E9" s="21">
        <f>IFERROR(Data!E4,0)</f>
        <v>1252.67</v>
      </c>
      <c r="F9" s="21">
        <f t="shared" ref="F9:F17" si="1">IFERROR(E9*D9,0)</f>
        <v>510525.65850000002</v>
      </c>
      <c r="G9" s="21">
        <f>IFERROR(Data!I4,0)</f>
        <v>-3727.82</v>
      </c>
      <c r="H9" s="21">
        <f t="shared" ref="H9:H17" si="2">IFERROR(F9+G9,0)</f>
        <v>506797.83850000001</v>
      </c>
      <c r="I9" s="21"/>
      <c r="J9" s="21"/>
      <c r="K9" s="21">
        <f>IFERROR(Data!K4,0)</f>
        <v>79040.320000000007</v>
      </c>
      <c r="L9" s="21">
        <f>IFERROR(Data!L4,0)</f>
        <v>28954.460000000003</v>
      </c>
      <c r="M9" s="21">
        <f>IFERROR(Data!M4,0)</f>
        <v>35218.9</v>
      </c>
      <c r="N9" s="19"/>
      <c r="O9" s="22">
        <f t="shared" ref="O9:O17" si="3">IFERROR($H9/K9,0)</f>
        <v>6.4118900138562189</v>
      </c>
      <c r="P9" s="22">
        <f t="shared" si="0"/>
        <v>17.503273709818796</v>
      </c>
      <c r="Q9" s="22">
        <f t="shared" ref="Q9:Q17" si="4">IFERROR(F9/M9,0)</f>
        <v>14.495786594697734</v>
      </c>
    </row>
    <row r="10" spans="2:18" x14ac:dyDescent="0.25">
      <c r="B10" s="19" t="str">
        <f>IFERROR(Data!C5,0)</f>
        <v>Nestle India</v>
      </c>
      <c r="C10" s="20"/>
      <c r="D10" s="21">
        <f>IFERROR(Data!D5,0)</f>
        <v>1187.7</v>
      </c>
      <c r="E10" s="21">
        <f>IFERROR(Data!E5,0)</f>
        <v>192.83</v>
      </c>
      <c r="F10" s="21">
        <f t="shared" si="1"/>
        <v>229024.19100000002</v>
      </c>
      <c r="G10" s="21">
        <f>IFERROR(Data!I5,0)</f>
        <v>1071.1999999999998</v>
      </c>
      <c r="H10" s="21">
        <f t="shared" si="2"/>
        <v>230095.39100000003</v>
      </c>
      <c r="I10" s="21"/>
      <c r="J10" s="21"/>
      <c r="K10" s="21">
        <f>IFERROR(Data!K5,0)</f>
        <v>20483.77</v>
      </c>
      <c r="L10" s="21">
        <f>IFERROR(Data!L5,0)</f>
        <v>4783.42</v>
      </c>
      <c r="M10" s="21">
        <f>IFERROR(Data!M5,0)</f>
        <v>3227.13</v>
      </c>
      <c r="N10" s="19"/>
      <c r="O10" s="22">
        <f t="shared" si="3"/>
        <v>11.233058709407498</v>
      </c>
      <c r="P10" s="22">
        <f t="shared" si="0"/>
        <v>48.102694515639442</v>
      </c>
      <c r="Q10" s="22">
        <f t="shared" si="4"/>
        <v>70.968380883323576</v>
      </c>
    </row>
    <row r="11" spans="2:18" x14ac:dyDescent="0.25">
      <c r="B11" s="19" t="str">
        <f>IFERROR(Data!C6,0)</f>
        <v>Varun Beverages</v>
      </c>
      <c r="C11" s="20"/>
      <c r="D11" s="21">
        <f>IFERROR(Data!D6,0)</f>
        <v>474.05</v>
      </c>
      <c r="E11" s="21">
        <f>IFERROR(Data!E6,0)</f>
        <v>338.2</v>
      </c>
      <c r="F11" s="21">
        <f t="shared" si="1"/>
        <v>160323.71</v>
      </c>
      <c r="G11" s="21">
        <f>IFERROR(Data!I6,0)</f>
        <v>-311.80000000000018</v>
      </c>
      <c r="H11" s="21">
        <f t="shared" si="2"/>
        <v>160011.91</v>
      </c>
      <c r="I11" s="21"/>
      <c r="J11" s="21"/>
      <c r="K11" s="21">
        <f>IFERROR(Data!K6,0)</f>
        <v>21077.78</v>
      </c>
      <c r="L11" s="21">
        <f>IFERROR(Data!L6,0)</f>
        <v>5165.3999999999996</v>
      </c>
      <c r="M11" s="21">
        <f>IFERROR(Data!M6,0)</f>
        <v>2881.31</v>
      </c>
      <c r="N11" s="19"/>
      <c r="O11" s="22">
        <f t="shared" si="3"/>
        <v>7.5914973018980181</v>
      </c>
      <c r="P11" s="22">
        <f t="shared" si="0"/>
        <v>30.977641615363769</v>
      </c>
      <c r="Q11" s="22">
        <f t="shared" si="4"/>
        <v>55.642645185696779</v>
      </c>
    </row>
    <row r="12" spans="2:18" x14ac:dyDescent="0.25">
      <c r="B12" s="19" t="str">
        <f>IFERROR(Data!C7,0)</f>
        <v>Britannia Inds.</v>
      </c>
      <c r="C12" s="20"/>
      <c r="D12" s="21">
        <f>IFERROR(Data!D7,0)</f>
        <v>6115.5</v>
      </c>
      <c r="E12" s="21">
        <f>IFERROR(Data!E7,0)</f>
        <v>24.09</v>
      </c>
      <c r="F12" s="21">
        <f t="shared" si="1"/>
        <v>147322.39499999999</v>
      </c>
      <c r="G12" s="21">
        <f>IFERROR(Data!I7,0)</f>
        <v>934.03</v>
      </c>
      <c r="H12" s="21">
        <f t="shared" si="2"/>
        <v>148256.42499999999</v>
      </c>
      <c r="I12" s="21"/>
      <c r="J12" s="21"/>
      <c r="K12" s="21">
        <f>IFERROR(Data!K7,0)</f>
        <v>18314.59</v>
      </c>
      <c r="L12" s="21">
        <f>IFERROR(Data!L7,0)</f>
        <v>3404.08</v>
      </c>
      <c r="M12" s="21">
        <f>IFERROR(Data!M7,0)</f>
        <v>2193.11</v>
      </c>
      <c r="N12" s="19"/>
      <c r="O12" s="22">
        <f t="shared" si="3"/>
        <v>8.094990114438815</v>
      </c>
      <c r="P12" s="22">
        <f t="shared" si="0"/>
        <v>43.552567800991746</v>
      </c>
      <c r="Q12" s="22">
        <f t="shared" si="4"/>
        <v>67.175105215880635</v>
      </c>
    </row>
    <row r="13" spans="2:18" x14ac:dyDescent="0.25">
      <c r="B13" s="19" t="str">
        <f>IFERROR(Data!C8,0)</f>
        <v>Godrej Consumer</v>
      </c>
      <c r="C13" s="20"/>
      <c r="D13" s="21">
        <f>IFERROR(Data!D8,0)</f>
        <v>1229.9000000000001</v>
      </c>
      <c r="E13" s="21">
        <f>IFERROR(Data!E8,0)</f>
        <v>102.31</v>
      </c>
      <c r="F13" s="21">
        <f t="shared" si="1"/>
        <v>125831.06900000002</v>
      </c>
      <c r="G13" s="21">
        <f>IFERROR(Data!I8,0)</f>
        <v>3526.13</v>
      </c>
      <c r="H13" s="21">
        <f t="shared" si="2"/>
        <v>129357.19900000002</v>
      </c>
      <c r="I13" s="21"/>
      <c r="J13" s="21"/>
      <c r="K13" s="21">
        <f>IFERROR(Data!K8,0)</f>
        <v>14694.57</v>
      </c>
      <c r="L13" s="21">
        <f>IFERROR(Data!L8,0)</f>
        <v>3296.6299999999997</v>
      </c>
      <c r="M13" s="21">
        <f>IFERROR(Data!M8,0)</f>
        <v>1853.97</v>
      </c>
      <c r="N13" s="19"/>
      <c r="O13" s="22">
        <f t="shared" si="3"/>
        <v>8.8030611987965646</v>
      </c>
      <c r="P13" s="22">
        <f t="shared" si="0"/>
        <v>39.239222782053197</v>
      </c>
      <c r="Q13" s="22">
        <f t="shared" si="4"/>
        <v>67.871146242927352</v>
      </c>
    </row>
    <row r="14" spans="2:18" x14ac:dyDescent="0.25">
      <c r="B14" s="19" t="str">
        <f>IFERROR(Data!C9,0)</f>
        <v>Tata Consumer</v>
      </c>
      <c r="C14" s="20"/>
      <c r="D14" s="21">
        <f>IFERROR(Data!D9,0)</f>
        <v>1074.2</v>
      </c>
      <c r="E14" s="21">
        <f>IFERROR(Data!E9,0)</f>
        <v>98.95</v>
      </c>
      <c r="F14" s="21">
        <f t="shared" si="1"/>
        <v>106292.09000000001</v>
      </c>
      <c r="G14" s="21">
        <f>IFERROR(Data!I9,0)</f>
        <v>-425.18000000000029</v>
      </c>
      <c r="H14" s="21">
        <f t="shared" si="2"/>
        <v>105866.91</v>
      </c>
      <c r="I14" s="21"/>
      <c r="J14" s="21"/>
      <c r="K14" s="21">
        <f>IFERROR(Data!K9,0)</f>
        <v>18045.14</v>
      </c>
      <c r="L14" s="21">
        <f>IFERROR(Data!L9,0)</f>
        <v>2614.16</v>
      </c>
      <c r="M14" s="21">
        <f>IFERROR(Data!M9,0)</f>
        <v>1329.6</v>
      </c>
      <c r="N14" s="19"/>
      <c r="O14" s="22">
        <f t="shared" si="3"/>
        <v>5.8667824134365265</v>
      </c>
      <c r="P14" s="22">
        <f t="shared" si="0"/>
        <v>40.497486764390857</v>
      </c>
      <c r="Q14" s="22">
        <f t="shared" si="4"/>
        <v>79.942907641395919</v>
      </c>
    </row>
    <row r="15" spans="2:18" x14ac:dyDescent="0.25">
      <c r="B15" s="19" t="str">
        <f>IFERROR(Data!C10,0)</f>
        <v>Dabur India</v>
      </c>
      <c r="C15" s="20"/>
      <c r="D15" s="21">
        <f>IFERROR(Data!D10,0)</f>
        <v>546.20000000000005</v>
      </c>
      <c r="E15" s="21">
        <f>IFERROR(Data!E10,0)</f>
        <v>177.37</v>
      </c>
      <c r="F15" s="21">
        <f t="shared" si="1"/>
        <v>96879.494000000006</v>
      </c>
      <c r="G15" s="21">
        <f>IFERROR(Data!I10,0)</f>
        <v>372.36</v>
      </c>
      <c r="H15" s="21">
        <f t="shared" si="2"/>
        <v>97251.854000000007</v>
      </c>
      <c r="I15" s="21"/>
      <c r="J15" s="21"/>
      <c r="K15" s="21">
        <f>IFERROR(Data!K10,0)</f>
        <v>12618.56</v>
      </c>
      <c r="L15" s="21">
        <f>IFERROR(Data!L10,0)</f>
        <v>2894.15</v>
      </c>
      <c r="M15" s="21">
        <f>IFERROR(Data!M10,0)</f>
        <v>1754.36</v>
      </c>
      <c r="N15" s="19"/>
      <c r="O15" s="22">
        <f t="shared" si="3"/>
        <v>7.7070485063271885</v>
      </c>
      <c r="P15" s="22">
        <f t="shared" si="0"/>
        <v>33.602907243923084</v>
      </c>
      <c r="Q15" s="22">
        <f t="shared" si="4"/>
        <v>55.222128867507244</v>
      </c>
    </row>
    <row r="16" spans="2:18" x14ac:dyDescent="0.25">
      <c r="B16" s="19" t="str">
        <f>IFERROR(Data!C11,0)</f>
        <v>Marico</v>
      </c>
      <c r="C16" s="20"/>
      <c r="D16" s="21">
        <f>IFERROR(Data!D11,0)</f>
        <v>730.6</v>
      </c>
      <c r="E16" s="21">
        <f>IFERROR(Data!E11,0)</f>
        <v>129.79</v>
      </c>
      <c r="F16" s="21">
        <f t="shared" si="1"/>
        <v>94824.573999999993</v>
      </c>
      <c r="G16" s="21">
        <f>IFERROR(Data!I11,0)</f>
        <v>-223</v>
      </c>
      <c r="H16" s="21">
        <f t="shared" si="2"/>
        <v>94601.573999999993</v>
      </c>
      <c r="I16" s="21"/>
      <c r="J16" s="21"/>
      <c r="K16" s="21">
        <f>IFERROR(Data!K11,0)</f>
        <v>11447</v>
      </c>
      <c r="L16" s="21">
        <f>IFERROR(Data!L11,0)</f>
        <v>2395</v>
      </c>
      <c r="M16" s="21">
        <f>IFERROR(Data!M11,0)</f>
        <v>1697</v>
      </c>
      <c r="N16" s="19"/>
      <c r="O16" s="22">
        <f t="shared" si="3"/>
        <v>8.2643115226696953</v>
      </c>
      <c r="P16" s="22">
        <f t="shared" si="0"/>
        <v>39.499613361169096</v>
      </c>
      <c r="Q16" s="22">
        <f t="shared" si="4"/>
        <v>55.877769004124922</v>
      </c>
    </row>
    <row r="17" spans="2:17" x14ac:dyDescent="0.25">
      <c r="B17" s="19" t="str">
        <f>IFERROR(Data!C12,0)</f>
        <v>United Spirits</v>
      </c>
      <c r="C17" s="20"/>
      <c r="D17" s="21">
        <f>IFERROR(Data!D12,0)</f>
        <v>1296</v>
      </c>
      <c r="E17" s="21">
        <f>IFERROR(Data!E12,0)</f>
        <v>72.739999999999995</v>
      </c>
      <c r="F17" s="21">
        <f t="shared" si="1"/>
        <v>94271.039999999994</v>
      </c>
      <c r="G17" s="21">
        <f>IFERROR(Data!I12,0)</f>
        <v>-1550</v>
      </c>
      <c r="H17" s="21">
        <f t="shared" si="2"/>
        <v>92721.04</v>
      </c>
      <c r="I17" s="21"/>
      <c r="J17" s="21"/>
      <c r="K17" s="21">
        <f>IFERROR(Data!K12,0)</f>
        <v>12329</v>
      </c>
      <c r="L17" s="21">
        <f>IFERROR(Data!L12,0)</f>
        <v>2535</v>
      </c>
      <c r="M17" s="21">
        <f>IFERROR(Data!M12,0)</f>
        <v>1514</v>
      </c>
      <c r="N17" s="19"/>
      <c r="O17" s="22">
        <f t="shared" si="3"/>
        <v>7.520564522670127</v>
      </c>
      <c r="P17" s="22">
        <f t="shared" si="0"/>
        <v>36.576347140039445</v>
      </c>
      <c r="Q17" s="22">
        <f t="shared" si="4"/>
        <v>62.266208718626153</v>
      </c>
    </row>
    <row r="18" spans="2:17" ht="6" customHeight="1" x14ac:dyDescent="0.25"/>
    <row r="19" spans="2:17" x14ac:dyDescent="0.25">
      <c r="B19" s="28" t="s">
        <v>64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18">
        <f>IFERROR(MAX(O8:O17),0)</f>
        <v>11.233058709407498</v>
      </c>
      <c r="P19" s="18">
        <f t="shared" ref="P19:Q19" si="5">IFERROR(MAX(P8:P17),0)</f>
        <v>48.102694515639442</v>
      </c>
      <c r="Q19" s="18">
        <f t="shared" si="5"/>
        <v>79.942907641395919</v>
      </c>
    </row>
    <row r="20" spans="2:17" x14ac:dyDescent="0.25">
      <c r="B20" s="28" t="s">
        <v>65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18">
        <f>IFERROR(QUARTILE(O8:O17,3),0)</f>
        <v>8.6683737797648472</v>
      </c>
      <c r="P20" s="18">
        <f t="shared" ref="P20:Q20" si="6">IFERROR(QUARTILE(P8:P17,3),0)</f>
        <v>40.248018413585413</v>
      </c>
      <c r="Q20" s="18">
        <f t="shared" si="6"/>
        <v>67.697135986165677</v>
      </c>
    </row>
    <row r="21" spans="2:17" x14ac:dyDescent="0.25">
      <c r="B21" s="28" t="s">
        <v>66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>
        <f>IFERROR(AVERAGE(O8:O17),0)</f>
        <v>8.1044661317641555</v>
      </c>
      <c r="P21" s="29">
        <f t="shared" ref="P21:Q21" si="7">IFERROR(AVERAGE(P8:P17),0)</f>
        <v>36.824910863134235</v>
      </c>
      <c r="Q21" s="29">
        <f t="shared" si="7"/>
        <v>58.640412545864137</v>
      </c>
    </row>
    <row r="22" spans="2:17" x14ac:dyDescent="0.25">
      <c r="B22" s="28" t="s">
        <v>67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9">
        <f>IFERROR(MEDIAN(O8:O17),0)</f>
        <v>7.9010193103830018</v>
      </c>
      <c r="P22" s="29">
        <f t="shared" ref="P22:Q22" si="8">IFERROR(MEDIAN(P8:P17),0)</f>
        <v>38.968288240003091</v>
      </c>
      <c r="Q22" s="29">
        <f t="shared" si="8"/>
        <v>59.604127911543614</v>
      </c>
    </row>
    <row r="23" spans="2:17" x14ac:dyDescent="0.25">
      <c r="B23" s="28" t="s">
        <v>68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8">
        <f>IFERROR(QUARTILE(O8:O17,1),0)</f>
        <v>7.5382977174771</v>
      </c>
      <c r="P23" s="18">
        <f t="shared" ref="P23:Q23" si="9">IFERROR(QUARTILE(P8:P17,1),0)</f>
        <v>34.346267217952175</v>
      </c>
      <c r="Q23" s="18">
        <f t="shared" si="9"/>
        <v>55.701426140303816</v>
      </c>
    </row>
    <row r="24" spans="2:17" x14ac:dyDescent="0.25">
      <c r="B24" s="28" t="s">
        <v>69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18">
        <f>IFERROR(MIN(O8:O17),0)</f>
        <v>5.8667824134365265</v>
      </c>
      <c r="P24" s="18">
        <f t="shared" ref="P24:Q24" si="10">IFERROR(MIN(P8:P17),0)</f>
        <v>17.503273709818796</v>
      </c>
      <c r="Q24" s="18">
        <f t="shared" si="10"/>
        <v>14.495786594697734</v>
      </c>
    </row>
    <row r="26" spans="2:17" x14ac:dyDescent="0.25">
      <c r="B26" s="23" t="s">
        <v>70</v>
      </c>
      <c r="C26" s="2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" t="s">
        <v>61</v>
      </c>
      <c r="P26" s="4" t="s">
        <v>62</v>
      </c>
      <c r="Q26" s="4" t="s">
        <v>63</v>
      </c>
    </row>
    <row r="27" spans="2:17" ht="6" customHeight="1" x14ac:dyDescent="0.25"/>
    <row r="28" spans="2:17" x14ac:dyDescent="0.25">
      <c r="B28" s="19" t="s">
        <v>71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1">
        <f>IFERROR(O$22*K8,0)</f>
        <v>505096.36247416452</v>
      </c>
      <c r="P28" s="21">
        <f t="shared" ref="P28" si="11">IFERROR(P$22*L8,0)</f>
        <v>614880.62013900874</v>
      </c>
      <c r="Q28" s="21">
        <f>IFERROR(Q30+Q29,0)</f>
        <v>639427.89289828273</v>
      </c>
    </row>
    <row r="29" spans="2:17" x14ac:dyDescent="0.25">
      <c r="B29" s="19" t="s">
        <v>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1">
        <f>IFERROR($G$8,0)</f>
        <v>-5906</v>
      </c>
      <c r="P29" s="21">
        <f t="shared" ref="P29:Q29" si="12">IFERROR($G$8,0)</f>
        <v>-5906</v>
      </c>
      <c r="Q29" s="21">
        <f t="shared" si="12"/>
        <v>-5906</v>
      </c>
    </row>
    <row r="30" spans="2:17" x14ac:dyDescent="0.25">
      <c r="B30" s="19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1">
        <f>IFERROR(O28-O29,0)</f>
        <v>511002.36247416452</v>
      </c>
      <c r="P30" s="21">
        <f t="shared" ref="P30" si="13">IFERROR(P28-P29,0)</f>
        <v>620786.62013900874</v>
      </c>
      <c r="Q30" s="21">
        <f>IFERROR(Q22*M8,0)</f>
        <v>645333.89289828273</v>
      </c>
    </row>
    <row r="31" spans="2:17" x14ac:dyDescent="0.25">
      <c r="B31" s="19" t="s">
        <v>73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1">
        <f>IFERROR($E$8,0)</f>
        <v>234.96</v>
      </c>
      <c r="P31" s="21">
        <f t="shared" ref="P31:Q31" si="14">IFERROR($E$8,0)</f>
        <v>234.96</v>
      </c>
      <c r="Q31" s="21">
        <f t="shared" si="14"/>
        <v>234.96</v>
      </c>
    </row>
    <row r="32" spans="2:17" ht="6" customHeight="1" x14ac:dyDescent="0.25">
      <c r="O32" s="25"/>
      <c r="P32" s="25"/>
      <c r="Q32" s="25"/>
    </row>
    <row r="33" spans="2:17" x14ac:dyDescent="0.25">
      <c r="B33" s="26" t="s">
        <v>74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f>IFERROR(O30/O31,0)</f>
        <v>2174.8483251368934</v>
      </c>
      <c r="P33" s="27">
        <f t="shared" ref="P33:Q33" si="15">IFERROR(P30/P31,0)</f>
        <v>2642.094910363503</v>
      </c>
      <c r="Q33" s="27">
        <f t="shared" si="15"/>
        <v>2746.5691730434232</v>
      </c>
    </row>
    <row r="35" spans="2:17" x14ac:dyDescent="0.25">
      <c r="O35" t="str">
        <f>IF(O33&gt;$D$8, "Undervalued", "Overvalued")</f>
        <v>Overvalued</v>
      </c>
      <c r="P35" t="str">
        <f t="shared" ref="P35:Q35" si="16">IF(P33&gt;$D$8, "Undervalued", "Overvalued")</f>
        <v>Undervalued</v>
      </c>
      <c r="Q35" t="str">
        <f t="shared" si="16"/>
        <v>Undervalued</v>
      </c>
    </row>
  </sheetData>
  <mergeCells count="3">
    <mergeCell ref="D5:I5"/>
    <mergeCell ref="K5:M5"/>
    <mergeCell ref="O5:Q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workbookViewId="0">
      <selection activeCell="F3" sqref="F3"/>
    </sheetView>
  </sheetViews>
  <sheetFormatPr defaultRowHeight="15" x14ac:dyDescent="0.25"/>
  <cols>
    <col min="2" max="2" width="5.7109375" bestFit="1" customWidth="1"/>
    <col min="3" max="3" width="16.5703125" bestFit="1" customWidth="1"/>
    <col min="4" max="4" width="8.5703125" bestFit="1" customWidth="1"/>
    <col min="5" max="5" width="16.7109375" bestFit="1" customWidth="1"/>
    <col min="6" max="6" width="20.140625" bestFit="1" customWidth="1"/>
    <col min="7" max="7" width="10.85546875" bestFit="1" customWidth="1"/>
    <col min="8" max="8" width="14.5703125" bestFit="1" customWidth="1"/>
    <col min="9" max="10" width="14.5703125" customWidth="1"/>
    <col min="11" max="11" width="11.140625" bestFit="1" customWidth="1"/>
    <col min="12" max="12" width="15.7109375" customWidth="1"/>
    <col min="13" max="13" width="15" customWidth="1"/>
  </cols>
  <sheetData>
    <row r="2" spans="2:13" x14ac:dyDescent="0.25">
      <c r="B2" t="s">
        <v>20</v>
      </c>
      <c r="C2" t="s">
        <v>21</v>
      </c>
      <c r="D2" t="s">
        <v>22</v>
      </c>
      <c r="E2" t="s">
        <v>23</v>
      </c>
      <c r="F2" t="s">
        <v>59</v>
      </c>
      <c r="G2" t="s">
        <v>24</v>
      </c>
      <c r="H2" t="s">
        <v>25</v>
      </c>
      <c r="I2" t="s">
        <v>6</v>
      </c>
      <c r="J2" t="s">
        <v>60</v>
      </c>
      <c r="K2" t="s">
        <v>26</v>
      </c>
      <c r="L2" t="s">
        <v>10</v>
      </c>
      <c r="M2" t="s">
        <v>27</v>
      </c>
    </row>
    <row r="3" spans="2:13" x14ac:dyDescent="0.25">
      <c r="B3">
        <v>1</v>
      </c>
      <c r="C3" t="s">
        <v>28</v>
      </c>
      <c r="D3" s="11">
        <v>2623.9</v>
      </c>
      <c r="E3" s="11">
        <v>234.96</v>
      </c>
      <c r="F3" s="11">
        <f>E3*D3</f>
        <v>616511.54399999999</v>
      </c>
      <c r="G3" s="11">
        <v>1648</v>
      </c>
      <c r="H3" s="11">
        <v>7554</v>
      </c>
      <c r="I3" s="11">
        <f>G3-H3</f>
        <v>-5906</v>
      </c>
      <c r="J3" s="11">
        <f>F3+G3-H3</f>
        <v>610605.54399999999</v>
      </c>
      <c r="K3" s="11">
        <v>63928</v>
      </c>
      <c r="L3" s="12">
        <v>15779</v>
      </c>
      <c r="M3">
        <v>10827</v>
      </c>
    </row>
    <row r="4" spans="2:13" x14ac:dyDescent="0.25">
      <c r="B4">
        <v>2</v>
      </c>
      <c r="C4" t="s">
        <v>29</v>
      </c>
      <c r="D4" s="11">
        <v>407.55</v>
      </c>
      <c r="E4" s="11">
        <v>1252.67</v>
      </c>
      <c r="F4" s="11">
        <f t="shared" ref="F4:F39" si="0">E4*D4</f>
        <v>510525.65850000002</v>
      </c>
      <c r="G4" s="11">
        <v>284.54000000000002</v>
      </c>
      <c r="H4" s="11">
        <v>4012.36</v>
      </c>
      <c r="I4" s="11">
        <f t="shared" ref="I4:I12" si="1">G4-H4</f>
        <v>-3727.82</v>
      </c>
      <c r="J4" s="11">
        <f t="shared" ref="J4:J39" si="2">F4+G4-H4</f>
        <v>506797.83850000001</v>
      </c>
      <c r="K4" s="11">
        <v>79040.320000000007</v>
      </c>
      <c r="L4" s="12">
        <v>28954.460000000003</v>
      </c>
      <c r="M4">
        <v>35218.9</v>
      </c>
    </row>
    <row r="5" spans="2:13" x14ac:dyDescent="0.25">
      <c r="B5">
        <v>3</v>
      </c>
      <c r="C5" t="s">
        <v>30</v>
      </c>
      <c r="D5" s="11">
        <v>1187.7</v>
      </c>
      <c r="E5" s="11">
        <v>192.83</v>
      </c>
      <c r="F5" s="11">
        <f t="shared" si="0"/>
        <v>229024.19100000002</v>
      </c>
      <c r="G5" s="11">
        <v>1166.8499999999999</v>
      </c>
      <c r="H5" s="11">
        <v>95.65</v>
      </c>
      <c r="I5" s="11">
        <f t="shared" si="1"/>
        <v>1071.1999999999998</v>
      </c>
      <c r="J5" s="11">
        <f t="shared" si="2"/>
        <v>230095.39100000003</v>
      </c>
      <c r="K5" s="11">
        <v>20483.77</v>
      </c>
      <c r="L5" s="12">
        <v>4783.42</v>
      </c>
      <c r="M5">
        <v>3227.13</v>
      </c>
    </row>
    <row r="6" spans="2:13" x14ac:dyDescent="0.25">
      <c r="B6">
        <v>4</v>
      </c>
      <c r="C6" t="s">
        <v>31</v>
      </c>
      <c r="D6" s="11">
        <v>474.05</v>
      </c>
      <c r="E6" s="11">
        <v>338.2</v>
      </c>
      <c r="F6" s="11">
        <f t="shared" si="0"/>
        <v>160323.71</v>
      </c>
      <c r="G6" s="11">
        <v>2138.25</v>
      </c>
      <c r="H6" s="11">
        <v>2450.0500000000002</v>
      </c>
      <c r="I6" s="11">
        <f t="shared" si="1"/>
        <v>-311.80000000000018</v>
      </c>
      <c r="J6" s="11">
        <f t="shared" si="2"/>
        <v>160011.91</v>
      </c>
      <c r="K6" s="11">
        <v>21077.78</v>
      </c>
      <c r="L6" s="12">
        <v>5165.3999999999996</v>
      </c>
      <c r="M6">
        <v>2881.31</v>
      </c>
    </row>
    <row r="7" spans="2:13" x14ac:dyDescent="0.25">
      <c r="B7">
        <v>5</v>
      </c>
      <c r="C7" t="s">
        <v>32</v>
      </c>
      <c r="D7" s="11">
        <v>6115.5</v>
      </c>
      <c r="E7" s="11">
        <v>24.09</v>
      </c>
      <c r="F7" s="11">
        <f t="shared" si="0"/>
        <v>147322.39499999999</v>
      </c>
      <c r="G7" s="11">
        <v>1246.51</v>
      </c>
      <c r="H7" s="11">
        <v>312.48</v>
      </c>
      <c r="I7" s="11">
        <f t="shared" si="1"/>
        <v>934.03</v>
      </c>
      <c r="J7" s="11">
        <f t="shared" si="2"/>
        <v>148256.42499999999</v>
      </c>
      <c r="K7" s="11">
        <v>18314.59</v>
      </c>
      <c r="L7" s="12">
        <v>3404.08</v>
      </c>
      <c r="M7">
        <v>2193.11</v>
      </c>
    </row>
    <row r="8" spans="2:13" x14ac:dyDescent="0.25">
      <c r="B8">
        <v>6</v>
      </c>
      <c r="C8" t="s">
        <v>33</v>
      </c>
      <c r="D8" s="11">
        <v>1229.9000000000001</v>
      </c>
      <c r="E8" s="11">
        <v>102.31</v>
      </c>
      <c r="F8" s="11">
        <f t="shared" si="0"/>
        <v>125831.06900000002</v>
      </c>
      <c r="G8" s="11">
        <v>4009.19</v>
      </c>
      <c r="H8" s="11">
        <v>483.06</v>
      </c>
      <c r="I8" s="11">
        <f t="shared" si="1"/>
        <v>3526.13</v>
      </c>
      <c r="J8" s="11">
        <f t="shared" si="2"/>
        <v>129357.19900000002</v>
      </c>
      <c r="K8" s="11">
        <v>14694.57</v>
      </c>
      <c r="L8" s="12">
        <v>3296.6299999999997</v>
      </c>
      <c r="M8">
        <v>1853.97</v>
      </c>
    </row>
    <row r="9" spans="2:13" x14ac:dyDescent="0.25">
      <c r="B9">
        <v>7</v>
      </c>
      <c r="C9" t="s">
        <v>34</v>
      </c>
      <c r="D9" s="11">
        <v>1074.2</v>
      </c>
      <c r="E9" s="11">
        <v>98.95</v>
      </c>
      <c r="F9" s="11">
        <f t="shared" si="0"/>
        <v>106292.09000000001</v>
      </c>
      <c r="G9" s="11">
        <v>2392.6799999999998</v>
      </c>
      <c r="H9" s="11">
        <v>2817.86</v>
      </c>
      <c r="I9" s="11">
        <f t="shared" si="1"/>
        <v>-425.18000000000029</v>
      </c>
      <c r="J9" s="11">
        <f t="shared" si="2"/>
        <v>105866.91</v>
      </c>
      <c r="K9" s="11">
        <v>18045.14</v>
      </c>
      <c r="L9" s="12">
        <v>2614.16</v>
      </c>
      <c r="M9">
        <v>1329.6</v>
      </c>
    </row>
    <row r="10" spans="2:13" x14ac:dyDescent="0.25">
      <c r="B10">
        <v>8</v>
      </c>
      <c r="C10" t="s">
        <v>35</v>
      </c>
      <c r="D10" s="11">
        <v>546.20000000000005</v>
      </c>
      <c r="E10" s="11">
        <v>177.37</v>
      </c>
      <c r="F10" s="11">
        <f t="shared" si="0"/>
        <v>96879.494000000006</v>
      </c>
      <c r="G10" s="11">
        <v>950.37</v>
      </c>
      <c r="H10" s="11">
        <v>578.01</v>
      </c>
      <c r="I10" s="11">
        <f t="shared" si="1"/>
        <v>372.36</v>
      </c>
      <c r="J10" s="11">
        <f t="shared" si="2"/>
        <v>97251.854000000007</v>
      </c>
      <c r="K10" s="11">
        <v>12618.56</v>
      </c>
      <c r="L10" s="12">
        <v>2894.15</v>
      </c>
      <c r="M10">
        <v>1754.36</v>
      </c>
    </row>
    <row r="11" spans="2:13" x14ac:dyDescent="0.25">
      <c r="B11">
        <v>9</v>
      </c>
      <c r="C11" t="s">
        <v>36</v>
      </c>
      <c r="D11" s="11">
        <v>730.6</v>
      </c>
      <c r="E11" s="11">
        <v>129.79</v>
      </c>
      <c r="F11" s="11">
        <f t="shared" si="0"/>
        <v>94824.573999999993</v>
      </c>
      <c r="G11" s="11">
        <v>554</v>
      </c>
      <c r="H11" s="11">
        <v>777</v>
      </c>
      <c r="I11" s="11">
        <f t="shared" si="1"/>
        <v>-223</v>
      </c>
      <c r="J11" s="11">
        <f t="shared" si="2"/>
        <v>94601.573999999993</v>
      </c>
      <c r="K11" s="11">
        <v>11447</v>
      </c>
      <c r="L11" s="12">
        <v>2395</v>
      </c>
      <c r="M11">
        <v>1697</v>
      </c>
    </row>
    <row r="12" spans="2:13" x14ac:dyDescent="0.25">
      <c r="B12">
        <v>10</v>
      </c>
      <c r="C12" t="s">
        <v>37</v>
      </c>
      <c r="D12" s="11">
        <v>1296</v>
      </c>
      <c r="E12" s="11">
        <v>72.739999999999995</v>
      </c>
      <c r="F12" s="11">
        <f t="shared" si="0"/>
        <v>94271.039999999994</v>
      </c>
      <c r="G12" s="11">
        <v>480</v>
      </c>
      <c r="H12" s="11">
        <v>2030</v>
      </c>
      <c r="I12" s="11">
        <f t="shared" si="1"/>
        <v>-1550</v>
      </c>
      <c r="J12" s="11">
        <f t="shared" si="2"/>
        <v>92721.04</v>
      </c>
      <c r="K12" s="11">
        <v>12329</v>
      </c>
      <c r="L12" s="12">
        <v>2535</v>
      </c>
      <c r="M12">
        <v>1514</v>
      </c>
    </row>
    <row r="13" spans="2:13" x14ac:dyDescent="0.25">
      <c r="D13" s="11"/>
      <c r="E13" s="11"/>
      <c r="F13" s="11"/>
      <c r="G13" s="11"/>
      <c r="H13" s="11"/>
      <c r="I13" s="11"/>
      <c r="J13" s="11"/>
      <c r="K13" s="11"/>
      <c r="L13" s="12"/>
    </row>
    <row r="14" spans="2:13" x14ac:dyDescent="0.25">
      <c r="D14" s="11"/>
      <c r="E14" s="11"/>
      <c r="F14" s="11"/>
      <c r="G14" s="11"/>
      <c r="H14" s="11"/>
      <c r="I14" s="11"/>
      <c r="J14" s="11"/>
      <c r="K14" s="11"/>
      <c r="L14" s="12"/>
    </row>
    <row r="15" spans="2:13" x14ac:dyDescent="0.25">
      <c r="D15" s="11"/>
      <c r="E15" s="11"/>
      <c r="F15" s="11"/>
      <c r="G15" s="11"/>
      <c r="H15" s="11"/>
      <c r="I15" s="11"/>
      <c r="J15" s="11"/>
      <c r="K15" s="11"/>
      <c r="L15" s="12"/>
    </row>
    <row r="16" spans="2:13" x14ac:dyDescent="0.25">
      <c r="D16" s="11"/>
      <c r="E16" s="11"/>
      <c r="F16" s="11"/>
      <c r="G16" s="11"/>
      <c r="H16" s="11"/>
      <c r="I16" s="11"/>
      <c r="J16" s="11"/>
      <c r="K16" s="11"/>
      <c r="L16" s="12"/>
    </row>
    <row r="17" spans="1:13" x14ac:dyDescent="0.25">
      <c r="D17" s="11"/>
      <c r="E17" s="11"/>
      <c r="F17" s="11"/>
      <c r="G17" s="11"/>
      <c r="H17" s="11"/>
      <c r="I17" s="11"/>
      <c r="J17" s="11"/>
      <c r="K17" s="11"/>
      <c r="L17" s="12"/>
    </row>
    <row r="18" spans="1:13" x14ac:dyDescent="0.25">
      <c r="D18" s="11"/>
      <c r="E18" s="11"/>
      <c r="F18" s="11"/>
      <c r="G18" s="11"/>
      <c r="H18" s="11"/>
      <c r="I18" s="11"/>
      <c r="J18" s="11"/>
      <c r="K18" s="11"/>
      <c r="L18" s="12"/>
    </row>
    <row r="19" spans="1:13" x14ac:dyDescent="0.25">
      <c r="D19" s="11"/>
      <c r="E19" s="11"/>
      <c r="F19" s="11"/>
      <c r="G19" s="11"/>
      <c r="H19" s="11"/>
      <c r="I19" s="11"/>
      <c r="J19" s="11"/>
      <c r="K19" s="11"/>
      <c r="L19" s="12"/>
    </row>
    <row r="20" spans="1:13" x14ac:dyDescent="0.25">
      <c r="A20" t="s">
        <v>13</v>
      </c>
      <c r="B20">
        <v>11</v>
      </c>
      <c r="C20" t="s">
        <v>38</v>
      </c>
      <c r="D20" s="11">
        <v>1798</v>
      </c>
      <c r="E20" s="11">
        <v>36.26</v>
      </c>
      <c r="F20" s="11">
        <f t="shared" si="0"/>
        <v>65195.479999999996</v>
      </c>
      <c r="G20" s="11">
        <v>787.68</v>
      </c>
      <c r="H20" s="11">
        <v>275.3</v>
      </c>
      <c r="I20" s="11"/>
      <c r="J20" s="11">
        <f t="shared" si="2"/>
        <v>65707.859999999986</v>
      </c>
      <c r="K20" s="11">
        <v>35866.379999999997</v>
      </c>
      <c r="L20" s="12">
        <v>1978.15</v>
      </c>
      <c r="M20">
        <v>1218.83</v>
      </c>
    </row>
    <row r="21" spans="1:13" x14ac:dyDescent="0.25">
      <c r="B21">
        <v>12</v>
      </c>
      <c r="C21" t="s">
        <v>39</v>
      </c>
      <c r="D21" s="11">
        <v>2388.8000000000002</v>
      </c>
      <c r="E21" s="11">
        <v>27.2</v>
      </c>
      <c r="F21" s="11">
        <f t="shared" si="0"/>
        <v>64975.360000000001</v>
      </c>
      <c r="G21" s="11">
        <v>60.84</v>
      </c>
      <c r="H21" s="11">
        <v>1095.1300000000001</v>
      </c>
      <c r="I21" s="11"/>
      <c r="J21" s="11">
        <f t="shared" si="2"/>
        <v>63941.07</v>
      </c>
      <c r="K21" s="11">
        <v>5977.52</v>
      </c>
      <c r="L21" s="12">
        <v>2035.6699999999998</v>
      </c>
      <c r="M21">
        <v>1393.45</v>
      </c>
    </row>
    <row r="22" spans="1:13" x14ac:dyDescent="0.25">
      <c r="B22">
        <v>13</v>
      </c>
      <c r="C22" t="s">
        <v>40</v>
      </c>
      <c r="D22" s="11">
        <v>10657</v>
      </c>
      <c r="E22" s="11">
        <v>5.2</v>
      </c>
      <c r="F22" s="11">
        <f t="shared" si="0"/>
        <v>55416.4</v>
      </c>
      <c r="G22" s="11">
        <v>178.97</v>
      </c>
      <c r="H22" s="11">
        <v>30.3</v>
      </c>
      <c r="I22" s="11"/>
      <c r="J22" s="11">
        <f t="shared" si="2"/>
        <v>55565.07</v>
      </c>
      <c r="K22" s="11">
        <v>6032.39</v>
      </c>
      <c r="L22" s="12">
        <v>1714.83</v>
      </c>
      <c r="M22">
        <v>1200.04</v>
      </c>
    </row>
    <row r="23" spans="1:13" x14ac:dyDescent="0.25">
      <c r="B23">
        <v>14</v>
      </c>
      <c r="C23" t="s">
        <v>41</v>
      </c>
      <c r="D23" s="11">
        <v>1802.9</v>
      </c>
      <c r="E23" s="11">
        <v>26.44</v>
      </c>
      <c r="F23" s="11">
        <f t="shared" si="0"/>
        <v>47668.676000000007</v>
      </c>
      <c r="G23" s="11">
        <v>619.98</v>
      </c>
      <c r="H23" s="11">
        <v>442.88</v>
      </c>
      <c r="I23" s="11"/>
      <c r="J23" s="11">
        <f t="shared" si="2"/>
        <v>47845.776000000013</v>
      </c>
      <c r="K23" s="11">
        <v>9304.2800000000007</v>
      </c>
      <c r="L23" s="12">
        <v>905.94</v>
      </c>
      <c r="M23">
        <v>452.64</v>
      </c>
    </row>
    <row r="24" spans="1:13" x14ac:dyDescent="0.25">
      <c r="B24">
        <v>15</v>
      </c>
      <c r="C24" t="s">
        <v>42</v>
      </c>
      <c r="D24" s="11">
        <v>13276</v>
      </c>
      <c r="E24" s="11">
        <v>3.25</v>
      </c>
      <c r="F24" s="11">
        <f t="shared" si="0"/>
        <v>43147</v>
      </c>
      <c r="G24" s="11">
        <v>2.3199999999999998</v>
      </c>
      <c r="H24" s="11">
        <v>480.7</v>
      </c>
      <c r="I24" s="11"/>
      <c r="J24" s="11">
        <f t="shared" si="2"/>
        <v>42668.62</v>
      </c>
      <c r="K24" s="11">
        <v>4311.45</v>
      </c>
      <c r="L24" s="12">
        <v>1182.2599999999998</v>
      </c>
      <c r="M24">
        <v>828.65</v>
      </c>
    </row>
    <row r="25" spans="1:13" x14ac:dyDescent="0.25">
      <c r="B25">
        <v>16</v>
      </c>
      <c r="C25" t="s">
        <v>43</v>
      </c>
      <c r="D25" s="11">
        <v>241.2</v>
      </c>
      <c r="E25" s="11">
        <v>159.85</v>
      </c>
      <c r="F25" s="11">
        <f t="shared" si="0"/>
        <v>38555.82</v>
      </c>
      <c r="G25" s="11">
        <v>2.5099999999999998</v>
      </c>
      <c r="H25" s="11">
        <v>2.67</v>
      </c>
      <c r="I25" s="11"/>
      <c r="J25" s="11">
        <f t="shared" si="2"/>
        <v>38555.660000000003</v>
      </c>
      <c r="K25" s="11">
        <v>548.76</v>
      </c>
      <c r="L25" s="12">
        <v>71.61</v>
      </c>
      <c r="M25">
        <v>69.650000000000006</v>
      </c>
    </row>
    <row r="26" spans="1:13" x14ac:dyDescent="0.25">
      <c r="B26">
        <v>17</v>
      </c>
      <c r="C26" t="s">
        <v>44</v>
      </c>
      <c r="D26" s="11">
        <v>2759.9</v>
      </c>
      <c r="E26" s="11">
        <v>13.39</v>
      </c>
      <c r="F26" s="11">
        <f t="shared" si="0"/>
        <v>36955.061000000002</v>
      </c>
      <c r="G26" s="11">
        <v>750.44</v>
      </c>
      <c r="H26" s="11">
        <v>57.15</v>
      </c>
      <c r="I26" s="11"/>
      <c r="J26" s="11">
        <f t="shared" si="2"/>
        <v>37648.351000000002</v>
      </c>
      <c r="K26" s="11">
        <v>5220.66</v>
      </c>
      <c r="L26" s="12">
        <v>765.09999999999991</v>
      </c>
      <c r="M26">
        <v>402.22</v>
      </c>
    </row>
    <row r="27" spans="1:13" x14ac:dyDescent="0.25">
      <c r="B27">
        <v>18</v>
      </c>
      <c r="C27" t="s">
        <v>45</v>
      </c>
      <c r="D27" s="11">
        <v>261.10000000000002</v>
      </c>
      <c r="E27" s="11">
        <v>129.97</v>
      </c>
      <c r="F27" s="11">
        <f t="shared" si="0"/>
        <v>33935.167000000001</v>
      </c>
      <c r="G27" s="11">
        <v>1937.32</v>
      </c>
      <c r="H27" s="11">
        <v>2325.14</v>
      </c>
      <c r="I27" s="11"/>
      <c r="J27" s="11">
        <f t="shared" si="2"/>
        <v>33547.347000000002</v>
      </c>
      <c r="K27" s="11">
        <v>66587.55</v>
      </c>
      <c r="L27" s="12">
        <v>2611.6</v>
      </c>
      <c r="M27">
        <v>1150.55</v>
      </c>
    </row>
    <row r="28" spans="1:13" x14ac:dyDescent="0.25">
      <c r="B28">
        <v>19</v>
      </c>
      <c r="C28" t="s">
        <v>46</v>
      </c>
      <c r="D28" s="11">
        <v>10323</v>
      </c>
      <c r="E28" s="11">
        <v>3.26</v>
      </c>
      <c r="F28" s="11">
        <f t="shared" si="0"/>
        <v>33652.979999999996</v>
      </c>
      <c r="G28" s="11">
        <v>0.05</v>
      </c>
      <c r="H28" s="11">
        <v>419.14</v>
      </c>
      <c r="I28" s="11"/>
      <c r="J28" s="11">
        <f t="shared" si="2"/>
        <v>33233.89</v>
      </c>
      <c r="K28" s="11">
        <v>2941.56</v>
      </c>
      <c r="L28" s="12">
        <v>843.86999999999989</v>
      </c>
      <c r="M28">
        <v>563.35</v>
      </c>
    </row>
    <row r="29" spans="1:13" x14ac:dyDescent="0.25">
      <c r="B29">
        <v>20</v>
      </c>
      <c r="C29" t="s">
        <v>47</v>
      </c>
      <c r="D29" s="11">
        <v>599.70000000000005</v>
      </c>
      <c r="E29" s="11">
        <v>43.65</v>
      </c>
      <c r="F29" s="11">
        <f t="shared" si="0"/>
        <v>26176.905000000002</v>
      </c>
      <c r="G29" s="11">
        <v>89.79</v>
      </c>
      <c r="H29" s="11">
        <v>272.89999999999998</v>
      </c>
      <c r="I29" s="11"/>
      <c r="J29" s="11">
        <f t="shared" si="2"/>
        <v>25993.795000000002</v>
      </c>
      <c r="K29" s="11">
        <v>3807.21</v>
      </c>
      <c r="L29" s="12">
        <v>1090.24</v>
      </c>
      <c r="M29">
        <v>816.4</v>
      </c>
    </row>
    <row r="30" spans="1:13" x14ac:dyDescent="0.25">
      <c r="B30">
        <v>21</v>
      </c>
      <c r="C30" t="s">
        <v>48</v>
      </c>
      <c r="D30" s="11">
        <v>901.65</v>
      </c>
      <c r="E30" s="11">
        <v>22.27</v>
      </c>
      <c r="F30" s="11">
        <f t="shared" si="0"/>
        <v>20079.745500000001</v>
      </c>
      <c r="G30" s="11">
        <v>2566.2600000000002</v>
      </c>
      <c r="H30" s="11">
        <v>61.84</v>
      </c>
      <c r="I30" s="11"/>
      <c r="J30" s="11">
        <f t="shared" si="2"/>
        <v>22584.165499999999</v>
      </c>
      <c r="K30" s="11">
        <v>8827.09</v>
      </c>
      <c r="L30" s="12">
        <v>1074.25</v>
      </c>
      <c r="M30">
        <v>302.98</v>
      </c>
    </row>
    <row r="31" spans="1:13" x14ac:dyDescent="0.25">
      <c r="B31">
        <v>22</v>
      </c>
      <c r="C31" t="s">
        <v>49</v>
      </c>
      <c r="D31" s="11">
        <v>786.05</v>
      </c>
      <c r="E31" s="11">
        <v>25.06</v>
      </c>
      <c r="F31" s="11">
        <f t="shared" si="0"/>
        <v>19698.412999999997</v>
      </c>
      <c r="G31" s="11">
        <v>230.95</v>
      </c>
      <c r="H31" s="11">
        <v>219.05</v>
      </c>
      <c r="I31" s="11"/>
      <c r="J31" s="11">
        <f t="shared" si="2"/>
        <v>19710.312999999998</v>
      </c>
      <c r="K31" s="11">
        <v>2699.7</v>
      </c>
      <c r="L31" s="12">
        <v>368.45</v>
      </c>
      <c r="M31">
        <v>194.97</v>
      </c>
    </row>
    <row r="32" spans="1:13" x14ac:dyDescent="0.25">
      <c r="B32">
        <v>23</v>
      </c>
      <c r="C32" t="s">
        <v>50</v>
      </c>
      <c r="D32" s="11">
        <v>1067.3</v>
      </c>
      <c r="E32" s="11">
        <v>17.78</v>
      </c>
      <c r="F32" s="11">
        <f t="shared" si="0"/>
        <v>18976.594000000001</v>
      </c>
      <c r="G32" s="11">
        <v>2704.06</v>
      </c>
      <c r="H32" s="11">
        <v>3691.01</v>
      </c>
      <c r="I32" s="11"/>
      <c r="J32" s="11">
        <f t="shared" si="2"/>
        <v>17989.644</v>
      </c>
      <c r="K32" s="11">
        <v>33585.5</v>
      </c>
      <c r="L32" s="12">
        <v>3359.75</v>
      </c>
      <c r="M32">
        <v>2011.13</v>
      </c>
    </row>
    <row r="33" spans="2:13" x14ac:dyDescent="0.25">
      <c r="B33">
        <v>24</v>
      </c>
      <c r="C33" t="s">
        <v>51</v>
      </c>
      <c r="D33" s="11">
        <v>2604.1999999999998</v>
      </c>
      <c r="E33" s="11">
        <v>6.07</v>
      </c>
      <c r="F33" s="11">
        <f t="shared" si="0"/>
        <v>15807.493999999999</v>
      </c>
      <c r="G33" s="11">
        <v>211.77</v>
      </c>
      <c r="H33" s="11">
        <v>225.37</v>
      </c>
      <c r="I33" s="11"/>
      <c r="J33" s="11">
        <f t="shared" si="2"/>
        <v>15793.893999999998</v>
      </c>
      <c r="K33" s="11">
        <v>2029.89</v>
      </c>
      <c r="L33" s="12">
        <v>382.30999999999995</v>
      </c>
      <c r="M33">
        <v>218.34</v>
      </c>
    </row>
    <row r="34" spans="2:13" x14ac:dyDescent="0.25">
      <c r="B34">
        <v>25</v>
      </c>
      <c r="C34" t="s">
        <v>52</v>
      </c>
      <c r="D34" s="11">
        <v>444.95</v>
      </c>
      <c r="E34" s="11">
        <v>34.729999999999997</v>
      </c>
      <c r="F34" s="11">
        <f t="shared" si="0"/>
        <v>15453.113499999998</v>
      </c>
      <c r="G34" s="11">
        <v>1261.04</v>
      </c>
      <c r="H34" s="11">
        <v>144.16</v>
      </c>
      <c r="I34" s="11"/>
      <c r="J34" s="11">
        <f t="shared" si="2"/>
        <v>16569.993499999997</v>
      </c>
      <c r="K34" s="11">
        <v>9074.8799999999992</v>
      </c>
      <c r="L34" s="12">
        <v>1135.05</v>
      </c>
      <c r="M34">
        <v>625.02</v>
      </c>
    </row>
    <row r="35" spans="2:13" x14ac:dyDescent="0.25">
      <c r="B35">
        <v>26</v>
      </c>
      <c r="C35" t="s">
        <v>53</v>
      </c>
      <c r="D35" s="11">
        <v>2400.1</v>
      </c>
      <c r="E35" s="11">
        <v>6.36</v>
      </c>
      <c r="F35" s="11">
        <f t="shared" si="0"/>
        <v>15264.636</v>
      </c>
      <c r="G35" s="11">
        <v>188.3</v>
      </c>
      <c r="H35" s="11">
        <v>73.900000000000006</v>
      </c>
      <c r="I35" s="11"/>
      <c r="J35" s="11">
        <f t="shared" si="2"/>
        <v>15379.036</v>
      </c>
      <c r="K35" s="11">
        <v>2728.8</v>
      </c>
      <c r="L35" s="12">
        <v>391.59999999999997</v>
      </c>
      <c r="M35">
        <v>327.10000000000002</v>
      </c>
    </row>
    <row r="36" spans="2:13" x14ac:dyDescent="0.25">
      <c r="B36">
        <v>27</v>
      </c>
      <c r="C36" t="s">
        <v>54</v>
      </c>
      <c r="D36" s="11">
        <v>510.2</v>
      </c>
      <c r="E36" s="11">
        <v>27.97</v>
      </c>
      <c r="F36" s="11">
        <f t="shared" si="0"/>
        <v>14270.294</v>
      </c>
      <c r="G36" s="11">
        <v>905.24</v>
      </c>
      <c r="H36" s="11">
        <v>131.74</v>
      </c>
      <c r="I36" s="11"/>
      <c r="J36" s="11">
        <f t="shared" si="2"/>
        <v>15043.794</v>
      </c>
      <c r="K36" s="11">
        <v>3685.12</v>
      </c>
      <c r="L36" s="12">
        <v>494.23999999999995</v>
      </c>
      <c r="M36">
        <v>239.48</v>
      </c>
    </row>
    <row r="37" spans="2:13" x14ac:dyDescent="0.25">
      <c r="B37">
        <v>28</v>
      </c>
      <c r="C37" t="s">
        <v>55</v>
      </c>
      <c r="D37" s="11">
        <v>734.45</v>
      </c>
      <c r="E37" s="11">
        <v>19.23</v>
      </c>
      <c r="F37" s="11">
        <f t="shared" si="0"/>
        <v>14123.473500000002</v>
      </c>
      <c r="G37" s="11">
        <v>1395.98</v>
      </c>
      <c r="H37" s="11">
        <v>39.33</v>
      </c>
      <c r="I37" s="11"/>
      <c r="J37" s="11">
        <f t="shared" si="2"/>
        <v>15480.123500000002</v>
      </c>
      <c r="K37" s="11">
        <v>9646.31</v>
      </c>
      <c r="L37" s="12">
        <v>956.23</v>
      </c>
      <c r="M37">
        <v>420.57</v>
      </c>
    </row>
    <row r="38" spans="2:13" x14ac:dyDescent="0.25">
      <c r="B38">
        <v>29</v>
      </c>
      <c r="C38" t="s">
        <v>56</v>
      </c>
      <c r="D38" s="11">
        <v>1864.3</v>
      </c>
      <c r="E38" s="11">
        <v>6.98</v>
      </c>
      <c r="F38" s="11">
        <f t="shared" si="0"/>
        <v>13012.814</v>
      </c>
      <c r="G38" s="11">
        <v>1574.49</v>
      </c>
      <c r="H38" s="11">
        <v>542.79999999999995</v>
      </c>
      <c r="I38" s="11"/>
      <c r="J38" s="11">
        <f t="shared" si="2"/>
        <v>14044.504000000001</v>
      </c>
      <c r="K38" s="11">
        <v>18676.48</v>
      </c>
      <c r="L38" s="12">
        <v>3540.65</v>
      </c>
      <c r="M38">
        <v>2225.41</v>
      </c>
    </row>
    <row r="39" spans="2:13" x14ac:dyDescent="0.25">
      <c r="B39">
        <v>30</v>
      </c>
      <c r="C39" t="s">
        <v>57</v>
      </c>
      <c r="D39" s="11">
        <v>902.25</v>
      </c>
      <c r="E39" s="11">
        <v>13.35</v>
      </c>
      <c r="F39" s="11">
        <f t="shared" si="0"/>
        <v>12045.0375</v>
      </c>
      <c r="G39" s="11">
        <v>1814.78</v>
      </c>
      <c r="H39" s="11">
        <v>97.71</v>
      </c>
      <c r="I39" s="11"/>
      <c r="J39" s="11">
        <f t="shared" si="2"/>
        <v>13762.107500000002</v>
      </c>
      <c r="K39" s="11">
        <v>3388.1</v>
      </c>
      <c r="L39" s="12">
        <v>593.35</v>
      </c>
      <c r="M39">
        <v>311.31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tabSelected="1" workbookViewId="0">
      <selection activeCell="B10" sqref="B10"/>
    </sheetView>
  </sheetViews>
  <sheetFormatPr defaultRowHeight="15" x14ac:dyDescent="0.25"/>
  <sheetData>
    <row r="2" spans="2:2" x14ac:dyDescent="0.25">
      <c r="B2" t="s">
        <v>15</v>
      </c>
    </row>
    <row r="3" spans="2:2" x14ac:dyDescent="0.25">
      <c r="B3" t="s">
        <v>16</v>
      </c>
    </row>
    <row r="4" spans="2:2" x14ac:dyDescent="0.25">
      <c r="B4" t="s">
        <v>17</v>
      </c>
    </row>
    <row r="5" spans="2:2" x14ac:dyDescent="0.25">
      <c r="B5" t="s">
        <v>18</v>
      </c>
    </row>
    <row r="6" spans="2:2" x14ac:dyDescent="0.25">
      <c r="B6" t="s">
        <v>19</v>
      </c>
    </row>
    <row r="7" spans="2:2" x14ac:dyDescent="0.25">
      <c r="B7" t="s">
        <v>58</v>
      </c>
    </row>
    <row r="9" spans="2:2" x14ac:dyDescent="0.25">
      <c r="B9" t="s">
        <v>75</v>
      </c>
    </row>
    <row r="10" spans="2:2" x14ac:dyDescent="0.25">
      <c r="B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Comps_Val</vt:lpstr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Divit Lamba</dc:creator>
  <cp:lastModifiedBy>Divit Lamba</cp:lastModifiedBy>
  <dcterms:created xsi:type="dcterms:W3CDTF">2025-09-08T16:29:56Z</dcterms:created>
  <dcterms:modified xsi:type="dcterms:W3CDTF">2025-09-12T13:20:59Z</dcterms:modified>
</cp:coreProperties>
</file>