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MV\Recreating full fmv basic with my own choice of comp\"/>
    </mc:Choice>
  </mc:AlternateContent>
  <bookViews>
    <workbookView xWindow="0" yWindow="0" windowWidth="28800" windowHeight="13590" tabRatio="613" firstSheet="1" activeTab="7"/>
  </bookViews>
  <sheets>
    <sheet name="DCF&gt;" sheetId="4" r:id="rId1"/>
    <sheet name="WACC" sheetId="1" r:id="rId2"/>
    <sheet name="DATA&gt;" sheetId="2" r:id="rId3"/>
    <sheet name="Beta Regression" sheetId="3" r:id="rId4"/>
    <sheet name="Beta Comps" sheetId="5" r:id="rId5"/>
    <sheet name="Rm" sheetId="7" r:id="rId6"/>
    <sheet name="Insintric Growth" sheetId="14" r:id="rId7"/>
    <sheet name="DCF" sheetId="15" r:id="rId8"/>
    <sheet name="Historical FS" sheetId="10" r:id="rId9"/>
    <sheet name="Data Room&gt;" sheetId="11" r:id="rId10"/>
    <sheet name="Data Sheet" sheetId="8" r:id="rId11"/>
    <sheet name="Raw FS" sheetId="12" r:id="rId12"/>
    <sheet name="NOTES" sheetId="6" r:id="rId13"/>
  </sheets>
  <externalReferences>
    <externalReference r:id="rId14"/>
  </externalReferences>
  <definedNames>
    <definedName name="_xlnm._FilterDatabase" localSheetId="3" hidden="1">'Beta Regression'!$B$6:$D$110</definedName>
    <definedName name="UPDATE">'Data Sheet'!$E$1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5" l="1"/>
  <c r="D38" i="15"/>
  <c r="D36" i="15"/>
  <c r="D34" i="15"/>
  <c r="D33" i="15"/>
  <c r="D23" i="15"/>
  <c r="H10" i="15"/>
  <c r="I10" i="15" s="1"/>
  <c r="J10" i="15" s="1"/>
  <c r="K10" i="15" s="1"/>
  <c r="D17" i="15" l="1"/>
  <c r="D15" i="15"/>
  <c r="F8" i="15"/>
  <c r="G8" i="15" s="1"/>
  <c r="H8" i="15" s="1"/>
  <c r="I8" i="15" s="1"/>
  <c r="J8" i="15" s="1"/>
  <c r="K8" i="15" s="1"/>
  <c r="G6" i="15"/>
  <c r="H6" i="15" s="1"/>
  <c r="I6" i="15" s="1"/>
  <c r="J6" i="15" s="1"/>
  <c r="K6" i="15" s="1"/>
  <c r="F5" i="15"/>
  <c r="F3" i="15"/>
  <c r="G3" i="15" s="1"/>
  <c r="H3" i="15" s="1"/>
  <c r="I3" i="15" s="1"/>
  <c r="J3" i="15" s="1"/>
  <c r="K3" i="15" s="1"/>
  <c r="K11" i="15" l="1"/>
  <c r="I11" i="15"/>
  <c r="H11" i="15"/>
  <c r="G11" i="15"/>
  <c r="J11" i="15"/>
  <c r="D22" i="15"/>
  <c r="G5" i="15"/>
  <c r="G7" i="15" s="1"/>
  <c r="G9" i="15" s="1"/>
  <c r="G13" i="15" s="1"/>
  <c r="F7" i="15"/>
  <c r="F9" i="15" s="1"/>
  <c r="B2" i="10"/>
  <c r="H5" i="15" l="1"/>
  <c r="I5" i="15" s="1"/>
  <c r="H7" i="15"/>
  <c r="H9" i="15" s="1"/>
  <c r="H13" i="15" s="1"/>
  <c r="L74" i="10"/>
  <c r="K74" i="10"/>
  <c r="J74" i="10"/>
  <c r="I74" i="10"/>
  <c r="H74" i="10"/>
  <c r="G74" i="10"/>
  <c r="F74" i="10"/>
  <c r="E74" i="10"/>
  <c r="D74" i="10"/>
  <c r="L72" i="10"/>
  <c r="K72" i="10"/>
  <c r="J72" i="10"/>
  <c r="I72" i="10"/>
  <c r="H72" i="10"/>
  <c r="G72" i="10"/>
  <c r="F72" i="10"/>
  <c r="E72" i="10"/>
  <c r="D72" i="10"/>
  <c r="L70" i="10"/>
  <c r="K70" i="10"/>
  <c r="J70" i="10"/>
  <c r="I70" i="10"/>
  <c r="H70" i="10"/>
  <c r="G70" i="10"/>
  <c r="F70" i="10"/>
  <c r="E70" i="10"/>
  <c r="D70" i="10"/>
  <c r="C74" i="10"/>
  <c r="C72" i="10"/>
  <c r="C70" i="10"/>
  <c r="L56" i="10"/>
  <c r="K56" i="10"/>
  <c r="J56" i="10"/>
  <c r="I56" i="10"/>
  <c r="H56" i="10"/>
  <c r="G56" i="10"/>
  <c r="F56" i="10"/>
  <c r="E56" i="10"/>
  <c r="D56" i="10"/>
  <c r="C56" i="10"/>
  <c r="L61" i="10"/>
  <c r="K61" i="10"/>
  <c r="J61" i="10"/>
  <c r="I61" i="10"/>
  <c r="H61" i="10"/>
  <c r="G61" i="10"/>
  <c r="F61" i="10"/>
  <c r="E61" i="10"/>
  <c r="D61" i="10"/>
  <c r="C61" i="10"/>
  <c r="L60" i="10"/>
  <c r="K60" i="10"/>
  <c r="J60" i="10"/>
  <c r="I60" i="10"/>
  <c r="H60" i="10"/>
  <c r="G60" i="10"/>
  <c r="F60" i="10"/>
  <c r="E60" i="10"/>
  <c r="D60" i="10"/>
  <c r="C60" i="10"/>
  <c r="L59" i="10"/>
  <c r="K59" i="10"/>
  <c r="J59" i="10"/>
  <c r="I59" i="10"/>
  <c r="H59" i="10"/>
  <c r="G59" i="10"/>
  <c r="F59" i="10"/>
  <c r="E59" i="10"/>
  <c r="D59" i="10"/>
  <c r="C59" i="10"/>
  <c r="L55" i="10"/>
  <c r="K55" i="10"/>
  <c r="J55" i="10"/>
  <c r="I55" i="10"/>
  <c r="H55" i="10"/>
  <c r="G55" i="10"/>
  <c r="F55" i="10"/>
  <c r="E55" i="10"/>
  <c r="D55" i="10"/>
  <c r="C55" i="10"/>
  <c r="L54" i="10"/>
  <c r="K54" i="10"/>
  <c r="J54" i="10"/>
  <c r="I54" i="10"/>
  <c r="H54" i="10"/>
  <c r="G54" i="10"/>
  <c r="F54" i="10"/>
  <c r="E54" i="10"/>
  <c r="D54" i="10"/>
  <c r="C54" i="10"/>
  <c r="L53" i="10"/>
  <c r="K53" i="10"/>
  <c r="J53" i="10"/>
  <c r="I53" i="10"/>
  <c r="H53" i="10"/>
  <c r="G53" i="10"/>
  <c r="F53" i="10"/>
  <c r="E53" i="10"/>
  <c r="D53" i="10"/>
  <c r="C53" i="10"/>
  <c r="L51" i="10"/>
  <c r="K51" i="10"/>
  <c r="J51" i="10"/>
  <c r="I51" i="10"/>
  <c r="H51" i="10"/>
  <c r="G51" i="10"/>
  <c r="F51" i="10"/>
  <c r="E51" i="10"/>
  <c r="D51" i="10"/>
  <c r="C51" i="10"/>
  <c r="L50" i="10"/>
  <c r="K50" i="10"/>
  <c r="J50" i="10"/>
  <c r="I50" i="10"/>
  <c r="H50" i="10"/>
  <c r="G50" i="10"/>
  <c r="F50" i="10"/>
  <c r="E50" i="10"/>
  <c r="D50" i="10"/>
  <c r="C50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47" i="10"/>
  <c r="K47" i="10"/>
  <c r="J47" i="10"/>
  <c r="I47" i="10"/>
  <c r="H47" i="10"/>
  <c r="G47" i="10"/>
  <c r="F47" i="10"/>
  <c r="E47" i="10"/>
  <c r="D47" i="10"/>
  <c r="C47" i="10"/>
  <c r="M41" i="10"/>
  <c r="L41" i="10"/>
  <c r="K41" i="10"/>
  <c r="J41" i="10"/>
  <c r="I41" i="10"/>
  <c r="H41" i="10"/>
  <c r="G41" i="10"/>
  <c r="F41" i="10"/>
  <c r="E41" i="10"/>
  <c r="D41" i="10"/>
  <c r="C41" i="10"/>
  <c r="M36" i="10"/>
  <c r="L36" i="10"/>
  <c r="K36" i="10"/>
  <c r="J36" i="10"/>
  <c r="I36" i="10"/>
  <c r="H36" i="10"/>
  <c r="G36" i="10"/>
  <c r="F36" i="10"/>
  <c r="E36" i="10"/>
  <c r="D36" i="10"/>
  <c r="C36" i="10"/>
  <c r="M30" i="10"/>
  <c r="L30" i="10"/>
  <c r="K30" i="10"/>
  <c r="J30" i="10"/>
  <c r="I30" i="10"/>
  <c r="H30" i="10"/>
  <c r="G30" i="10"/>
  <c r="F30" i="10"/>
  <c r="E30" i="10"/>
  <c r="D30" i="10"/>
  <c r="C30" i="10"/>
  <c r="M24" i="10"/>
  <c r="M21" i="10"/>
  <c r="L24" i="10"/>
  <c r="K24" i="10"/>
  <c r="J24" i="10"/>
  <c r="I24" i="10"/>
  <c r="H24" i="10"/>
  <c r="G24" i="10"/>
  <c r="F24" i="10"/>
  <c r="E24" i="10"/>
  <c r="D24" i="10"/>
  <c r="C24" i="10"/>
  <c r="L21" i="10"/>
  <c r="K21" i="10"/>
  <c r="J21" i="10"/>
  <c r="I21" i="10"/>
  <c r="H21" i="10"/>
  <c r="G21" i="10"/>
  <c r="F21" i="10"/>
  <c r="E21" i="10"/>
  <c r="D21" i="10"/>
  <c r="C21" i="10"/>
  <c r="L15" i="10"/>
  <c r="K15" i="10"/>
  <c r="J15" i="10"/>
  <c r="I15" i="10"/>
  <c r="H15" i="10"/>
  <c r="G15" i="10"/>
  <c r="F15" i="10"/>
  <c r="E15" i="10"/>
  <c r="D15" i="10"/>
  <c r="C15" i="10"/>
  <c r="M9" i="10"/>
  <c r="L9" i="10"/>
  <c r="K9" i="10"/>
  <c r="J9" i="10"/>
  <c r="I9" i="10"/>
  <c r="H9" i="10"/>
  <c r="G9" i="10"/>
  <c r="F9" i="10"/>
  <c r="E9" i="10"/>
  <c r="D9" i="10"/>
  <c r="C9" i="10"/>
  <c r="M6" i="10"/>
  <c r="L6" i="10"/>
  <c r="K6" i="10"/>
  <c r="J6" i="10"/>
  <c r="I6" i="10"/>
  <c r="H6" i="10"/>
  <c r="G6" i="10"/>
  <c r="F6" i="10"/>
  <c r="E6" i="10"/>
  <c r="D6" i="10"/>
  <c r="J5" i="15" l="1"/>
  <c r="I7" i="15"/>
  <c r="I9" i="15" s="1"/>
  <c r="I13" i="15" s="1"/>
  <c r="C6" i="10"/>
  <c r="K5" i="15" l="1"/>
  <c r="K7" i="15" s="1"/>
  <c r="K9" i="15" s="1"/>
  <c r="J7" i="15"/>
  <c r="J9" i="15" s="1"/>
  <c r="J13" i="15" s="1"/>
  <c r="K54" i="14"/>
  <c r="J54" i="14"/>
  <c r="I54" i="14"/>
  <c r="H54" i="14"/>
  <c r="G54" i="14"/>
  <c r="K40" i="14"/>
  <c r="J40" i="14"/>
  <c r="I40" i="14"/>
  <c r="H40" i="14"/>
  <c r="G40" i="14"/>
  <c r="K38" i="14"/>
  <c r="J38" i="14"/>
  <c r="I38" i="14"/>
  <c r="H38" i="14"/>
  <c r="G38" i="14"/>
  <c r="K2" i="14"/>
  <c r="J2" i="14"/>
  <c r="I2" i="14"/>
  <c r="H2" i="14"/>
  <c r="G2" i="14"/>
  <c r="K29" i="14"/>
  <c r="J29" i="14"/>
  <c r="I29" i="14"/>
  <c r="H29" i="14"/>
  <c r="G29" i="14"/>
  <c r="G26" i="14"/>
  <c r="K27" i="14"/>
  <c r="J27" i="14"/>
  <c r="I27" i="14"/>
  <c r="H27" i="14"/>
  <c r="G27" i="14"/>
  <c r="K26" i="14"/>
  <c r="J26" i="14"/>
  <c r="I26" i="14"/>
  <c r="H26" i="14"/>
  <c r="K25" i="14"/>
  <c r="J25" i="14"/>
  <c r="I25" i="14"/>
  <c r="H25" i="14"/>
  <c r="G25" i="14"/>
  <c r="K24" i="14"/>
  <c r="J24" i="14"/>
  <c r="I24" i="14"/>
  <c r="H24" i="14"/>
  <c r="G24" i="14"/>
  <c r="K23" i="14"/>
  <c r="J23" i="14"/>
  <c r="I23" i="14"/>
  <c r="H23" i="14"/>
  <c r="G23" i="14"/>
  <c r="K22" i="14"/>
  <c r="J22" i="14"/>
  <c r="I22" i="14"/>
  <c r="H22" i="14"/>
  <c r="G22" i="14"/>
  <c r="K21" i="14"/>
  <c r="J21" i="14"/>
  <c r="I21" i="14"/>
  <c r="H21" i="14"/>
  <c r="G21" i="14"/>
  <c r="K20" i="14"/>
  <c r="J20" i="14"/>
  <c r="I20" i="14"/>
  <c r="H20" i="14"/>
  <c r="G20" i="14"/>
  <c r="K19" i="14"/>
  <c r="J19" i="14"/>
  <c r="I19" i="14"/>
  <c r="H19" i="14"/>
  <c r="G19" i="14"/>
  <c r="B27" i="14"/>
  <c r="B26" i="14"/>
  <c r="B25" i="14"/>
  <c r="B24" i="14"/>
  <c r="B23" i="14"/>
  <c r="B22" i="14"/>
  <c r="B21" i="14"/>
  <c r="B20" i="14"/>
  <c r="B19" i="14"/>
  <c r="K14" i="14"/>
  <c r="J14" i="14"/>
  <c r="I14" i="14"/>
  <c r="H14" i="14"/>
  <c r="G14" i="14"/>
  <c r="K13" i="14"/>
  <c r="J13" i="14"/>
  <c r="I13" i="14"/>
  <c r="H13" i="14"/>
  <c r="G13" i="14"/>
  <c r="K12" i="14"/>
  <c r="J12" i="14"/>
  <c r="I12" i="14"/>
  <c r="H12" i="14"/>
  <c r="G12" i="14"/>
  <c r="B14" i="14"/>
  <c r="B13" i="14"/>
  <c r="B12" i="14"/>
  <c r="D21" i="15" l="1"/>
  <c r="D25" i="15" s="1"/>
  <c r="K13" i="15"/>
  <c r="D29" i="15" s="1"/>
  <c r="H28" i="14"/>
  <c r="H30" i="14" s="1"/>
  <c r="K15" i="14"/>
  <c r="J28" i="14"/>
  <c r="J30" i="14" s="1"/>
  <c r="I28" i="14"/>
  <c r="I30" i="14" s="1"/>
  <c r="G28" i="14"/>
  <c r="G30" i="14" s="1"/>
  <c r="K28" i="14"/>
  <c r="K30" i="14" s="1"/>
  <c r="I15" i="14"/>
  <c r="H15" i="14"/>
  <c r="J15" i="14"/>
  <c r="G15" i="14"/>
  <c r="K8" i="14"/>
  <c r="J8" i="14"/>
  <c r="I8" i="14"/>
  <c r="H8" i="14"/>
  <c r="G8" i="14"/>
  <c r="K7" i="14"/>
  <c r="J7" i="14"/>
  <c r="I7" i="14"/>
  <c r="H7" i="14"/>
  <c r="G7" i="14"/>
  <c r="K6" i="14"/>
  <c r="J6" i="14"/>
  <c r="I6" i="14"/>
  <c r="H6" i="14"/>
  <c r="G6" i="14"/>
  <c r="K5" i="14"/>
  <c r="J5" i="14"/>
  <c r="I5" i="14"/>
  <c r="H5" i="14"/>
  <c r="G5" i="14"/>
  <c r="B8" i="14"/>
  <c r="B7" i="14"/>
  <c r="B6" i="14"/>
  <c r="B5" i="14"/>
  <c r="N29" i="12"/>
  <c r="M29" i="12"/>
  <c r="L29" i="12"/>
  <c r="K29" i="12"/>
  <c r="J29" i="12"/>
  <c r="I29" i="12"/>
  <c r="H29" i="12"/>
  <c r="G29" i="12"/>
  <c r="F29" i="12"/>
  <c r="E29" i="12"/>
  <c r="D29" i="12"/>
  <c r="C29" i="12"/>
  <c r="B74" i="10"/>
  <c r="B72" i="10"/>
  <c r="I76" i="10"/>
  <c r="B70" i="10"/>
  <c r="B61" i="10"/>
  <c r="B60" i="10"/>
  <c r="K62" i="10"/>
  <c r="F62" i="10"/>
  <c r="B59" i="10"/>
  <c r="B56" i="10"/>
  <c r="B55" i="10"/>
  <c r="B54" i="10"/>
  <c r="B50" i="10"/>
  <c r="B49" i="10"/>
  <c r="B48" i="10"/>
  <c r="B47" i="10"/>
  <c r="M18" i="10"/>
  <c r="I10" i="10"/>
  <c r="M16" i="10"/>
  <c r="L16" i="10"/>
  <c r="K12" i="10"/>
  <c r="K13" i="10" s="1"/>
  <c r="J12" i="10"/>
  <c r="E16" i="10"/>
  <c r="D12" i="10"/>
  <c r="L3" i="10"/>
  <c r="K3" i="10"/>
  <c r="J3" i="10"/>
  <c r="I3" i="10"/>
  <c r="H3" i="10"/>
  <c r="G3" i="10"/>
  <c r="F3" i="10"/>
  <c r="E3" i="10"/>
  <c r="D3" i="10"/>
  <c r="C3" i="10"/>
  <c r="D30" i="15" l="1"/>
  <c r="J76" i="10"/>
  <c r="C22" i="10"/>
  <c r="D57" i="10"/>
  <c r="H62" i="10"/>
  <c r="K76" i="10"/>
  <c r="G62" i="10"/>
  <c r="G22" i="10"/>
  <c r="H7" i="10"/>
  <c r="I25" i="10"/>
  <c r="I62" i="10"/>
  <c r="L76" i="10"/>
  <c r="L62" i="10"/>
  <c r="C76" i="10"/>
  <c r="K10" i="10"/>
  <c r="K25" i="10"/>
  <c r="D76" i="10"/>
  <c r="D64" i="10"/>
  <c r="D66" i="10" s="1"/>
  <c r="J10" i="10"/>
  <c r="L25" i="10"/>
  <c r="M10" i="10"/>
  <c r="C16" i="10"/>
  <c r="K57" i="10"/>
  <c r="K64" i="10" s="1"/>
  <c r="K66" i="10" s="1"/>
  <c r="C62" i="10"/>
  <c r="F76" i="10"/>
  <c r="K7" i="10"/>
  <c r="M22" i="10"/>
  <c r="D62" i="10"/>
  <c r="M12" i="10"/>
  <c r="M13" i="10" s="1"/>
  <c r="E22" i="10"/>
  <c r="C10" i="10"/>
  <c r="M27" i="10"/>
  <c r="M33" i="10" s="1"/>
  <c r="J7" i="10"/>
  <c r="D10" i="10"/>
  <c r="G7" i="10"/>
  <c r="C57" i="10"/>
  <c r="E62" i="10"/>
  <c r="D7" i="10"/>
  <c r="M25" i="10"/>
  <c r="E57" i="10"/>
  <c r="D16" i="10"/>
  <c r="I22" i="10"/>
  <c r="F57" i="10"/>
  <c r="F64" i="10" s="1"/>
  <c r="F66" i="10" s="1"/>
  <c r="E76" i="10"/>
  <c r="L12" i="10"/>
  <c r="L13" i="10" s="1"/>
  <c r="D22" i="10"/>
  <c r="C25" i="10"/>
  <c r="G57" i="10"/>
  <c r="G64" i="10" s="1"/>
  <c r="G66" i="10" s="1"/>
  <c r="D25" i="10"/>
  <c r="H57" i="10"/>
  <c r="H64" i="10" s="1"/>
  <c r="H66" i="10" s="1"/>
  <c r="G76" i="10"/>
  <c r="F7" i="10"/>
  <c r="L7" i="10"/>
  <c r="F22" i="10"/>
  <c r="I57" i="10"/>
  <c r="J62" i="10"/>
  <c r="H76" i="10"/>
  <c r="F25" i="10"/>
  <c r="J57" i="10"/>
  <c r="L10" i="10"/>
  <c r="I16" i="10"/>
  <c r="H22" i="10"/>
  <c r="L57" i="10"/>
  <c r="E10" i="10"/>
  <c r="H25" i="10"/>
  <c r="H10" i="10"/>
  <c r="C12" i="10"/>
  <c r="K16" i="10"/>
  <c r="I12" i="10"/>
  <c r="I13" i="10" s="1"/>
  <c r="G10" i="10"/>
  <c r="K22" i="10"/>
  <c r="J25" i="10"/>
  <c r="I9" i="14"/>
  <c r="I17" i="14" s="1"/>
  <c r="G9" i="14"/>
  <c r="G17" i="14" s="1"/>
  <c r="G32" i="14" s="1"/>
  <c r="J9" i="14"/>
  <c r="J17" i="14" s="1"/>
  <c r="K9" i="14"/>
  <c r="K17" i="14" s="1"/>
  <c r="H9" i="14"/>
  <c r="H17" i="14" s="1"/>
  <c r="D18" i="10"/>
  <c r="D13" i="10"/>
  <c r="J13" i="10"/>
  <c r="J18" i="10"/>
  <c r="I33" i="14" s="1"/>
  <c r="I43" i="14" s="1"/>
  <c r="I45" i="14" s="1"/>
  <c r="I7" i="10"/>
  <c r="F16" i="10"/>
  <c r="J22" i="10"/>
  <c r="G16" i="10"/>
  <c r="M7" i="10"/>
  <c r="H16" i="10"/>
  <c r="L22" i="10"/>
  <c r="E12" i="10"/>
  <c r="F12" i="10"/>
  <c r="J16" i="10"/>
  <c r="K18" i="10"/>
  <c r="J33" i="14" s="1"/>
  <c r="J43" i="14" s="1"/>
  <c r="J45" i="14" s="1"/>
  <c r="G12" i="10"/>
  <c r="M19" i="10"/>
  <c r="E25" i="10"/>
  <c r="F10" i="10"/>
  <c r="E7" i="10"/>
  <c r="H12" i="10"/>
  <c r="G25" i="10"/>
  <c r="D31" i="15" l="1"/>
  <c r="D35" i="15" s="1"/>
  <c r="C64" i="10"/>
  <c r="C66" i="10" s="1"/>
  <c r="I64" i="10"/>
  <c r="I66" i="10" s="1"/>
  <c r="I18" i="10"/>
  <c r="H33" i="14" s="1"/>
  <c r="H43" i="14" s="1"/>
  <c r="H45" i="14" s="1"/>
  <c r="E64" i="10"/>
  <c r="E66" i="10" s="1"/>
  <c r="L64" i="10"/>
  <c r="L66" i="10" s="1"/>
  <c r="M38" i="10"/>
  <c r="M44" i="10" s="1"/>
  <c r="M34" i="10"/>
  <c r="M31" i="10"/>
  <c r="M28" i="10"/>
  <c r="C18" i="10"/>
  <c r="C13" i="10"/>
  <c r="L18" i="10"/>
  <c r="K33" i="14" s="1"/>
  <c r="K43" i="14" s="1"/>
  <c r="K45" i="14" s="1"/>
  <c r="J64" i="10"/>
  <c r="J66" i="10" s="1"/>
  <c r="J32" i="14"/>
  <c r="J35" i="14" s="1"/>
  <c r="J57" i="14" s="1"/>
  <c r="J41" i="14"/>
  <c r="J47" i="14" s="1"/>
  <c r="J49" i="14" s="1"/>
  <c r="J56" i="14" s="1"/>
  <c r="H32" i="14"/>
  <c r="H41" i="14"/>
  <c r="H47" i="14" s="1"/>
  <c r="K32" i="14"/>
  <c r="K41" i="14"/>
  <c r="K47" i="14" s="1"/>
  <c r="I32" i="14"/>
  <c r="I35" i="14" s="1"/>
  <c r="I57" i="14" s="1"/>
  <c r="I41" i="14"/>
  <c r="I47" i="14" s="1"/>
  <c r="I49" i="14" s="1"/>
  <c r="I56" i="14" s="1"/>
  <c r="J27" i="10"/>
  <c r="J19" i="10"/>
  <c r="E13" i="10"/>
  <c r="E18" i="10"/>
  <c r="I27" i="10"/>
  <c r="I19" i="10"/>
  <c r="G13" i="10"/>
  <c r="G18" i="10"/>
  <c r="F13" i="10"/>
  <c r="F18" i="10"/>
  <c r="K19" i="10"/>
  <c r="K27" i="10"/>
  <c r="H13" i="10"/>
  <c r="H18" i="10"/>
  <c r="G33" i="14" s="1"/>
  <c r="G43" i="14" s="1"/>
  <c r="G45" i="14" s="1"/>
  <c r="D19" i="10"/>
  <c r="D27" i="10"/>
  <c r="M42" i="10" l="1"/>
  <c r="H35" i="14"/>
  <c r="H57" i="14" s="1"/>
  <c r="H49" i="14"/>
  <c r="H56" i="14" s="1"/>
  <c r="J59" i="14"/>
  <c r="K35" i="14"/>
  <c r="K57" i="14" s="1"/>
  <c r="H59" i="14"/>
  <c r="L19" i="10"/>
  <c r="I59" i="14"/>
  <c r="C19" i="10"/>
  <c r="C27" i="10"/>
  <c r="L27" i="10"/>
  <c r="L33" i="10" s="1"/>
  <c r="G35" i="14"/>
  <c r="K49" i="14"/>
  <c r="K56" i="14" s="1"/>
  <c r="D28" i="10"/>
  <c r="D33" i="10"/>
  <c r="D31" i="10"/>
  <c r="G27" i="10"/>
  <c r="G19" i="10"/>
  <c r="K31" i="10"/>
  <c r="K33" i="10"/>
  <c r="K28" i="10"/>
  <c r="H27" i="10"/>
  <c r="H19" i="10"/>
  <c r="J28" i="10"/>
  <c r="J33" i="10"/>
  <c r="J31" i="10"/>
  <c r="I28" i="10"/>
  <c r="I31" i="10"/>
  <c r="I33" i="10"/>
  <c r="F27" i="10"/>
  <c r="F19" i="10"/>
  <c r="E27" i="10"/>
  <c r="E19" i="10"/>
  <c r="K59" i="14" l="1"/>
  <c r="K62" i="14" s="1"/>
  <c r="K52" i="14"/>
  <c r="K51" i="14"/>
  <c r="L31" i="10"/>
  <c r="L28" i="10"/>
  <c r="K61" i="14"/>
  <c r="C28" i="10"/>
  <c r="C33" i="10"/>
  <c r="C31" i="10"/>
  <c r="E28" i="10"/>
  <c r="E33" i="10"/>
  <c r="E31" i="10"/>
  <c r="F28" i="10"/>
  <c r="F31" i="10"/>
  <c r="F33" i="10"/>
  <c r="I34" i="10"/>
  <c r="I38" i="10"/>
  <c r="L34" i="10"/>
  <c r="L38" i="10"/>
  <c r="G28" i="10"/>
  <c r="G33" i="10"/>
  <c r="G31" i="10"/>
  <c r="K34" i="10"/>
  <c r="K38" i="10"/>
  <c r="H28" i="10"/>
  <c r="H33" i="10"/>
  <c r="H31" i="10"/>
  <c r="J34" i="10"/>
  <c r="J38" i="10"/>
  <c r="D38" i="10"/>
  <c r="D34" i="10"/>
  <c r="C34" i="10" l="1"/>
  <c r="C38" i="10"/>
  <c r="D39" i="10" s="1"/>
  <c r="D42" i="10"/>
  <c r="D44" i="10" s="1"/>
  <c r="F34" i="10"/>
  <c r="F38" i="10"/>
  <c r="K39" i="10"/>
  <c r="K42" i="10"/>
  <c r="K44" i="10" s="1"/>
  <c r="L42" i="10"/>
  <c r="L44" i="10" s="1"/>
  <c r="L39" i="10"/>
  <c r="H34" i="10"/>
  <c r="H38" i="10"/>
  <c r="I39" i="10" s="1"/>
  <c r="G38" i="10"/>
  <c r="G34" i="10"/>
  <c r="E38" i="10"/>
  <c r="E34" i="10"/>
  <c r="J42" i="10"/>
  <c r="J44" i="10" s="1"/>
  <c r="J39" i="10"/>
  <c r="I42" i="10"/>
  <c r="I44" i="10" s="1"/>
  <c r="C42" i="10" l="1"/>
  <c r="C44" i="10" s="1"/>
  <c r="F39" i="10"/>
  <c r="F42" i="10"/>
  <c r="F44" i="10" s="1"/>
  <c r="E39" i="10"/>
  <c r="E42" i="10"/>
  <c r="E44" i="10" s="1"/>
  <c r="G39" i="10"/>
  <c r="G42" i="10"/>
  <c r="G44" i="10" s="1"/>
  <c r="H39" i="10"/>
  <c r="H42" i="10"/>
  <c r="H44" i="10" s="1"/>
  <c r="B6" i="8" l="1"/>
  <c r="E1" i="8"/>
  <c r="K25" i="1" l="1"/>
  <c r="K23" i="1"/>
  <c r="F7" i="7"/>
  <c r="F5" i="7"/>
  <c r="K24" i="1"/>
  <c r="C32" i="1"/>
  <c r="C31" i="1"/>
  <c r="E31" i="1"/>
  <c r="J12" i="1"/>
  <c r="J13" i="1"/>
  <c r="J14" i="1"/>
  <c r="J11" i="1"/>
  <c r="K11" i="1" s="1"/>
  <c r="J10" i="1"/>
  <c r="K12" i="1"/>
  <c r="K13" i="1"/>
  <c r="K14" i="1"/>
  <c r="I14" i="1"/>
  <c r="I13" i="1"/>
  <c r="I12" i="1"/>
  <c r="I11" i="1"/>
  <c r="I10" i="1"/>
  <c r="H14" i="1"/>
  <c r="H13" i="1"/>
  <c r="H12" i="1"/>
  <c r="H11" i="1"/>
  <c r="H10" i="1"/>
  <c r="F11" i="1"/>
  <c r="F12" i="1"/>
  <c r="F13" i="1"/>
  <c r="F14" i="1"/>
  <c r="F10" i="1"/>
  <c r="E14" i="1"/>
  <c r="E13" i="1"/>
  <c r="E12" i="1"/>
  <c r="E11" i="1"/>
  <c r="E10" i="1"/>
  <c r="B14" i="1"/>
  <c r="B13" i="1"/>
  <c r="B12" i="1"/>
  <c r="B11" i="1"/>
  <c r="B10" i="1"/>
  <c r="M12" i="3"/>
  <c r="M6" i="3"/>
  <c r="R9" i="3" l="1"/>
  <c r="I110" i="3" l="1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D110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R6" i="3" s="1"/>
  <c r="D15" i="3"/>
  <c r="D14" i="3"/>
  <c r="D13" i="3"/>
  <c r="D12" i="3"/>
  <c r="D11" i="3"/>
  <c r="D10" i="3"/>
  <c r="D9" i="3"/>
  <c r="D8" i="3"/>
  <c r="D109" i="3"/>
  <c r="R7" i="3" l="1"/>
  <c r="K39" i="1"/>
  <c r="K32" i="1"/>
  <c r="C33" i="1"/>
  <c r="D33" i="1" s="1"/>
  <c r="E33" i="1" s="1"/>
  <c r="E32" i="1" s="1"/>
  <c r="E35" i="1" s="1"/>
  <c r="K31" i="1" s="1"/>
  <c r="E24" i="1"/>
  <c r="J39" i="1" s="1"/>
  <c r="E23" i="1"/>
  <c r="K40" i="1" l="1"/>
  <c r="D31" i="1"/>
  <c r="D32" i="1"/>
  <c r="J17" i="1"/>
  <c r="J16" i="1"/>
  <c r="G17" i="1"/>
  <c r="G16" i="1"/>
  <c r="K10" i="1"/>
  <c r="K17" i="1" l="1"/>
  <c r="K30" i="1" s="1"/>
  <c r="K33" i="1" s="1"/>
  <c r="J40" i="1" s="1"/>
  <c r="K41" i="1" s="1"/>
  <c r="H16" i="1"/>
  <c r="H17" i="1"/>
  <c r="I17" i="1"/>
  <c r="K16" i="1"/>
  <c r="I16" i="1"/>
  <c r="D35" i="1"/>
</calcChain>
</file>

<file path=xl/sharedStrings.xml><?xml version="1.0" encoding="utf-8"?>
<sst xmlns="http://schemas.openxmlformats.org/spreadsheetml/2006/main" count="792" uniqueCount="411">
  <si>
    <t>Weighed Average Cost of Capital</t>
  </si>
  <si>
    <t>All fingures are In inr unless stated otherwise</t>
  </si>
  <si>
    <t>Peer Comps</t>
  </si>
  <si>
    <t>Country</t>
  </si>
  <si>
    <t>Total Debt</t>
  </si>
  <si>
    <t>Total Equity</t>
  </si>
  <si>
    <t>Tax Rate</t>
  </si>
  <si>
    <t>Debt/</t>
  </si>
  <si>
    <t>Equity</t>
  </si>
  <si>
    <t>Capital</t>
  </si>
  <si>
    <t xml:space="preserve">Levered </t>
  </si>
  <si>
    <r>
      <t>Beta</t>
    </r>
    <r>
      <rPr>
        <vertAlign val="superscript"/>
        <sz val="11"/>
        <color theme="1"/>
        <rFont val="Calibri"/>
        <family val="2"/>
      </rPr>
      <t>2</t>
    </r>
  </si>
  <si>
    <t xml:space="preserve">Unlevered </t>
  </si>
  <si>
    <r>
      <t>Beta</t>
    </r>
    <r>
      <rPr>
        <vertAlign val="superscript"/>
        <sz val="11"/>
        <color theme="1"/>
        <rFont val="Calibri"/>
        <family val="2"/>
      </rPr>
      <t>3</t>
    </r>
  </si>
  <si>
    <r>
      <t>Tax Rate</t>
    </r>
    <r>
      <rPr>
        <vertAlign val="superscript"/>
        <sz val="11"/>
        <color theme="1"/>
        <rFont val="Calibri"/>
        <family val="2"/>
      </rPr>
      <t>1</t>
    </r>
  </si>
  <si>
    <t>Hind. Unilever</t>
  </si>
  <si>
    <t>India</t>
  </si>
  <si>
    <t>Nestle India</t>
  </si>
  <si>
    <t>Britannia Inds.</t>
  </si>
  <si>
    <t>Average</t>
  </si>
  <si>
    <t>Median</t>
  </si>
  <si>
    <t>Cost of Debt</t>
  </si>
  <si>
    <t>Pre-Tax Cost of Debt</t>
  </si>
  <si>
    <t>Post Tax Cost of Debt</t>
  </si>
  <si>
    <t>Cost of Equity</t>
  </si>
  <si>
    <t>Risk Free Rate</t>
  </si>
  <si>
    <t>Equity Risk Premium</t>
  </si>
  <si>
    <r>
      <t>Levered Beta</t>
    </r>
    <r>
      <rPr>
        <vertAlign val="superscript"/>
        <sz val="11"/>
        <color theme="1"/>
        <rFont val="Calibri"/>
        <family val="2"/>
      </rPr>
      <t>4</t>
    </r>
  </si>
  <si>
    <t>Capital Structure</t>
  </si>
  <si>
    <t>Market Capitalization</t>
  </si>
  <si>
    <t>Total Capital</t>
  </si>
  <si>
    <t>Current</t>
  </si>
  <si>
    <t>Target</t>
  </si>
  <si>
    <t>Levered Beta</t>
  </si>
  <si>
    <t>Target Debt/Equity</t>
  </si>
  <si>
    <t>Debt/Equity</t>
  </si>
  <si>
    <t>Weighted Average Cost of Capital</t>
  </si>
  <si>
    <t>Total Cost</t>
  </si>
  <si>
    <t>Total Weight</t>
  </si>
  <si>
    <t>Debt Capital</t>
  </si>
  <si>
    <t>Equity Capital</t>
  </si>
  <si>
    <t>Weighed Average Cost of Captal</t>
  </si>
  <si>
    <t>Comps Median Unlevered Beta</t>
  </si>
  <si>
    <t>Name</t>
  </si>
  <si>
    <t>Date</t>
  </si>
  <si>
    <t>Adj Close</t>
  </si>
  <si>
    <t>Aug 31, 2025</t>
  </si>
  <si>
    <t>Aug 24, 2025</t>
  </si>
  <si>
    <t>Aug 17, 2025</t>
  </si>
  <si>
    <t>Aug 10, 2025</t>
  </si>
  <si>
    <t>Aug 03, 2025</t>
  </si>
  <si>
    <t>Jul 27, 2025</t>
  </si>
  <si>
    <t>Jul 20, 2025</t>
  </si>
  <si>
    <t>Jul 13, 2025</t>
  </si>
  <si>
    <t>Jul 06, 2025</t>
  </si>
  <si>
    <t>Jun 29, 2025</t>
  </si>
  <si>
    <t>Jun 22, 2025</t>
  </si>
  <si>
    <t>Jun 15, 2025</t>
  </si>
  <si>
    <t>Jun 08, 2025</t>
  </si>
  <si>
    <t>Jun 01, 2025</t>
  </si>
  <si>
    <t>May 25, 2025</t>
  </si>
  <si>
    <t>May 18, 2025</t>
  </si>
  <si>
    <t>May 11, 2025</t>
  </si>
  <si>
    <t>May 04, 2025</t>
  </si>
  <si>
    <t>Apr 27, 2025</t>
  </si>
  <si>
    <t>Apr 20, 2025</t>
  </si>
  <si>
    <t>Apr 13, 2025</t>
  </si>
  <si>
    <t>Apr 06, 2025</t>
  </si>
  <si>
    <t>Mar 30, 2025</t>
  </si>
  <si>
    <t>Mar 23, 2025</t>
  </si>
  <si>
    <t>Mar 16, 2025</t>
  </si>
  <si>
    <t>Mar 09, 2025</t>
  </si>
  <si>
    <t>Mar 02, 2025</t>
  </si>
  <si>
    <t>Feb 23, 2025</t>
  </si>
  <si>
    <t>Feb 16, 2025</t>
  </si>
  <si>
    <t>Feb 09, 2025</t>
  </si>
  <si>
    <t>Feb 02, 2025</t>
  </si>
  <si>
    <t>Jan 26, 2025</t>
  </si>
  <si>
    <t>Jan 19, 2025</t>
  </si>
  <si>
    <t>Jan 12, 2025</t>
  </si>
  <si>
    <t>Jan 05, 2025</t>
  </si>
  <si>
    <t>Dec 29, 2024</t>
  </si>
  <si>
    <t>Dec 22, 2024</t>
  </si>
  <si>
    <t>Dec 15, 2024</t>
  </si>
  <si>
    <t>Dec 08, 2024</t>
  </si>
  <si>
    <t>Dec 01, 2024</t>
  </si>
  <si>
    <t>Nov 24, 2024</t>
  </si>
  <si>
    <t>Nov 17, 2024</t>
  </si>
  <si>
    <t>Nov 10, 2024</t>
  </si>
  <si>
    <t>Nov 03, 2024</t>
  </si>
  <si>
    <t>Oct 27, 2024</t>
  </si>
  <si>
    <t>Oct 20, 2024</t>
  </si>
  <si>
    <t>Oct 13, 2024</t>
  </si>
  <si>
    <t>Oct 06, 2024</t>
  </si>
  <si>
    <t>Sep 29, 2024</t>
  </si>
  <si>
    <t>Sep 22, 2024</t>
  </si>
  <si>
    <t>Sep 15, 2024</t>
  </si>
  <si>
    <t>Sep 08, 2024</t>
  </si>
  <si>
    <t>Sep 01, 2024</t>
  </si>
  <si>
    <t>Aug 25, 2024</t>
  </si>
  <si>
    <t>Aug 18, 2024</t>
  </si>
  <si>
    <t>Aug 11, 2024</t>
  </si>
  <si>
    <t>Aug 04, 2024</t>
  </si>
  <si>
    <t>Jul 28, 2024</t>
  </si>
  <si>
    <t>Jul 21, 2024</t>
  </si>
  <si>
    <t>Jul 14, 2024</t>
  </si>
  <si>
    <t>Jul 07, 2024</t>
  </si>
  <si>
    <t>Jun 30, 2024</t>
  </si>
  <si>
    <t>Jun 23, 2024</t>
  </si>
  <si>
    <t>Jun 16, 2024</t>
  </si>
  <si>
    <t>Jun 09, 2024</t>
  </si>
  <si>
    <t>Jun 02, 2024</t>
  </si>
  <si>
    <t>May 26, 2024</t>
  </si>
  <si>
    <t>May 19, 2024</t>
  </si>
  <si>
    <t>May 12, 2024</t>
  </si>
  <si>
    <t>May 05, 2024</t>
  </si>
  <si>
    <t>Apr 28, 2024</t>
  </si>
  <si>
    <t>Apr 21, 2024</t>
  </si>
  <si>
    <t>Apr 14, 2024</t>
  </si>
  <si>
    <t>Apr 07, 2024</t>
  </si>
  <si>
    <t>Mar 31, 2024</t>
  </si>
  <si>
    <t>Mar 24, 2024</t>
  </si>
  <si>
    <t>Mar 17, 2024</t>
  </si>
  <si>
    <t>Mar 10, 2024</t>
  </si>
  <si>
    <t>Mar 03, 2024</t>
  </si>
  <si>
    <t>Feb 25, 2024</t>
  </si>
  <si>
    <t>Feb 18, 2024</t>
  </si>
  <si>
    <t>Feb 11, 2024</t>
  </si>
  <si>
    <t>Feb 04, 2024</t>
  </si>
  <si>
    <t>Jan 28, 2024</t>
  </si>
  <si>
    <t>Jan 21, 2024</t>
  </si>
  <si>
    <t>Jan 14, 2024</t>
  </si>
  <si>
    <t>Jan 07, 2024</t>
  </si>
  <si>
    <t>Dec 31, 2023</t>
  </si>
  <si>
    <t>Dec 24, 2023</t>
  </si>
  <si>
    <t>Dec 17, 2023</t>
  </si>
  <si>
    <t>Dec 10, 2023</t>
  </si>
  <si>
    <t>Dec 03, 2023</t>
  </si>
  <si>
    <t>Nov 26, 2023</t>
  </si>
  <si>
    <t>Nov 19, 2023</t>
  </si>
  <si>
    <t>Nov 12, 2023</t>
  </si>
  <si>
    <t>Nov 05, 2023</t>
  </si>
  <si>
    <t>Oct 29, 2023</t>
  </si>
  <si>
    <t>Oct 22, 2023</t>
  </si>
  <si>
    <t>Oct 15, 2023</t>
  </si>
  <si>
    <t>Oct 08, 2023</t>
  </si>
  <si>
    <t>Oct 01, 2023</t>
  </si>
  <si>
    <t>Sep 24, 2023</t>
  </si>
  <si>
    <t>Sep 17, 2023</t>
  </si>
  <si>
    <t>Sep 10, 2023</t>
  </si>
  <si>
    <t>RAW DATA OF HUL 2 YEAR (WEEKLY)</t>
  </si>
  <si>
    <t>Regression Beta</t>
  </si>
  <si>
    <t>Closing Price</t>
  </si>
  <si>
    <t>Weekly Return</t>
  </si>
  <si>
    <t>HUL Weekly Returns</t>
  </si>
  <si>
    <t>Nifty Weekly Returns</t>
  </si>
  <si>
    <t>NIFTY 50 WEEKLY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</si>
  <si>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</si>
  <si>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</si>
  <si>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</si>
  <si>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</si>
  <si>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</si>
  <si>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</si>
  <si>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</si>
  <si>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</si>
  <si>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</si>
  <si>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</si>
  <si>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</si>
  <si>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</si>
  <si>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</si>
  <si>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</si>
  <si>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</si>
  <si>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</si>
  <si>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</si>
  <si>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</si>
  <si>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</si>
  <si>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</si>
  <si>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</si>
  <si>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</si>
  <si>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</si>
  <si>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</si>
  <si>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</si>
  <si>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</si>
  <si>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</si>
  <si>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</si>
  <si>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</si>
  <si>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</si>
  <si>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</si>
  <si>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 xml:space="preserve">Market Beta </t>
  </si>
  <si>
    <t>Market Beta Weight</t>
  </si>
  <si>
    <t>Adjusted Beta</t>
  </si>
  <si>
    <t>COMPS LEVERED BETA</t>
  </si>
  <si>
    <t>Company</t>
  </si>
  <si>
    <t>Britannia Industries</t>
  </si>
  <si>
    <t>S.No.</t>
  </si>
  <si>
    <t>Debt / Eq</t>
  </si>
  <si>
    <t>ITC</t>
  </si>
  <si>
    <t>Varun Beverages</t>
  </si>
  <si>
    <t>CMP Rs.</t>
  </si>
  <si>
    <t xml:space="preserve">Mar Cap Rs.Cr. </t>
  </si>
  <si>
    <t>Debt Rs.Cr.</t>
  </si>
  <si>
    <t>Nestlé India</t>
  </si>
  <si>
    <t xml:space="preserve">YOU WILL FIND RISK RATE BY GOING TO INVESTING.COM- SELECT INDIA ENGLIS- THEN CHOOSE BOND AND SEE 10Y </t>
  </si>
  <si>
    <t>Year</t>
  </si>
  <si>
    <t>Annual</t>
  </si>
  <si>
    <t>Returns on Market</t>
  </si>
  <si>
    <t>Average Reutrns</t>
  </si>
  <si>
    <t>Dividend Yield</t>
  </si>
  <si>
    <t>BOTH THESE YEARLY DATA AND DIVIDEND YIELD IS AVAILABLE ON PRIME INVESTOR</t>
  </si>
  <si>
    <r>
      <t xml:space="preserve">1.38% </t>
    </r>
    <r>
      <rPr>
        <vertAlign val="superscript"/>
        <sz val="11"/>
        <color theme="1"/>
        <rFont val="Calibri"/>
        <family val="2"/>
      </rPr>
      <t>1</t>
    </r>
  </si>
  <si>
    <t>Total Market Return</t>
  </si>
  <si>
    <t>FOR Pre-Tax Cost of Debt-</t>
  </si>
  <si>
    <t>GO TO SCREENER- SEARCH YOUR COMPANY THEN DIVIDED INTEREST/TOTAL DEBT</t>
  </si>
  <si>
    <t>COMPANY NAME</t>
  </si>
  <si>
    <t>HINDUSTAN UNILEVER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</si>
  <si>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</si>
  <si>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</si>
  <si>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</si>
  <si>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</si>
  <si>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</si>
  <si>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</si>
  <si>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</si>
  <si>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</si>
  <si>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</si>
  <si>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</si>
  <si>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</si>
  <si>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</si>
  <si>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</si>
  <si>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</si>
  <si>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</si>
  <si>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</si>
  <si>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</si>
  <si>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</si>
  <si>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</si>
  <si>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</si>
  <si>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</si>
  <si>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</si>
  <si>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</si>
  <si>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</si>
  <si>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</si>
  <si>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</si>
  <si>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</si>
  <si>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</si>
  <si>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</si>
  <si>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</si>
  <si>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</si>
  <si>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</si>
  <si>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</si>
  <si>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</si>
  <si>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</si>
  <si>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</si>
  <si>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</si>
  <si>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</si>
  <si>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</si>
  <si>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</si>
  <si>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</si>
  <si>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</si>
  <si>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</si>
  <si>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</si>
  <si>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</si>
  <si>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</si>
  <si>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</si>
  <si>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</si>
  <si>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</si>
  <si>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</si>
  <si>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</si>
  <si>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</si>
  <si>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#</t>
  </si>
  <si>
    <t>Income Statement</t>
  </si>
  <si>
    <t>Sales Growth</t>
  </si>
  <si>
    <t>-</t>
  </si>
  <si>
    <t>COGS</t>
  </si>
  <si>
    <t>COGS % SALES</t>
  </si>
  <si>
    <t>Gross Profit</t>
  </si>
  <si>
    <t>Gros Margins</t>
  </si>
  <si>
    <t>Selling &amp; General Expenses</t>
  </si>
  <si>
    <t>S&amp;G Exp. % Sales</t>
  </si>
  <si>
    <t>EBIDTA</t>
  </si>
  <si>
    <t>EBIDTA Margins</t>
  </si>
  <si>
    <t>Interest % Sales</t>
  </si>
  <si>
    <t>Depreciation % Sales</t>
  </si>
  <si>
    <t>Earnings Before Tax</t>
  </si>
  <si>
    <t>EBT % Sales</t>
  </si>
  <si>
    <t>Effective Tax Rate</t>
  </si>
  <si>
    <t>Net Profit</t>
  </si>
  <si>
    <t>Net Margins</t>
  </si>
  <si>
    <t>Earning Per Share</t>
  </si>
  <si>
    <t>EPS % Growth</t>
  </si>
  <si>
    <t>Dividend Per Share</t>
  </si>
  <si>
    <t>Dividend Payout Ratio</t>
  </si>
  <si>
    <t>Retained Earnings</t>
  </si>
  <si>
    <t>Balance Sheet</t>
  </si>
  <si>
    <t>Total Liabilites</t>
  </si>
  <si>
    <t>Fixed Assets Net Block</t>
  </si>
  <si>
    <t>Total Non Current Assets</t>
  </si>
  <si>
    <t>Total Current Assets</t>
  </si>
  <si>
    <t>Total Assets</t>
  </si>
  <si>
    <t>CHECK</t>
  </si>
  <si>
    <t>Cash Flow Statements</t>
  </si>
  <si>
    <t>FOR RAW FS YOU HAVE TO DO MANUAL WORK-</t>
  </si>
  <si>
    <t>GO TO SCREENER.IN AND HEAD TO THE BALANCE SHEET SECTION,</t>
  </si>
  <si>
    <t>THEN UNCOLLAPSE IT AND COPY PASTE IN RAW FS</t>
  </si>
  <si>
    <t>Borrowings -</t>
  </si>
  <si>
    <t>Long term Borrowings</t>
  </si>
  <si>
    <t>Short term Borrowings</t>
  </si>
  <si>
    <t>Lease Liabilities</t>
  </si>
  <si>
    <t>Other Liabilities -</t>
  </si>
  <si>
    <t>Non controlling int</t>
  </si>
  <si>
    <t>Trade Payables</t>
  </si>
  <si>
    <t>Advance from Customers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</si>
  <si>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</si>
  <si>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</si>
  <si>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</si>
  <si>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</si>
  <si>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</si>
  <si>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</si>
  <si>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</si>
  <si>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Furniture n fittings</t>
  </si>
  <si>
    <t>Railway sidings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</si>
  <si>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</si>
  <si>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</si>
  <si>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</si>
  <si>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</si>
  <si>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</si>
  <si>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</si>
  <si>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</si>
  <si>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</si>
  <si>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 +</t>
  </si>
  <si>
    <t>Cash Equivalents</t>
  </si>
  <si>
    <t>Loans n Advances</t>
  </si>
  <si>
    <t>Other asset items</t>
  </si>
  <si>
    <t>Particulars</t>
  </si>
  <si>
    <t>Calculation of ROIC</t>
  </si>
  <si>
    <t>Current Assets</t>
  </si>
  <si>
    <t>Current Liabilities</t>
  </si>
  <si>
    <t>Total Current Liabilities</t>
  </si>
  <si>
    <t>Net Working Capital</t>
  </si>
  <si>
    <t>Non Current Assets</t>
  </si>
  <si>
    <t>Accumulated Depriciation</t>
  </si>
  <si>
    <t>IN INSINTRIC VALUE, MAKE SURE TO TAKE ACCUMULATED DEPRECIATION IN NEGATIVE</t>
  </si>
  <si>
    <t>Net Non Current Assets</t>
  </si>
  <si>
    <t>Invested Capital</t>
  </si>
  <si>
    <t>EBIT</t>
  </si>
  <si>
    <t>ROIC</t>
  </si>
  <si>
    <t>Calculation of Reinvestment Rate</t>
  </si>
  <si>
    <t>Net Capex</t>
  </si>
  <si>
    <t>Cash from Operating Activity -</t>
  </si>
  <si>
    <t>Profit from operations</t>
  </si>
  <si>
    <t>Payables</t>
  </si>
  <si>
    <t>Loans Advances</t>
  </si>
  <si>
    <t>Operating Deposits</t>
  </si>
  <si>
    <t>Other WC items</t>
  </si>
  <si>
    <t>Working capital changes</t>
  </si>
  <si>
    <t>Direct taxes</t>
  </si>
  <si>
    <t>Other operating items</t>
  </si>
  <si>
    <t>Exceptional CF items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</si>
  <si>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</si>
  <si>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</si>
  <si>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</si>
  <si>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</si>
  <si>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</si>
  <si>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</si>
  <si>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</si>
  <si>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</si>
  <si>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Loans to subsidiaries</t>
  </si>
  <si>
    <t>Redemp n Canc of Shares</t>
  </si>
  <si>
    <t>Acquisition of companies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</si>
  <si>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</si>
  <si>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</si>
  <si>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</si>
  <si>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</si>
  <si>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</si>
  <si>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</si>
  <si>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</si>
  <si>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</si>
  <si>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</si>
  <si>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Change in Working Capital</t>
  </si>
  <si>
    <t>Marginal Tax Rate</t>
  </si>
  <si>
    <t>Reinvestment</t>
  </si>
  <si>
    <t>Reinvestment Rate</t>
  </si>
  <si>
    <t>EBIT(1-Tax Rate)</t>
  </si>
  <si>
    <t>4 Year Average</t>
  </si>
  <si>
    <t>4 Year Median</t>
  </si>
  <si>
    <t>Calculation of Growth Rate</t>
  </si>
  <si>
    <t>Insintric Growth</t>
  </si>
  <si>
    <t>Calculation of PV of FCFF</t>
  </si>
  <si>
    <t>EBIT(1-Tax)</t>
  </si>
  <si>
    <t>Less: Reinvestment Rate</t>
  </si>
  <si>
    <t>Free Cash Flow to Firm(FCFF)</t>
  </si>
  <si>
    <t>Mid Year Convention</t>
  </si>
  <si>
    <t>Discounting Factor</t>
  </si>
  <si>
    <t>PV of FCFF</t>
  </si>
  <si>
    <t>Expected Growth</t>
  </si>
  <si>
    <t>Terminal Growth</t>
  </si>
  <si>
    <t>WACC</t>
  </si>
  <si>
    <t>YOU CAN ASK THE TERMIANAL GROWTH RATE FROM CHATGPT</t>
  </si>
  <si>
    <t>Calculation of Terminal Value</t>
  </si>
  <si>
    <t>FCFF(n+1)</t>
  </si>
  <si>
    <t>Terminal Value</t>
  </si>
  <si>
    <t>Terminal Growth Rate</t>
  </si>
  <si>
    <t>PV of Terminal Value</t>
  </si>
  <si>
    <t>Value of Operating Assets</t>
  </si>
  <si>
    <t>Add:Cash</t>
  </si>
  <si>
    <t>Less:Debt</t>
  </si>
  <si>
    <t>Calculation of Equity Value per Share</t>
  </si>
  <si>
    <t>Value of Equity</t>
  </si>
  <si>
    <t>No. of Shares</t>
  </si>
  <si>
    <t>Equity Value per Share</t>
  </si>
  <si>
    <t>Share Price</t>
  </si>
  <si>
    <t>FIND SHARE PRICE FROM SCREENER.IN</t>
  </si>
  <si>
    <t>Discount/Premium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</si>
</sst>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 * #,##0.00_ ;_ * \-#,##0.00_ ;_ * &quot;-&quot;??_ ;_ @_ "/>
    <numFmt numFmtId="164" formatCode="#,##0.0;\(###0.0\);"/>
    <numFmt numFmtId="165" formatCode="#,##0.0;\(###0.0\);\-"/>
    <numFmt numFmtId="166" formatCode="[$-14009]dd/mm/yyyy;@"/>
    <numFmt numFmtId="167" formatCode="[$-409]mmm\-yy;@"/>
    <numFmt numFmtId="168" formatCode="_(* #,##0.00_);_(* \(#,##0.00\);_(* &quot;-&quot;??_);_(@_)"/>
    <numFmt numFmtId="169" formatCode="&quot;₹&quot;\ #,##0.0;&quot;₹&quot;\ \(#,##0.0\);\-"/>
    <numFmt numFmtId="170" formatCode="#,##0.0;\(#,##0.0\);\-"/>
    <numFmt numFmtId="171" formatCode="mmm/yy&quot;A&quot;"/>
    <numFmt numFmtId="172" formatCode="mmm/yy&quot;F&quot;"/>
    <numFmt numFmtId="173" formatCode="0.000"/>
    <numFmt numFmtId="174" formatCode="0.00\x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3333FF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3333CC"/>
      <name val="Calibri"/>
      <family val="2"/>
    </font>
    <font>
      <sz val="11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theme="7" tint="-0.499984740745262"/>
      </top>
      <bottom style="hair">
        <color theme="7" tint="-0.499984740745262"/>
      </bottom>
      <diagonal/>
    </border>
    <border>
      <left/>
      <right/>
      <top style="hair">
        <color theme="8" tint="-0.24994659260841701"/>
      </top>
      <bottom style="hair">
        <color theme="8" tint="-0.2499465926084170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ck">
        <color theme="8" tint="-0.49998474074526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5" borderId="0" applyNumberFormat="0" applyBorder="0" applyAlignment="0" applyProtection="0"/>
    <xf numFmtId="0" fontId="12" fillId="0" borderId="0"/>
    <xf numFmtId="9" fontId="12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10" fontId="6" fillId="0" borderId="0" xfId="0" applyNumberFormat="1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right"/>
    </xf>
    <xf numFmtId="0" fontId="6" fillId="0" borderId="0" xfId="0" applyFont="1"/>
    <xf numFmtId="4" fontId="6" fillId="0" borderId="0" xfId="0" applyNumberFormat="1" applyFont="1"/>
    <xf numFmtId="10" fontId="0" fillId="2" borderId="0" xfId="1" applyNumberFormat="1" applyFont="1" applyFill="1"/>
    <xf numFmtId="2" fontId="0" fillId="2" borderId="0" xfId="1" applyNumberFormat="1" applyFont="1" applyFill="1"/>
    <xf numFmtId="0" fontId="2" fillId="0" borderId="1" xfId="0" applyFont="1" applyBorder="1"/>
    <xf numFmtId="0" fontId="2" fillId="0" borderId="2" xfId="0" applyFont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2" fontId="0" fillId="0" borderId="1" xfId="1" applyNumberFormat="1" applyFont="1" applyBorder="1"/>
    <xf numFmtId="2" fontId="0" fillId="0" borderId="2" xfId="1" applyNumberFormat="1" applyFont="1" applyBorder="1"/>
    <xf numFmtId="0" fontId="7" fillId="0" borderId="0" xfId="0" applyFont="1" applyAlignment="1">
      <alignment vertical="center"/>
    </xf>
    <xf numFmtId="10" fontId="0" fillId="0" borderId="0" xfId="1" applyNumberFormat="1" applyFont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10" fontId="0" fillId="2" borderId="3" xfId="1" applyNumberFormat="1" applyFont="1" applyFill="1" applyBorder="1"/>
    <xf numFmtId="10" fontId="6" fillId="0" borderId="0" xfId="1" applyNumberFormat="1" applyFont="1"/>
    <xf numFmtId="0" fontId="0" fillId="0" borderId="4" xfId="0" applyBorder="1"/>
    <xf numFmtId="165" fontId="0" fillId="0" borderId="3" xfId="0" applyNumberFormat="1" applyBorder="1"/>
    <xf numFmtId="2" fontId="0" fillId="0" borderId="0" xfId="0" applyNumberFormat="1"/>
    <xf numFmtId="10" fontId="0" fillId="0" borderId="0" xfId="0" applyNumberFormat="1"/>
    <xf numFmtId="2" fontId="0" fillId="0" borderId="3" xfId="0" applyNumberFormat="1" applyBorder="1"/>
    <xf numFmtId="2" fontId="0" fillId="2" borderId="0" xfId="0" applyNumberFormat="1" applyFill="1"/>
    <xf numFmtId="10" fontId="0" fillId="2" borderId="3" xfId="0" applyNumberFormat="1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2" fontId="2" fillId="0" borderId="0" xfId="0" applyNumberFormat="1" applyFont="1"/>
    <xf numFmtId="2" fontId="0" fillId="0" borderId="0" xfId="0" applyNumberFormat="1" applyFont="1"/>
    <xf numFmtId="10" fontId="1" fillId="0" borderId="0" xfId="1" applyNumberFormat="1" applyFont="1"/>
    <xf numFmtId="0" fontId="2" fillId="2" borderId="0" xfId="0" applyFont="1" applyFill="1"/>
    <xf numFmtId="2" fontId="2" fillId="2" borderId="0" xfId="0" applyNumberFormat="1" applyFont="1" applyFill="1"/>
    <xf numFmtId="0" fontId="0" fillId="0" borderId="0" xfId="0" applyAlignment="1">
      <alignment horizontal="left"/>
    </xf>
    <xf numFmtId="0" fontId="11" fillId="0" borderId="0" xfId="0" applyFont="1"/>
    <xf numFmtId="4" fontId="11" fillId="0" borderId="0" xfId="0" applyNumberFormat="1" applyFont="1"/>
    <xf numFmtId="2" fontId="11" fillId="0" borderId="0" xfId="0" applyNumberFormat="1" applyFont="1"/>
    <xf numFmtId="10" fontId="11" fillId="0" borderId="0" xfId="1" applyNumberFormat="1" applyFont="1"/>
    <xf numFmtId="164" fontId="11" fillId="0" borderId="0" xfId="0" applyNumberFormat="1" applyFont="1"/>
    <xf numFmtId="10" fontId="0" fillId="0" borderId="0" xfId="1" applyNumberFormat="1" applyFont="1" applyAlignment="1">
      <alignment horizontal="right"/>
    </xf>
    <xf numFmtId="0" fontId="8" fillId="4" borderId="0" xfId="0" applyFont="1" applyFill="1" applyAlignment="1"/>
    <xf numFmtId="10" fontId="0" fillId="0" borderId="0" xfId="0" applyNumberFormat="1" applyAlignment="1">
      <alignment horizontal="right"/>
    </xf>
    <xf numFmtId="10" fontId="2" fillId="0" borderId="0" xfId="0" applyNumberFormat="1" applyFont="1"/>
    <xf numFmtId="10" fontId="1" fillId="0" borderId="0" xfId="1" applyNumberFormat="1" applyFont="1" applyFill="1"/>
    <xf numFmtId="43" fontId="13" fillId="0" borderId="0" xfId="2" applyFont="1" applyBorder="1"/>
    <xf numFmtId="43" fontId="0" fillId="0" borderId="0" xfId="2" applyFont="1" applyBorder="1"/>
    <xf numFmtId="0" fontId="12" fillId="0" borderId="0" xfId="5"/>
    <xf numFmtId="167" fontId="16" fillId="6" borderId="0" xfId="2" applyNumberFormat="1" applyFont="1" applyFill="1" applyBorder="1"/>
    <xf numFmtId="167" fontId="16" fillId="6" borderId="0" xfId="5" applyNumberFormat="1" applyFont="1" applyFill="1" applyBorder="1" applyAlignment="1">
      <alignment horizontal="center"/>
    </xf>
    <xf numFmtId="167" fontId="17" fillId="0" borderId="0" xfId="2" applyNumberFormat="1" applyFont="1" applyFill="1" applyBorder="1"/>
    <xf numFmtId="43" fontId="12" fillId="0" borderId="0" xfId="2" applyFont="1" applyBorder="1"/>
    <xf numFmtId="168" fontId="0" fillId="0" borderId="0" xfId="2" applyNumberFormat="1" applyFont="1" applyBorder="1"/>
    <xf numFmtId="10" fontId="18" fillId="0" borderId="0" xfId="6" applyNumberFormat="1" applyFont="1"/>
    <xf numFmtId="10" fontId="18" fillId="0" borderId="0" xfId="6" applyNumberFormat="1" applyFont="1" applyAlignment="1">
      <alignment horizontal="right"/>
    </xf>
    <xf numFmtId="10" fontId="0" fillId="0" borderId="0" xfId="6" applyNumberFormat="1" applyFont="1"/>
    <xf numFmtId="0" fontId="16" fillId="0" borderId="0" xfId="0" applyFont="1" applyFill="1"/>
    <xf numFmtId="17" fontId="16" fillId="0" borderId="0" xfId="0" applyNumberFormat="1" applyFont="1" applyFill="1"/>
    <xf numFmtId="17" fontId="16" fillId="0" borderId="0" xfId="0" applyNumberFormat="1" applyFont="1" applyFill="1" applyAlignment="1">
      <alignment horizontal="right"/>
    </xf>
    <xf numFmtId="169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right"/>
    </xf>
    <xf numFmtId="0" fontId="13" fillId="0" borderId="7" xfId="0" applyFont="1" applyBorder="1"/>
    <xf numFmtId="169" fontId="13" fillId="0" borderId="7" xfId="0" applyNumberFormat="1" applyFont="1" applyBorder="1"/>
    <xf numFmtId="169" fontId="13" fillId="0" borderId="7" xfId="0" applyNumberFormat="1" applyFont="1" applyBorder="1" applyAlignment="1">
      <alignment horizontal="right"/>
    </xf>
    <xf numFmtId="0" fontId="13" fillId="0" borderId="8" xfId="0" applyFont="1" applyBorder="1"/>
    <xf numFmtId="169" fontId="13" fillId="0" borderId="8" xfId="0" applyNumberFormat="1" applyFont="1" applyBorder="1"/>
    <xf numFmtId="0" fontId="16" fillId="4" borderId="0" xfId="0" applyFont="1" applyFill="1"/>
    <xf numFmtId="17" fontId="16" fillId="4" borderId="0" xfId="0" applyNumberFormat="1" applyFont="1" applyFill="1"/>
    <xf numFmtId="17" fontId="16" fillId="4" borderId="0" xfId="0" applyNumberFormat="1" applyFont="1" applyFill="1" applyAlignment="1">
      <alignment horizontal="right"/>
    </xf>
    <xf numFmtId="0" fontId="0" fillId="7" borderId="0" xfId="0" applyFill="1"/>
    <xf numFmtId="0" fontId="13" fillId="7" borderId="0" xfId="0" applyFont="1" applyFill="1"/>
    <xf numFmtId="3" fontId="0" fillId="0" borderId="0" xfId="0" applyNumberFormat="1"/>
    <xf numFmtId="0" fontId="8" fillId="4" borderId="0" xfId="0" applyFont="1" applyFill="1"/>
    <xf numFmtId="17" fontId="8" fillId="4" borderId="0" xfId="0" applyNumberFormat="1" applyFont="1" applyFill="1"/>
    <xf numFmtId="0" fontId="8" fillId="0" borderId="0" xfId="0" applyFont="1" applyFill="1"/>
    <xf numFmtId="17" fontId="8" fillId="0" borderId="0" xfId="0" applyNumberFormat="1" applyFont="1" applyFill="1"/>
    <xf numFmtId="0" fontId="2" fillId="0" borderId="10" xfId="0" applyFont="1" applyBorder="1"/>
    <xf numFmtId="170" fontId="0" fillId="0" borderId="9" xfId="0" applyNumberFormat="1" applyBorder="1"/>
    <xf numFmtId="170" fontId="0" fillId="0" borderId="0" xfId="0" applyNumberFormat="1"/>
    <xf numFmtId="170" fontId="2" fillId="0" borderId="0" xfId="0" applyNumberFormat="1" applyFont="1"/>
    <xf numFmtId="170" fontId="2" fillId="0" borderId="10" xfId="0" applyNumberFormat="1" applyFont="1" applyBorder="1"/>
    <xf numFmtId="0" fontId="2" fillId="0" borderId="11" xfId="0" applyFont="1" applyBorder="1"/>
    <xf numFmtId="170" fontId="0" fillId="0" borderId="11" xfId="0" applyNumberFormat="1" applyBorder="1"/>
    <xf numFmtId="170" fontId="0" fillId="0" borderId="12" xfId="0" applyNumberFormat="1" applyBorder="1"/>
    <xf numFmtId="170" fontId="2" fillId="0" borderId="12" xfId="0" applyNumberFormat="1" applyFont="1" applyBorder="1"/>
    <xf numFmtId="0" fontId="0" fillId="4" borderId="0" xfId="0" applyFill="1"/>
    <xf numFmtId="0" fontId="10" fillId="4" borderId="0" xfId="0" applyFont="1" applyFill="1"/>
    <xf numFmtId="17" fontId="10" fillId="4" borderId="0" xfId="0" applyNumberFormat="1" applyFont="1" applyFill="1"/>
    <xf numFmtId="0" fontId="2" fillId="0" borderId="11" xfId="0" applyNumberFormat="1" applyFont="1" applyBorder="1"/>
    <xf numFmtId="0" fontId="0" fillId="0" borderId="11" xfId="0" applyNumberFormat="1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0" fillId="0" borderId="10" xfId="0" applyBorder="1"/>
    <xf numFmtId="0" fontId="2" fillId="0" borderId="0" xfId="0" applyFont="1" applyFill="1" applyBorder="1"/>
    <xf numFmtId="10" fontId="0" fillId="0" borderId="10" xfId="1" applyNumberFormat="1" applyFont="1" applyBorder="1"/>
    <xf numFmtId="3" fontId="2" fillId="0" borderId="16" xfId="0" applyNumberFormat="1" applyFont="1" applyBorder="1"/>
    <xf numFmtId="3" fontId="0" fillId="0" borderId="15" xfId="0" applyNumberFormat="1" applyBorder="1"/>
    <xf numFmtId="170" fontId="0" fillId="0" borderId="15" xfId="0" applyNumberFormat="1" applyBorder="1"/>
    <xf numFmtId="170" fontId="2" fillId="0" borderId="11" xfId="0" applyNumberFormat="1" applyFont="1" applyBorder="1"/>
    <xf numFmtId="170" fontId="2" fillId="0" borderId="16" xfId="0" applyNumberFormat="1" applyFont="1" applyBorder="1"/>
    <xf numFmtId="170" fontId="0" fillId="0" borderId="10" xfId="0" applyNumberFormat="1" applyBorder="1"/>
    <xf numFmtId="10" fontId="19" fillId="0" borderId="15" xfId="1" applyNumberFormat="1" applyFont="1" applyBorder="1"/>
    <xf numFmtId="10" fontId="2" fillId="0" borderId="10" xfId="1" applyNumberFormat="1" applyFont="1" applyBorder="1"/>
    <xf numFmtId="10" fontId="2" fillId="2" borderId="0" xfId="0" applyNumberFormat="1" applyFont="1" applyFill="1"/>
    <xf numFmtId="0" fontId="0" fillId="0" borderId="13" xfId="0" applyBorder="1"/>
    <xf numFmtId="10" fontId="0" fillId="0" borderId="13" xfId="1" applyNumberFormat="1" applyFont="1" applyBorder="1"/>
    <xf numFmtId="0" fontId="0" fillId="0" borderId="14" xfId="0" applyBorder="1"/>
    <xf numFmtId="10" fontId="0" fillId="0" borderId="14" xfId="1" applyNumberFormat="1" applyFont="1" applyBorder="1"/>
    <xf numFmtId="0" fontId="10" fillId="8" borderId="0" xfId="0" applyFont="1" applyFill="1"/>
    <xf numFmtId="0" fontId="8" fillId="8" borderId="0" xfId="0" applyFont="1" applyFill="1"/>
    <xf numFmtId="171" fontId="10" fillId="8" borderId="0" xfId="0" applyNumberFormat="1" applyFont="1" applyFill="1"/>
    <xf numFmtId="172" fontId="10" fillId="8" borderId="0" xfId="0" applyNumberFormat="1" applyFont="1" applyFill="1"/>
    <xf numFmtId="4" fontId="0" fillId="0" borderId="17" xfId="0" applyNumberFormat="1" applyBorder="1"/>
    <xf numFmtId="0" fontId="0" fillId="2" borderId="0" xfId="0" applyFill="1"/>
    <xf numFmtId="10" fontId="20" fillId="2" borderId="0" xfId="1" applyNumberFormat="1" applyFont="1" applyFill="1"/>
    <xf numFmtId="10" fontId="0" fillId="0" borderId="15" xfId="1" applyNumberFormat="1" applyFont="1" applyBorder="1"/>
    <xf numFmtId="0" fontId="6" fillId="0" borderId="15" xfId="0" applyFont="1" applyBorder="1"/>
    <xf numFmtId="0" fontId="0" fillId="2" borderId="15" xfId="0" applyFill="1" applyBorder="1"/>
    <xf numFmtId="10" fontId="20" fillId="2" borderId="15" xfId="1" applyNumberFormat="1" applyFont="1" applyFill="1" applyBorder="1"/>
    <xf numFmtId="10" fontId="0" fillId="2" borderId="15" xfId="1" applyNumberFormat="1" applyFont="1" applyFill="1" applyBorder="1"/>
    <xf numFmtId="4" fontId="0" fillId="2" borderId="17" xfId="0" applyNumberFormat="1" applyFill="1" applyBorder="1"/>
    <xf numFmtId="173" fontId="0" fillId="0" borderId="0" xfId="0" applyNumberFormat="1"/>
    <xf numFmtId="0" fontId="10" fillId="0" borderId="0" xfId="0" applyFont="1" applyFill="1"/>
    <xf numFmtId="0" fontId="2" fillId="0" borderId="17" xfId="0" applyFont="1" applyBorder="1"/>
    <xf numFmtId="2" fontId="0" fillId="0" borderId="0" xfId="1" applyNumberFormat="1" applyFont="1"/>
    <xf numFmtId="2" fontId="2" fillId="0" borderId="17" xfId="0" applyNumberFormat="1" applyFont="1" applyBorder="1"/>
    <xf numFmtId="2" fontId="2" fillId="0" borderId="0" xfId="1" applyNumberFormat="1" applyFont="1"/>
    <xf numFmtId="174" fontId="0" fillId="0" borderId="0" xfId="1" applyNumberFormat="1" applyFont="1"/>
    <xf numFmtId="0" fontId="10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43" fontId="14" fillId="0" borderId="0" xfId="3" applyNumberFormat="1" applyBorder="1" applyAlignment="1" applyProtection="1">
      <alignment horizontal="center"/>
    </xf>
    <xf numFmtId="43" fontId="16" fillId="5" borderId="0" xfId="4" applyNumberFormat="1" applyFont="1" applyBorder="1" applyAlignment="1">
      <alignment horizontal="center"/>
    </xf>
  </cellXfs>
  <cellStyles count="7">
    <cellStyle name="Accent6 2" xfId="4"/>
    <cellStyle name="Comma 2" xfId="2"/>
    <cellStyle name="Hyperlink" xfId="3" builtinId="8"/>
    <cellStyle name="Normal" xfId="0" builtinId="0"/>
    <cellStyle name="Normal 2" xfId="5"/>
    <cellStyle name="Percent" xfId="1" builtinId="5"/>
    <cellStyle name="Percent 2" xfId="6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  <color rgb="FF0000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Hind.%20Unilever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&gt;"/>
      <sheetName val="HistoricalFS"/>
      <sheetName val="Ratio Analysis"/>
      <sheetName val="Forecasting"/>
      <sheetName val="Data&gt;"/>
      <sheetName val="Data Sheet"/>
    </sheetNames>
    <sheetDataSet>
      <sheetData sheetId="0"/>
      <sheetData sheetId="1">
        <row r="36">
          <cell r="C36"/>
        </row>
      </sheetData>
      <sheetData sheetId="2"/>
      <sheetData sheetId="3"/>
      <sheetData sheetId="4"/>
      <sheetData sheetId="5">
        <row r="1">
          <cell r="B1" t="str">
            <v>HINDUSTAN UNILEVER LTD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45">
          <cell r="H45">
            <v>338</v>
          </cell>
          <cell r="I45">
            <v>341</v>
          </cell>
          <cell r="J45">
            <v>347</v>
          </cell>
          <cell r="K45">
            <v>361</v>
          </cell>
        </row>
        <row r="46">
          <cell r="H46">
            <v>110</v>
          </cell>
          <cell r="I46">
            <v>112</v>
          </cell>
          <cell r="J46">
            <v>80</v>
          </cell>
          <cell r="K46">
            <v>127</v>
          </cell>
        </row>
        <row r="47">
          <cell r="H47">
            <v>3542</v>
          </cell>
          <cell r="I47">
            <v>3982</v>
          </cell>
          <cell r="J47">
            <v>3362</v>
          </cell>
          <cell r="K47">
            <v>3303</v>
          </cell>
        </row>
        <row r="57">
          <cell r="A57" t="str">
            <v>Equity Share Capital</v>
          </cell>
        </row>
        <row r="58">
          <cell r="A58" t="str">
            <v>Reserves</v>
          </cell>
        </row>
        <row r="59">
          <cell r="A59" t="str">
            <v>Borrowings</v>
          </cell>
        </row>
        <row r="60">
          <cell r="A60" t="str">
            <v>Other Liabilities</v>
          </cell>
        </row>
        <row r="63">
          <cell r="A63" t="str">
            <v>Capital Work in Progress</v>
          </cell>
        </row>
        <row r="64">
          <cell r="A64" t="str">
            <v>Investments</v>
          </cell>
        </row>
        <row r="65">
          <cell r="A65" t="str">
            <v>Other Assets</v>
          </cell>
        </row>
        <row r="67">
          <cell r="A67" t="str">
            <v>Receivables</v>
          </cell>
        </row>
        <row r="68">
          <cell r="A68" t="str">
            <v>Inventory</v>
          </cell>
        </row>
        <row r="69">
          <cell r="A69" t="str">
            <v>Cash &amp; Bank</v>
          </cell>
        </row>
        <row r="82">
          <cell r="A82" t="str">
            <v>Cash from Operating Activity</v>
          </cell>
        </row>
        <row r="83">
          <cell r="A83" t="str">
            <v>Cash from Investing Activity</v>
          </cell>
        </row>
        <row r="84">
          <cell r="A84" t="str">
            <v>Cash from Financing Activity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31" sqref="B31"/>
    </sheetView>
  </sheetViews>
  <sheetFormatPr defaultColWidth="8.85546875" defaultRowHeight="15" x14ac:dyDescent="0.25"/>
  <cols>
    <col min="1" max="1" width="27.7109375" style="63" bestFit="1" customWidth="1"/>
    <col min="2" max="11" width="13.42578125" style="63" bestFit="1" customWidth="1"/>
    <col min="12" max="16384" width="8.85546875" style="63"/>
  </cols>
  <sheetData>
    <row r="1" spans="1:11" s="62" customFormat="1" x14ac:dyDescent="0.25">
      <c r="A1" s="62" t="s">
        <v>213</v>
      </c>
      <c r="B1" s="62" t="s">
        <v>214</v>
      </c>
      <c r="E1" s="150" t="str">
        <f>IF(B2&lt;&gt;B3, "A NEW VERSION OF THE WORKSHEET IS AVAILABLE", "")</f>
        <v/>
      </c>
      <c r="F1" s="150"/>
      <c r="G1" s="150"/>
      <c r="H1" s="150"/>
      <c r="I1" s="150"/>
      <c r="J1" s="150"/>
      <c r="K1" s="150"/>
    </row>
    <row r="2" spans="1:11" x14ac:dyDescent="0.25">
      <c r="A2" s="62" t="s">
        <v>215</v>
      </c>
      <c r="B2" s="63">
        <v>2.1</v>
      </c>
      <c r="E2" s="151" t="s">
        <v>216</v>
      </c>
      <c r="F2" s="151"/>
      <c r="G2" s="151"/>
      <c r="H2" s="151"/>
      <c r="I2" s="151"/>
      <c r="J2" s="151"/>
      <c r="K2" s="151"/>
    </row>
    <row r="3" spans="1:11" x14ac:dyDescent="0.25">
      <c r="A3" s="62" t="s">
        <v>217</v>
      </c>
      <c r="B3" s="63">
        <v>2.1</v>
      </c>
    </row>
    <row r="4" spans="1:11" x14ac:dyDescent="0.25">
      <c r="A4" s="62"/>
    </row>
    <row r="5" spans="1:11" x14ac:dyDescent="0.25">
      <c r="A5" s="62" t="s">
        <v>218</v>
      </c>
    </row>
    <row r="6" spans="1:11" x14ac:dyDescent="0.25">
      <c r="A6" s="63" t="s">
        <v>219</v>
      </c>
      <c r="B6" s="63">
        <f>IF(B9&gt;0, B9/B8, 0)</f>
        <v>234.95912474622151</v>
      </c>
    </row>
    <row r="7" spans="1:11" x14ac:dyDescent="0.25">
      <c r="A7" s="63" t="s">
        <v>220</v>
      </c>
      <c r="B7" s="64">
        <v>1</v>
      </c>
    </row>
    <row r="8" spans="1:11" x14ac:dyDescent="0.25">
      <c r="A8" s="63" t="s">
        <v>221</v>
      </c>
      <c r="B8" s="64">
        <v>2659.8</v>
      </c>
    </row>
    <row r="9" spans="1:11" x14ac:dyDescent="0.25">
      <c r="A9" s="63" t="s">
        <v>29</v>
      </c>
      <c r="B9" s="64">
        <v>624944.28</v>
      </c>
    </row>
    <row r="15" spans="1:11" x14ac:dyDescent="0.25">
      <c r="A15" s="62" t="s">
        <v>222</v>
      </c>
    </row>
    <row r="16" spans="1:11" s="67" customFormat="1" x14ac:dyDescent="0.25">
      <c r="A16" s="65" t="s">
        <v>223</v>
      </c>
      <c r="B16" s="66">
        <v>42460</v>
      </c>
      <c r="C16" s="66">
        <v>42825</v>
      </c>
      <c r="D16" s="66">
        <v>43190</v>
      </c>
      <c r="E16" s="66">
        <v>43555</v>
      </c>
      <c r="F16" s="66">
        <v>43921</v>
      </c>
      <c r="G16" s="66">
        <v>44286</v>
      </c>
      <c r="H16" s="66">
        <v>44651</v>
      </c>
      <c r="I16" s="66">
        <v>45016</v>
      </c>
      <c r="J16" s="66">
        <v>45382</v>
      </c>
      <c r="K16" s="66">
        <v>45747</v>
      </c>
    </row>
    <row r="17" spans="1:11" s="68" customFormat="1" x14ac:dyDescent="0.25">
      <c r="A17" s="68" t="s">
        <v>224</v>
      </c>
      <c r="B17" s="64">
        <v>32186</v>
      </c>
      <c r="C17" s="64">
        <v>33162</v>
      </c>
      <c r="D17" s="64">
        <v>35545</v>
      </c>
      <c r="E17" s="64">
        <v>39310</v>
      </c>
      <c r="F17" s="64">
        <v>39783</v>
      </c>
      <c r="G17" s="64">
        <v>47028</v>
      </c>
      <c r="H17" s="64">
        <v>52446</v>
      </c>
      <c r="I17" s="64">
        <v>60580</v>
      </c>
      <c r="J17" s="64">
        <v>61896</v>
      </c>
      <c r="K17" s="64">
        <v>63121</v>
      </c>
    </row>
    <row r="18" spans="1:11" s="68" customFormat="1" x14ac:dyDescent="0.25">
      <c r="A18" s="63" t="s">
        <v>225</v>
      </c>
      <c r="B18" s="64">
        <v>13184</v>
      </c>
      <c r="C18" s="64">
        <v>13606</v>
      </c>
      <c r="D18" s="64">
        <v>14233</v>
      </c>
      <c r="E18" s="64">
        <v>15845</v>
      </c>
      <c r="F18" s="64">
        <v>15697</v>
      </c>
      <c r="G18" s="64">
        <v>20141</v>
      </c>
      <c r="H18" s="64">
        <v>22871</v>
      </c>
      <c r="I18" s="64">
        <v>28427</v>
      </c>
      <c r="J18" s="64">
        <v>26822</v>
      </c>
      <c r="K18" s="64">
        <v>27344</v>
      </c>
    </row>
    <row r="19" spans="1:11" s="68" customFormat="1" x14ac:dyDescent="0.25">
      <c r="A19" s="63" t="s">
        <v>226</v>
      </c>
      <c r="B19" s="64">
        <v>-83</v>
      </c>
      <c r="C19" s="64">
        <v>-144</v>
      </c>
      <c r="D19" s="64">
        <v>72</v>
      </c>
      <c r="E19" s="64">
        <v>-12</v>
      </c>
      <c r="F19" s="64">
        <v>108</v>
      </c>
      <c r="G19" s="64">
        <v>405</v>
      </c>
      <c r="H19" s="64">
        <v>22</v>
      </c>
      <c r="I19" s="64">
        <v>75</v>
      </c>
      <c r="J19" s="64">
        <v>11</v>
      </c>
      <c r="K19" s="64">
        <v>153</v>
      </c>
    </row>
    <row r="20" spans="1:11" s="68" customFormat="1" x14ac:dyDescent="0.25">
      <c r="A20" s="63" t="s">
        <v>227</v>
      </c>
      <c r="B20" s="64">
        <v>309</v>
      </c>
      <c r="C20" s="64">
        <v>295</v>
      </c>
      <c r="D20" s="64">
        <v>295</v>
      </c>
      <c r="E20" s="64">
        <v>308</v>
      </c>
      <c r="F20" s="64">
        <v>299</v>
      </c>
      <c r="G20" s="64">
        <v>339</v>
      </c>
      <c r="H20" s="64">
        <v>318</v>
      </c>
      <c r="I20" s="64">
        <v>384</v>
      </c>
      <c r="J20" s="64">
        <v>446</v>
      </c>
      <c r="K20" s="64">
        <v>427</v>
      </c>
    </row>
    <row r="21" spans="1:11" s="68" customFormat="1" x14ac:dyDescent="0.25">
      <c r="A21" s="63" t="s">
        <v>228</v>
      </c>
      <c r="B21" s="64">
        <v>2966</v>
      </c>
      <c r="C21" s="64">
        <v>2887</v>
      </c>
      <c r="D21" s="64">
        <v>2998</v>
      </c>
      <c r="E21" s="64">
        <v>3041</v>
      </c>
      <c r="F21" s="64">
        <v>2906</v>
      </c>
      <c r="G21" s="64">
        <v>2868</v>
      </c>
      <c r="H21" s="64">
        <v>3354</v>
      </c>
      <c r="I21" s="64">
        <v>3791</v>
      </c>
      <c r="J21" s="64">
        <v>3385</v>
      </c>
      <c r="K21" s="64">
        <v>3834</v>
      </c>
    </row>
    <row r="22" spans="1:11" s="68" customFormat="1" x14ac:dyDescent="0.25">
      <c r="A22" s="63" t="s">
        <v>229</v>
      </c>
      <c r="B22" s="64">
        <v>1680</v>
      </c>
      <c r="C22" s="64">
        <v>1743</v>
      </c>
      <c r="D22" s="64">
        <v>1860</v>
      </c>
      <c r="E22" s="64">
        <v>1875</v>
      </c>
      <c r="F22" s="64">
        <v>1820</v>
      </c>
      <c r="G22" s="64">
        <v>2358</v>
      </c>
      <c r="H22" s="64">
        <v>2545</v>
      </c>
      <c r="I22" s="64">
        <v>2854</v>
      </c>
      <c r="J22" s="64">
        <v>3009</v>
      </c>
      <c r="K22" s="64">
        <v>3077</v>
      </c>
    </row>
    <row r="23" spans="1:11" s="68" customFormat="1" x14ac:dyDescent="0.25">
      <c r="A23" s="63" t="s">
        <v>230</v>
      </c>
      <c r="B23" s="64">
        <v>6741</v>
      </c>
      <c r="C23" s="64">
        <v>6689</v>
      </c>
      <c r="D23" s="64">
        <v>7252</v>
      </c>
      <c r="E23" s="64">
        <v>7796</v>
      </c>
      <c r="F23" s="64">
        <v>7620</v>
      </c>
      <c r="G23" s="64">
        <v>7906</v>
      </c>
      <c r="H23" s="64">
        <v>8164</v>
      </c>
      <c r="I23" s="64">
        <v>8785</v>
      </c>
      <c r="J23" s="64">
        <v>10780</v>
      </c>
      <c r="K23" s="64">
        <v>10693</v>
      </c>
    </row>
    <row r="24" spans="1:11" s="68" customFormat="1" x14ac:dyDescent="0.25">
      <c r="A24" s="63" t="s">
        <v>231</v>
      </c>
      <c r="B24" s="64">
        <v>1313</v>
      </c>
      <c r="C24" s="64">
        <v>1470</v>
      </c>
      <c r="D24" s="64">
        <v>1480</v>
      </c>
      <c r="E24" s="64">
        <v>1553</v>
      </c>
      <c r="F24" s="64">
        <v>1688</v>
      </c>
      <c r="G24" s="64">
        <v>2195</v>
      </c>
      <c r="H24" s="64">
        <v>2359</v>
      </c>
      <c r="I24" s="64">
        <v>2267</v>
      </c>
      <c r="J24" s="64">
        <v>2806</v>
      </c>
      <c r="K24" s="64">
        <v>3056</v>
      </c>
    </row>
    <row r="25" spans="1:11" s="68" customFormat="1" x14ac:dyDescent="0.25">
      <c r="A25" s="68" t="s">
        <v>232</v>
      </c>
      <c r="B25" s="64">
        <v>486</v>
      </c>
      <c r="C25" s="64">
        <v>606</v>
      </c>
      <c r="D25" s="64">
        <v>353</v>
      </c>
      <c r="E25" s="64">
        <v>322</v>
      </c>
      <c r="F25" s="64">
        <v>424</v>
      </c>
      <c r="G25" s="64">
        <v>170</v>
      </c>
      <c r="H25" s="64">
        <v>219</v>
      </c>
      <c r="I25" s="64">
        <v>448</v>
      </c>
      <c r="J25" s="64">
        <v>817</v>
      </c>
      <c r="K25" s="64">
        <v>1322</v>
      </c>
    </row>
    <row r="26" spans="1:11" s="68" customFormat="1" x14ac:dyDescent="0.25">
      <c r="A26" s="68" t="s">
        <v>233</v>
      </c>
      <c r="B26" s="64">
        <v>353</v>
      </c>
      <c r="C26" s="64">
        <v>432</v>
      </c>
      <c r="D26" s="64">
        <v>520</v>
      </c>
      <c r="E26" s="64">
        <v>565</v>
      </c>
      <c r="F26" s="64">
        <v>1002</v>
      </c>
      <c r="G26" s="64">
        <v>1074</v>
      </c>
      <c r="H26" s="64">
        <v>1091</v>
      </c>
      <c r="I26" s="64">
        <v>1137</v>
      </c>
      <c r="J26" s="64">
        <v>1216</v>
      </c>
      <c r="K26" s="64">
        <v>1355</v>
      </c>
    </row>
    <row r="27" spans="1:11" s="68" customFormat="1" x14ac:dyDescent="0.25">
      <c r="A27" s="68" t="s">
        <v>234</v>
      </c>
      <c r="B27" s="64">
        <v>17</v>
      </c>
      <c r="C27" s="64">
        <v>35</v>
      </c>
      <c r="D27" s="64">
        <v>26</v>
      </c>
      <c r="E27" s="64">
        <v>33</v>
      </c>
      <c r="F27" s="64">
        <v>118</v>
      </c>
      <c r="G27" s="64">
        <v>117</v>
      </c>
      <c r="H27" s="64">
        <v>106</v>
      </c>
      <c r="I27" s="64">
        <v>114</v>
      </c>
      <c r="J27" s="64">
        <v>334</v>
      </c>
      <c r="K27" s="64">
        <v>395</v>
      </c>
    </row>
    <row r="28" spans="1:11" s="68" customFormat="1" x14ac:dyDescent="0.25">
      <c r="A28" s="68" t="s">
        <v>235</v>
      </c>
      <c r="B28" s="64">
        <v>6026</v>
      </c>
      <c r="C28" s="64">
        <v>6467</v>
      </c>
      <c r="D28" s="64">
        <v>7306</v>
      </c>
      <c r="E28" s="64">
        <v>8604</v>
      </c>
      <c r="F28" s="64">
        <v>9165</v>
      </c>
      <c r="G28" s="64">
        <v>10605</v>
      </c>
      <c r="H28" s="64">
        <v>11879</v>
      </c>
      <c r="I28" s="64">
        <v>13344</v>
      </c>
      <c r="J28" s="64">
        <v>13926</v>
      </c>
      <c r="K28" s="64">
        <v>14415</v>
      </c>
    </row>
    <row r="29" spans="1:11" s="68" customFormat="1" x14ac:dyDescent="0.25">
      <c r="A29" s="68" t="s">
        <v>236</v>
      </c>
      <c r="B29" s="64">
        <v>1875</v>
      </c>
      <c r="C29" s="64">
        <v>1977</v>
      </c>
      <c r="D29" s="64">
        <v>2079</v>
      </c>
      <c r="E29" s="64">
        <v>2544</v>
      </c>
      <c r="F29" s="64">
        <v>2409</v>
      </c>
      <c r="G29" s="64">
        <v>2606</v>
      </c>
      <c r="H29" s="64">
        <v>2987</v>
      </c>
      <c r="I29" s="64">
        <v>3201</v>
      </c>
      <c r="J29" s="64">
        <v>3644</v>
      </c>
      <c r="K29" s="64">
        <v>3744</v>
      </c>
    </row>
    <row r="30" spans="1:11" s="68" customFormat="1" x14ac:dyDescent="0.25">
      <c r="A30" s="68" t="s">
        <v>237</v>
      </c>
      <c r="B30" s="64">
        <v>4151</v>
      </c>
      <c r="C30" s="64">
        <v>4476</v>
      </c>
      <c r="D30" s="64">
        <v>5214</v>
      </c>
      <c r="E30" s="64">
        <v>6054</v>
      </c>
      <c r="F30" s="64">
        <v>6748</v>
      </c>
      <c r="G30" s="64">
        <v>7995</v>
      </c>
      <c r="H30" s="64">
        <v>8879</v>
      </c>
      <c r="I30" s="64">
        <v>10120</v>
      </c>
      <c r="J30" s="64">
        <v>10277</v>
      </c>
      <c r="K30" s="64">
        <v>10649</v>
      </c>
    </row>
    <row r="31" spans="1:11" s="68" customFormat="1" x14ac:dyDescent="0.25">
      <c r="A31" s="68" t="s">
        <v>238</v>
      </c>
      <c r="B31" s="64">
        <v>3456</v>
      </c>
      <c r="C31" s="64">
        <v>3672</v>
      </c>
      <c r="D31" s="64">
        <v>4320</v>
      </c>
      <c r="E31" s="64">
        <v>4752</v>
      </c>
      <c r="F31" s="64">
        <v>5400</v>
      </c>
      <c r="G31" s="64">
        <v>9517.5</v>
      </c>
      <c r="H31" s="64">
        <v>7990</v>
      </c>
      <c r="I31" s="64">
        <v>9165</v>
      </c>
      <c r="J31" s="64">
        <v>9870</v>
      </c>
      <c r="K31" s="64">
        <v>12455</v>
      </c>
    </row>
    <row r="32" spans="1:11" s="68" customFormat="1" x14ac:dyDescent="0.25"/>
    <row r="33" spans="1:11" x14ac:dyDescent="0.25">
      <c r="A33" s="68"/>
    </row>
    <row r="34" spans="1:11" x14ac:dyDescent="0.25">
      <c r="A34" s="68"/>
    </row>
    <row r="35" spans="1:11" x14ac:dyDescent="0.25">
      <c r="A35" s="68"/>
    </row>
    <row r="36" spans="1:11" x14ac:dyDescent="0.25">
      <c r="A36" s="68"/>
    </row>
    <row r="37" spans="1:11" x14ac:dyDescent="0.25">
      <c r="A37" s="68"/>
    </row>
    <row r="38" spans="1:11" x14ac:dyDescent="0.25">
      <c r="A38" s="68"/>
    </row>
    <row r="39" spans="1:11" x14ac:dyDescent="0.25">
      <c r="A39" s="68"/>
    </row>
    <row r="40" spans="1:11" x14ac:dyDescent="0.25">
      <c r="A40" s="62" t="s">
        <v>239</v>
      </c>
    </row>
    <row r="41" spans="1:11" s="67" customFormat="1" x14ac:dyDescent="0.25">
      <c r="A41" s="65" t="s">
        <v>223</v>
      </c>
      <c r="B41" s="66">
        <v>45016</v>
      </c>
      <c r="C41" s="66">
        <v>45107</v>
      </c>
      <c r="D41" s="66">
        <v>45199</v>
      </c>
      <c r="E41" s="66">
        <v>45291</v>
      </c>
      <c r="F41" s="66">
        <v>45382</v>
      </c>
      <c r="G41" s="66">
        <v>45473</v>
      </c>
      <c r="H41" s="66">
        <v>45565</v>
      </c>
      <c r="I41" s="66">
        <v>45657</v>
      </c>
      <c r="J41" s="66">
        <v>45747</v>
      </c>
      <c r="K41" s="66">
        <v>45838</v>
      </c>
    </row>
    <row r="42" spans="1:11" s="68" customFormat="1" x14ac:dyDescent="0.25">
      <c r="A42" s="68" t="s">
        <v>224</v>
      </c>
      <c r="B42" s="64">
        <v>15215</v>
      </c>
      <c r="C42" s="64">
        <v>15496</v>
      </c>
      <c r="D42" s="64">
        <v>15623</v>
      </c>
      <c r="E42" s="64">
        <v>15567</v>
      </c>
      <c r="F42" s="64">
        <v>15210</v>
      </c>
      <c r="G42" s="64">
        <v>15707</v>
      </c>
      <c r="H42" s="64">
        <v>15926</v>
      </c>
      <c r="I42" s="64">
        <v>15818</v>
      </c>
      <c r="J42" s="64">
        <v>15670</v>
      </c>
      <c r="K42" s="64">
        <v>16514</v>
      </c>
    </row>
    <row r="43" spans="1:11" s="68" customFormat="1" x14ac:dyDescent="0.25">
      <c r="A43" s="68" t="s">
        <v>240</v>
      </c>
      <c r="B43" s="64">
        <v>11643</v>
      </c>
      <c r="C43" s="64">
        <v>11832</v>
      </c>
      <c r="D43" s="64">
        <v>11828</v>
      </c>
      <c r="E43" s="64">
        <v>11902</v>
      </c>
      <c r="F43" s="64">
        <v>11675</v>
      </c>
      <c r="G43" s="64">
        <v>11965</v>
      </c>
      <c r="H43" s="64">
        <v>12139</v>
      </c>
      <c r="I43" s="64">
        <v>12123</v>
      </c>
      <c r="J43" s="64">
        <v>12052</v>
      </c>
      <c r="K43" s="64">
        <v>12797</v>
      </c>
    </row>
    <row r="44" spans="1:11" s="68" customFormat="1" x14ac:dyDescent="0.25">
      <c r="A44" s="68" t="s">
        <v>232</v>
      </c>
      <c r="B44" s="64">
        <v>240</v>
      </c>
      <c r="C44" s="64">
        <v>146</v>
      </c>
      <c r="D44" s="64">
        <v>178</v>
      </c>
      <c r="E44" s="64">
        <v>184</v>
      </c>
      <c r="F44" s="64">
        <v>309</v>
      </c>
      <c r="G44" s="64">
        <v>209</v>
      </c>
      <c r="H44" s="64">
        <v>203</v>
      </c>
      <c r="I44" s="64">
        <v>740</v>
      </c>
      <c r="J44" s="64">
        <v>171</v>
      </c>
      <c r="K44" s="64">
        <v>74</v>
      </c>
    </row>
    <row r="45" spans="1:11" s="68" customFormat="1" x14ac:dyDescent="0.25">
      <c r="A45" s="68" t="s">
        <v>233</v>
      </c>
      <c r="B45" s="64">
        <v>291</v>
      </c>
      <c r="C45" s="64">
        <v>286</v>
      </c>
      <c r="D45" s="64">
        <v>297</v>
      </c>
      <c r="E45" s="64">
        <v>313</v>
      </c>
      <c r="F45" s="64">
        <v>320</v>
      </c>
      <c r="G45" s="64">
        <v>329</v>
      </c>
      <c r="H45" s="64">
        <v>338</v>
      </c>
      <c r="I45" s="64">
        <v>341</v>
      </c>
      <c r="J45" s="64">
        <v>347</v>
      </c>
      <c r="K45" s="64">
        <v>361</v>
      </c>
    </row>
    <row r="46" spans="1:11" s="68" customFormat="1" x14ac:dyDescent="0.25">
      <c r="A46" s="68" t="s">
        <v>234</v>
      </c>
      <c r="B46" s="64">
        <v>29</v>
      </c>
      <c r="C46" s="64">
        <v>50</v>
      </c>
      <c r="D46" s="64">
        <v>88</v>
      </c>
      <c r="E46" s="64">
        <v>91</v>
      </c>
      <c r="F46" s="64">
        <v>105</v>
      </c>
      <c r="G46" s="64">
        <v>93</v>
      </c>
      <c r="H46" s="64">
        <v>110</v>
      </c>
      <c r="I46" s="64">
        <v>112</v>
      </c>
      <c r="J46" s="64">
        <v>80</v>
      </c>
      <c r="K46" s="64">
        <v>127</v>
      </c>
    </row>
    <row r="47" spans="1:11" s="68" customFormat="1" x14ac:dyDescent="0.25">
      <c r="A47" s="68" t="s">
        <v>235</v>
      </c>
      <c r="B47" s="64">
        <v>3492</v>
      </c>
      <c r="C47" s="64">
        <v>3474</v>
      </c>
      <c r="D47" s="64">
        <v>3588</v>
      </c>
      <c r="E47" s="64">
        <v>3445</v>
      </c>
      <c r="F47" s="64">
        <v>3419</v>
      </c>
      <c r="G47" s="64">
        <v>3529</v>
      </c>
      <c r="H47" s="64">
        <v>3542</v>
      </c>
      <c r="I47" s="64">
        <v>3982</v>
      </c>
      <c r="J47" s="64">
        <v>3362</v>
      </c>
      <c r="K47" s="64">
        <v>3303</v>
      </c>
    </row>
    <row r="48" spans="1:11" s="68" customFormat="1" x14ac:dyDescent="0.25">
      <c r="A48" s="68" t="s">
        <v>236</v>
      </c>
      <c r="B48" s="64">
        <v>891</v>
      </c>
      <c r="C48" s="64">
        <v>918</v>
      </c>
      <c r="D48" s="64">
        <v>931</v>
      </c>
      <c r="E48" s="64">
        <v>937</v>
      </c>
      <c r="F48" s="64">
        <v>858</v>
      </c>
      <c r="G48" s="64">
        <v>917</v>
      </c>
      <c r="H48" s="64">
        <v>947</v>
      </c>
      <c r="I48" s="64">
        <v>993</v>
      </c>
      <c r="J48" s="64">
        <v>887</v>
      </c>
      <c r="K48" s="64">
        <v>535</v>
      </c>
    </row>
    <row r="49" spans="1:11" s="68" customFormat="1" x14ac:dyDescent="0.25">
      <c r="A49" s="68" t="s">
        <v>237</v>
      </c>
      <c r="B49" s="64">
        <v>2600</v>
      </c>
      <c r="C49" s="64">
        <v>2554</v>
      </c>
      <c r="D49" s="64">
        <v>2656</v>
      </c>
      <c r="E49" s="64">
        <v>2509</v>
      </c>
      <c r="F49" s="64">
        <v>2558</v>
      </c>
      <c r="G49" s="64">
        <v>2610</v>
      </c>
      <c r="H49" s="64">
        <v>2591</v>
      </c>
      <c r="I49" s="64">
        <v>2984</v>
      </c>
      <c r="J49" s="64">
        <v>2464</v>
      </c>
      <c r="K49" s="64">
        <v>2756</v>
      </c>
    </row>
    <row r="50" spans="1:11" x14ac:dyDescent="0.25">
      <c r="A50" s="68" t="s">
        <v>241</v>
      </c>
      <c r="B50" s="64">
        <v>3572</v>
      </c>
      <c r="C50" s="64">
        <v>3664</v>
      </c>
      <c r="D50" s="64">
        <v>3795</v>
      </c>
      <c r="E50" s="64">
        <v>3665</v>
      </c>
      <c r="F50" s="64">
        <v>3535</v>
      </c>
      <c r="G50" s="64">
        <v>3742</v>
      </c>
      <c r="H50" s="64">
        <v>3787</v>
      </c>
      <c r="I50" s="64">
        <v>3695</v>
      </c>
      <c r="J50" s="64">
        <v>3618</v>
      </c>
      <c r="K50" s="64">
        <v>3717</v>
      </c>
    </row>
    <row r="51" spans="1:11" x14ac:dyDescent="0.25">
      <c r="A51" s="68"/>
    </row>
    <row r="52" spans="1:11" x14ac:dyDescent="0.25">
      <c r="A52" s="68"/>
    </row>
    <row r="53" spans="1:11" x14ac:dyDescent="0.25">
      <c r="A53" s="68"/>
    </row>
    <row r="54" spans="1:11" x14ac:dyDescent="0.25">
      <c r="A54" s="68"/>
    </row>
    <row r="55" spans="1:11" x14ac:dyDescent="0.25">
      <c r="A55" s="62" t="s">
        <v>242</v>
      </c>
    </row>
    <row r="56" spans="1:11" s="67" customFormat="1" x14ac:dyDescent="0.25">
      <c r="A56" s="65" t="s">
        <v>223</v>
      </c>
      <c r="B56" s="66">
        <v>42460</v>
      </c>
      <c r="C56" s="66">
        <v>42825</v>
      </c>
      <c r="D56" s="66">
        <v>43190</v>
      </c>
      <c r="E56" s="66">
        <v>43555</v>
      </c>
      <c r="F56" s="66">
        <v>43921</v>
      </c>
      <c r="G56" s="66">
        <v>44286</v>
      </c>
      <c r="H56" s="66">
        <v>44651</v>
      </c>
      <c r="I56" s="66">
        <v>45016</v>
      </c>
      <c r="J56" s="66">
        <v>45382</v>
      </c>
      <c r="K56" s="66">
        <v>45747</v>
      </c>
    </row>
    <row r="57" spans="1:11" x14ac:dyDescent="0.25">
      <c r="A57" s="68" t="s">
        <v>243</v>
      </c>
      <c r="B57" s="64">
        <v>216</v>
      </c>
      <c r="C57" s="64">
        <v>216</v>
      </c>
      <c r="D57" s="64">
        <v>216</v>
      </c>
      <c r="E57" s="64">
        <v>216</v>
      </c>
      <c r="F57" s="64">
        <v>216</v>
      </c>
      <c r="G57" s="64">
        <v>235</v>
      </c>
      <c r="H57" s="64">
        <v>235</v>
      </c>
      <c r="I57" s="64">
        <v>235</v>
      </c>
      <c r="J57" s="64">
        <v>235</v>
      </c>
      <c r="K57" s="64">
        <v>235</v>
      </c>
    </row>
    <row r="58" spans="1:11" x14ac:dyDescent="0.25">
      <c r="A58" s="68" t="s">
        <v>244</v>
      </c>
      <c r="B58" s="64">
        <v>6357</v>
      </c>
      <c r="C58" s="64">
        <v>6528</v>
      </c>
      <c r="D58" s="64">
        <v>7065</v>
      </c>
      <c r="E58" s="64">
        <v>7651</v>
      </c>
      <c r="F58" s="64">
        <v>8013</v>
      </c>
      <c r="G58" s="64">
        <v>47439</v>
      </c>
      <c r="H58" s="64">
        <v>48826</v>
      </c>
      <c r="I58" s="64">
        <v>50069</v>
      </c>
      <c r="J58" s="64">
        <v>50983</v>
      </c>
      <c r="K58" s="64">
        <v>49167</v>
      </c>
    </row>
    <row r="59" spans="1:11" x14ac:dyDescent="0.25">
      <c r="A59" s="68" t="s">
        <v>245</v>
      </c>
      <c r="B59" s="64">
        <v>177</v>
      </c>
      <c r="C59" s="64">
        <v>277</v>
      </c>
      <c r="E59" s="64">
        <v>99</v>
      </c>
      <c r="H59" s="64">
        <v>1043</v>
      </c>
      <c r="I59" s="64">
        <v>1219</v>
      </c>
      <c r="J59" s="64">
        <v>1484</v>
      </c>
      <c r="K59" s="64">
        <v>1648</v>
      </c>
    </row>
    <row r="60" spans="1:11" x14ac:dyDescent="0.25">
      <c r="A60" s="68" t="s">
        <v>246</v>
      </c>
      <c r="B60" s="64">
        <v>8043</v>
      </c>
      <c r="C60" s="64">
        <v>8685</v>
      </c>
      <c r="D60" s="64">
        <v>10581</v>
      </c>
      <c r="E60" s="64">
        <v>10663</v>
      </c>
      <c r="F60" s="64">
        <v>11924</v>
      </c>
      <c r="G60" s="64">
        <v>21066</v>
      </c>
      <c r="H60" s="64">
        <v>20402</v>
      </c>
      <c r="I60" s="64">
        <v>21554</v>
      </c>
      <c r="J60" s="64">
        <v>25787</v>
      </c>
      <c r="K60" s="64">
        <v>28813</v>
      </c>
    </row>
    <row r="61" spans="1:11" s="62" customFormat="1" x14ac:dyDescent="0.25">
      <c r="A61" s="62" t="s">
        <v>170</v>
      </c>
      <c r="B61" s="64">
        <v>14793</v>
      </c>
      <c r="C61" s="64">
        <v>15706</v>
      </c>
      <c r="D61" s="64">
        <v>17862</v>
      </c>
      <c r="E61" s="64">
        <v>18629</v>
      </c>
      <c r="F61" s="64">
        <v>20153</v>
      </c>
      <c r="G61" s="64">
        <v>68740</v>
      </c>
      <c r="H61" s="64">
        <v>70506</v>
      </c>
      <c r="I61" s="64">
        <v>73077</v>
      </c>
      <c r="J61" s="64">
        <v>78489</v>
      </c>
      <c r="K61" s="64">
        <v>79863</v>
      </c>
    </row>
    <row r="62" spans="1:11" x14ac:dyDescent="0.25">
      <c r="A62" s="68" t="s">
        <v>247</v>
      </c>
      <c r="B62" s="64">
        <v>3258</v>
      </c>
      <c r="C62" s="64">
        <v>4419</v>
      </c>
      <c r="D62" s="64">
        <v>4528</v>
      </c>
      <c r="E62" s="64">
        <v>4715</v>
      </c>
      <c r="F62" s="64">
        <v>5479</v>
      </c>
      <c r="G62" s="64">
        <v>51443</v>
      </c>
      <c r="H62" s="64">
        <v>51473</v>
      </c>
      <c r="I62" s="64">
        <v>52678</v>
      </c>
      <c r="J62" s="64">
        <v>53744</v>
      </c>
      <c r="K62" s="64">
        <v>54335</v>
      </c>
    </row>
    <row r="63" spans="1:11" x14ac:dyDescent="0.25">
      <c r="A63" s="68" t="s">
        <v>248</v>
      </c>
      <c r="B63" s="64">
        <v>408</v>
      </c>
      <c r="C63" s="64">
        <v>229</v>
      </c>
      <c r="D63" s="64">
        <v>461</v>
      </c>
      <c r="E63" s="64">
        <v>406</v>
      </c>
      <c r="F63" s="64">
        <v>597</v>
      </c>
      <c r="G63" s="64">
        <v>745</v>
      </c>
      <c r="H63" s="64">
        <v>1313</v>
      </c>
      <c r="I63" s="64">
        <v>1132</v>
      </c>
      <c r="J63" s="64">
        <v>1025</v>
      </c>
      <c r="K63" s="64">
        <v>1009</v>
      </c>
    </row>
    <row r="64" spans="1:11" x14ac:dyDescent="0.25">
      <c r="A64" s="68" t="s">
        <v>249</v>
      </c>
      <c r="B64" s="64">
        <v>2592</v>
      </c>
      <c r="C64" s="64">
        <v>3794</v>
      </c>
      <c r="D64" s="64">
        <v>2873</v>
      </c>
      <c r="E64" s="64">
        <v>2716</v>
      </c>
      <c r="F64" s="64">
        <v>1255</v>
      </c>
      <c r="G64" s="64">
        <v>2709</v>
      </c>
      <c r="H64" s="64">
        <v>3521</v>
      </c>
      <c r="I64" s="64">
        <v>2882</v>
      </c>
      <c r="J64" s="64">
        <v>4625</v>
      </c>
      <c r="K64" s="64">
        <v>3810</v>
      </c>
    </row>
    <row r="65" spans="1:11" x14ac:dyDescent="0.25">
      <c r="A65" s="68" t="s">
        <v>250</v>
      </c>
      <c r="B65" s="64">
        <v>8535</v>
      </c>
      <c r="C65" s="64">
        <v>7264</v>
      </c>
      <c r="D65" s="64">
        <v>10000</v>
      </c>
      <c r="E65" s="64">
        <v>10792</v>
      </c>
      <c r="F65" s="64">
        <v>12822</v>
      </c>
      <c r="G65" s="64">
        <v>13843</v>
      </c>
      <c r="H65" s="64">
        <v>14199</v>
      </c>
      <c r="I65" s="64">
        <v>16385</v>
      </c>
      <c r="J65" s="64">
        <v>19095</v>
      </c>
      <c r="K65" s="64">
        <v>20709</v>
      </c>
    </row>
    <row r="66" spans="1:11" s="62" customFormat="1" x14ac:dyDescent="0.25">
      <c r="A66" s="62" t="s">
        <v>170</v>
      </c>
      <c r="B66" s="64">
        <v>14793</v>
      </c>
      <c r="C66" s="64">
        <v>15706</v>
      </c>
      <c r="D66" s="64">
        <v>17862</v>
      </c>
      <c r="E66" s="64">
        <v>18629</v>
      </c>
      <c r="F66" s="64">
        <v>20153</v>
      </c>
      <c r="G66" s="64">
        <v>68740</v>
      </c>
      <c r="H66" s="64">
        <v>70506</v>
      </c>
      <c r="I66" s="64">
        <v>73077</v>
      </c>
      <c r="J66" s="64">
        <v>78489</v>
      </c>
      <c r="K66" s="64">
        <v>79863</v>
      </c>
    </row>
    <row r="67" spans="1:11" s="68" customFormat="1" x14ac:dyDescent="0.25">
      <c r="A67" s="68" t="s">
        <v>251</v>
      </c>
      <c r="B67" s="64">
        <v>1264</v>
      </c>
      <c r="C67" s="64">
        <v>1085</v>
      </c>
      <c r="D67" s="64">
        <v>1310</v>
      </c>
      <c r="E67" s="64">
        <v>1816</v>
      </c>
      <c r="F67" s="64">
        <v>1149</v>
      </c>
      <c r="G67" s="64">
        <v>1758</v>
      </c>
      <c r="H67" s="64">
        <v>2236</v>
      </c>
      <c r="I67" s="64">
        <v>3079</v>
      </c>
      <c r="J67" s="64">
        <v>2997</v>
      </c>
      <c r="K67" s="64">
        <v>3819</v>
      </c>
    </row>
    <row r="68" spans="1:11" x14ac:dyDescent="0.25">
      <c r="A68" s="68" t="s">
        <v>252</v>
      </c>
      <c r="B68" s="64">
        <v>2726</v>
      </c>
      <c r="C68" s="64">
        <v>2541</v>
      </c>
      <c r="D68" s="64">
        <v>2513</v>
      </c>
      <c r="E68" s="64">
        <v>2574</v>
      </c>
      <c r="F68" s="64">
        <v>2767</v>
      </c>
      <c r="G68" s="64">
        <v>3579</v>
      </c>
      <c r="H68" s="64">
        <v>4096</v>
      </c>
      <c r="I68" s="64">
        <v>4251</v>
      </c>
      <c r="J68" s="64">
        <v>4022</v>
      </c>
      <c r="K68" s="64">
        <v>4415</v>
      </c>
    </row>
    <row r="69" spans="1:11" x14ac:dyDescent="0.25">
      <c r="A69" s="63" t="s">
        <v>253</v>
      </c>
      <c r="B69" s="64">
        <v>3009</v>
      </c>
      <c r="C69" s="64">
        <v>1828</v>
      </c>
      <c r="D69" s="64">
        <v>3485</v>
      </c>
      <c r="E69" s="64">
        <v>3757</v>
      </c>
      <c r="F69" s="64">
        <v>5113</v>
      </c>
      <c r="G69" s="64">
        <v>4471</v>
      </c>
      <c r="H69" s="64">
        <v>3846</v>
      </c>
      <c r="I69" s="64">
        <v>4678</v>
      </c>
      <c r="J69" s="64">
        <v>7559</v>
      </c>
      <c r="K69" s="64">
        <v>7554</v>
      </c>
    </row>
    <row r="70" spans="1:11" x14ac:dyDescent="0.25">
      <c r="A70" s="63" t="s">
        <v>254</v>
      </c>
      <c r="B70" s="64">
        <v>2163936971</v>
      </c>
      <c r="C70" s="64">
        <v>2164349639</v>
      </c>
      <c r="D70" s="64">
        <v>2164528777</v>
      </c>
      <c r="E70" s="64">
        <v>2164704405</v>
      </c>
      <c r="F70" s="64">
        <v>2164704405</v>
      </c>
      <c r="G70" s="64">
        <v>2349567819</v>
      </c>
      <c r="H70" s="64">
        <v>2349591262</v>
      </c>
      <c r="I70" s="64">
        <v>2349591262</v>
      </c>
      <c r="J70" s="64">
        <v>2349591262</v>
      </c>
      <c r="K70" s="64">
        <v>2349591262</v>
      </c>
    </row>
    <row r="71" spans="1:11" x14ac:dyDescent="0.25">
      <c r="A71" s="63" t="s">
        <v>255</v>
      </c>
    </row>
    <row r="72" spans="1:11" x14ac:dyDescent="0.25">
      <c r="A72" s="63" t="s">
        <v>256</v>
      </c>
      <c r="B72" s="64">
        <v>1</v>
      </c>
      <c r="C72" s="64">
        <v>1</v>
      </c>
      <c r="D72" s="64">
        <v>1</v>
      </c>
      <c r="E72" s="64">
        <v>1</v>
      </c>
      <c r="F72" s="64">
        <v>1</v>
      </c>
      <c r="G72" s="64">
        <v>1</v>
      </c>
      <c r="H72" s="64">
        <v>1</v>
      </c>
      <c r="I72" s="64">
        <v>1</v>
      </c>
      <c r="J72" s="64">
        <v>1</v>
      </c>
      <c r="K72" s="64">
        <v>1</v>
      </c>
    </row>
    <row r="74" spans="1:11" x14ac:dyDescent="0.25">
      <c r="A74" s="68"/>
    </row>
    <row r="75" spans="1:11" x14ac:dyDescent="0.25">
      <c r="A75" s="68"/>
    </row>
    <row r="76" spans="1:11" x14ac:dyDescent="0.25">
      <c r="A76" s="68"/>
    </row>
    <row r="77" spans="1:11" x14ac:dyDescent="0.25">
      <c r="A77" s="68"/>
    </row>
    <row r="78" spans="1:11" x14ac:dyDescent="0.25">
      <c r="A78" s="68"/>
    </row>
    <row r="79" spans="1:11" x14ac:dyDescent="0.25">
      <c r="A79" s="68"/>
    </row>
    <row r="80" spans="1:11" x14ac:dyDescent="0.25">
      <c r="A80" s="62" t="s">
        <v>257</v>
      </c>
    </row>
    <row r="81" spans="1:11" s="67" customFormat="1" x14ac:dyDescent="0.25">
      <c r="A81" s="65" t="s">
        <v>223</v>
      </c>
      <c r="B81" s="66">
        <v>42460</v>
      </c>
      <c r="C81" s="66">
        <v>42825</v>
      </c>
      <c r="D81" s="66">
        <v>43190</v>
      </c>
      <c r="E81" s="66">
        <v>43555</v>
      </c>
      <c r="F81" s="66">
        <v>43921</v>
      </c>
      <c r="G81" s="66">
        <v>44286</v>
      </c>
      <c r="H81" s="66">
        <v>44651</v>
      </c>
      <c r="I81" s="66">
        <v>45016</v>
      </c>
      <c r="J81" s="66">
        <v>45382</v>
      </c>
      <c r="K81" s="66">
        <v>45747</v>
      </c>
    </row>
    <row r="82" spans="1:11" s="62" customFormat="1" x14ac:dyDescent="0.25">
      <c r="A82" s="68" t="s">
        <v>258</v>
      </c>
      <c r="B82" s="64">
        <v>4171</v>
      </c>
      <c r="C82" s="64">
        <v>5185</v>
      </c>
      <c r="D82" s="64">
        <v>6059</v>
      </c>
      <c r="E82" s="64">
        <v>5800</v>
      </c>
      <c r="F82" s="64">
        <v>7623</v>
      </c>
      <c r="G82" s="64">
        <v>9163</v>
      </c>
      <c r="H82" s="64">
        <v>9048</v>
      </c>
      <c r="I82" s="64">
        <v>9991</v>
      </c>
      <c r="J82" s="64">
        <v>15469</v>
      </c>
      <c r="K82" s="64">
        <v>11886</v>
      </c>
    </row>
    <row r="83" spans="1:11" s="68" customFormat="1" x14ac:dyDescent="0.25">
      <c r="A83" s="68" t="s">
        <v>259</v>
      </c>
      <c r="B83" s="64">
        <v>-282</v>
      </c>
      <c r="C83" s="64">
        <v>-1173</v>
      </c>
      <c r="D83" s="64">
        <v>-1063</v>
      </c>
      <c r="E83" s="64">
        <v>-438</v>
      </c>
      <c r="F83" s="64">
        <v>1791</v>
      </c>
      <c r="G83" s="64">
        <v>-1228</v>
      </c>
      <c r="H83" s="64">
        <v>-1728</v>
      </c>
      <c r="I83" s="64">
        <v>-1484</v>
      </c>
      <c r="J83" s="64">
        <v>-5324</v>
      </c>
      <c r="K83" s="64">
        <v>6473</v>
      </c>
    </row>
    <row r="84" spans="1:11" s="68" customFormat="1" x14ac:dyDescent="0.25">
      <c r="A84" s="68" t="s">
        <v>260</v>
      </c>
      <c r="B84" s="64">
        <v>-3864</v>
      </c>
      <c r="C84" s="64">
        <v>-4214</v>
      </c>
      <c r="D84" s="64">
        <v>-4975</v>
      </c>
      <c r="E84" s="64">
        <v>-5390</v>
      </c>
      <c r="F84" s="64">
        <v>-6819</v>
      </c>
      <c r="G84" s="64">
        <v>-9309</v>
      </c>
      <c r="H84" s="64">
        <v>-8015</v>
      </c>
      <c r="I84" s="64">
        <v>-8953</v>
      </c>
      <c r="J84" s="64">
        <v>-10034</v>
      </c>
      <c r="K84" s="64">
        <v>-13101</v>
      </c>
    </row>
    <row r="85" spans="1:11" s="62" customFormat="1" x14ac:dyDescent="0.25">
      <c r="A85" s="68" t="s">
        <v>261</v>
      </c>
      <c r="B85" s="64">
        <v>25</v>
      </c>
      <c r="C85" s="64">
        <v>-202</v>
      </c>
      <c r="D85" s="64">
        <v>21</v>
      </c>
      <c r="E85" s="64">
        <v>-28</v>
      </c>
      <c r="F85" s="64">
        <v>2595</v>
      </c>
      <c r="G85" s="64">
        <v>-1374</v>
      </c>
      <c r="H85" s="64">
        <v>-695</v>
      </c>
      <c r="I85" s="64">
        <v>-446</v>
      </c>
      <c r="J85" s="64">
        <v>111</v>
      </c>
      <c r="K85" s="64">
        <v>5258</v>
      </c>
    </row>
    <row r="86" spans="1:11" x14ac:dyDescent="0.25">
      <c r="A86" s="68"/>
    </row>
    <row r="87" spans="1:11" x14ac:dyDescent="0.25">
      <c r="A87" s="68"/>
    </row>
    <row r="88" spans="1:11" x14ac:dyDescent="0.25">
      <c r="A88" s="68"/>
    </row>
    <row r="89" spans="1:11" x14ac:dyDescent="0.25">
      <c r="A89" s="68"/>
    </row>
    <row r="90" spans="1:11" s="62" customFormat="1" x14ac:dyDescent="0.25">
      <c r="A90" s="62" t="s">
        <v>262</v>
      </c>
      <c r="B90" s="64">
        <v>869.5</v>
      </c>
      <c r="C90" s="64">
        <v>911.75</v>
      </c>
      <c r="D90" s="64">
        <v>1333.35</v>
      </c>
      <c r="E90" s="64">
        <v>1706.8</v>
      </c>
      <c r="F90" s="64">
        <v>2298.5</v>
      </c>
      <c r="G90" s="64">
        <v>2431.5</v>
      </c>
      <c r="H90" s="64">
        <v>2048.65</v>
      </c>
      <c r="I90" s="64">
        <v>2560.35</v>
      </c>
      <c r="J90" s="64">
        <v>2264.35</v>
      </c>
      <c r="K90" s="64">
        <v>2258.85</v>
      </c>
    </row>
    <row r="92" spans="1:11" s="62" customFormat="1" x14ac:dyDescent="0.25">
      <c r="A92" s="62" t="s">
        <v>263</v>
      </c>
    </row>
    <row r="93" spans="1:11" x14ac:dyDescent="0.25">
      <c r="A93" s="63" t="s">
        <v>264</v>
      </c>
      <c r="B93" s="69">
        <v>216.39</v>
      </c>
      <c r="C93" s="69">
        <v>216.43</v>
      </c>
      <c r="D93" s="69">
        <v>216.45</v>
      </c>
      <c r="E93" s="69">
        <v>216.47</v>
      </c>
      <c r="F93" s="69">
        <v>216.48</v>
      </c>
      <c r="G93" s="69">
        <v>234.96</v>
      </c>
      <c r="H93" s="69">
        <v>234.96</v>
      </c>
      <c r="I93" s="69">
        <v>234.96</v>
      </c>
      <c r="J93" s="69">
        <v>234.96</v>
      </c>
      <c r="K93" s="69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defaultRowHeight="15" x14ac:dyDescent="0.25"/>
  <cols>
    <col min="1" max="1" width="1.85546875" customWidth="1"/>
    <col min="2" max="2" width="27.28515625" customWidth="1"/>
  </cols>
  <sheetData>
    <row r="2" spans="2:14" x14ac:dyDescent="0.25">
      <c r="B2" s="90" t="s">
        <v>331</v>
      </c>
      <c r="C2" s="91">
        <v>41699</v>
      </c>
      <c r="D2" s="91">
        <v>42064</v>
      </c>
      <c r="E2" s="91">
        <v>42430</v>
      </c>
      <c r="F2" s="91">
        <v>42795</v>
      </c>
      <c r="G2" s="91">
        <v>43160</v>
      </c>
      <c r="H2" s="91">
        <v>43525</v>
      </c>
      <c r="I2" s="91">
        <v>43891</v>
      </c>
      <c r="J2" s="91">
        <v>44256</v>
      </c>
      <c r="K2" s="91">
        <v>44621</v>
      </c>
      <c r="L2" s="91">
        <v>44986</v>
      </c>
      <c r="M2" s="91">
        <v>45352</v>
      </c>
      <c r="N2" s="91">
        <v>45717</v>
      </c>
    </row>
    <row r="3" spans="2:14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2:14" x14ac:dyDescent="0.25">
      <c r="B4" s="1" t="s">
        <v>40</v>
      </c>
      <c r="C4" s="95">
        <v>216</v>
      </c>
      <c r="D4" s="95">
        <v>216</v>
      </c>
      <c r="E4" s="95">
        <v>216</v>
      </c>
      <c r="F4" s="95">
        <v>216</v>
      </c>
      <c r="G4" s="95">
        <v>216</v>
      </c>
      <c r="H4" s="95">
        <v>216</v>
      </c>
      <c r="I4" s="95">
        <v>216</v>
      </c>
      <c r="J4" s="95">
        <v>235</v>
      </c>
      <c r="K4" s="95">
        <v>235</v>
      </c>
      <c r="L4" s="95">
        <v>235</v>
      </c>
      <c r="M4" s="95">
        <v>235</v>
      </c>
      <c r="N4" s="95">
        <v>235</v>
      </c>
    </row>
    <row r="5" spans="2:14" x14ac:dyDescent="0.25">
      <c r="B5" t="s">
        <v>244</v>
      </c>
      <c r="C5" s="95">
        <v>3321</v>
      </c>
      <c r="D5" s="95">
        <v>3811</v>
      </c>
      <c r="E5" s="95">
        <v>6357</v>
      </c>
      <c r="F5" s="95">
        <v>6528</v>
      </c>
      <c r="G5" s="95">
        <v>7065</v>
      </c>
      <c r="H5" s="95">
        <v>7651</v>
      </c>
      <c r="I5" s="95">
        <v>8013</v>
      </c>
      <c r="J5" s="95">
        <v>47439</v>
      </c>
      <c r="K5" s="95">
        <v>48826</v>
      </c>
      <c r="L5" s="95">
        <v>50069</v>
      </c>
      <c r="M5" s="95">
        <v>50983</v>
      </c>
      <c r="N5" s="95">
        <v>49167</v>
      </c>
    </row>
    <row r="6" spans="2:14" x14ac:dyDescent="0.25">
      <c r="B6" s="1" t="s">
        <v>302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2:14" x14ac:dyDescent="0.25">
      <c r="B7" t="s">
        <v>303</v>
      </c>
      <c r="C7" s="95">
        <v>8</v>
      </c>
      <c r="D7" s="95">
        <v>7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</row>
    <row r="8" spans="2:14" x14ac:dyDescent="0.25">
      <c r="B8" t="s">
        <v>304</v>
      </c>
      <c r="C8" s="95">
        <v>37</v>
      </c>
      <c r="D8" s="95">
        <v>36</v>
      </c>
      <c r="E8" s="95">
        <v>177</v>
      </c>
      <c r="F8" s="95">
        <v>277</v>
      </c>
      <c r="G8" s="95">
        <v>0</v>
      </c>
      <c r="H8" s="95">
        <v>99</v>
      </c>
      <c r="I8" s="95">
        <v>0</v>
      </c>
      <c r="J8" s="95">
        <v>0</v>
      </c>
      <c r="K8" s="95">
        <v>0</v>
      </c>
      <c r="L8" s="95">
        <v>98</v>
      </c>
      <c r="M8" s="95">
        <v>13</v>
      </c>
      <c r="N8" s="95">
        <v>1</v>
      </c>
    </row>
    <row r="9" spans="2:14" x14ac:dyDescent="0.25">
      <c r="B9" t="s">
        <v>305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1043</v>
      </c>
      <c r="L9" s="95">
        <v>1121</v>
      </c>
      <c r="M9" s="95">
        <v>1471</v>
      </c>
      <c r="N9" s="95">
        <v>1647</v>
      </c>
    </row>
    <row r="10" spans="2:14" x14ac:dyDescent="0.25">
      <c r="B10" s="1" t="s">
        <v>306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</row>
    <row r="11" spans="2:14" x14ac:dyDescent="0.25">
      <c r="B11" t="s">
        <v>307</v>
      </c>
      <c r="C11" s="95">
        <v>22</v>
      </c>
      <c r="D11" s="95">
        <v>25</v>
      </c>
      <c r="E11" s="95">
        <v>20</v>
      </c>
      <c r="F11" s="95">
        <v>22</v>
      </c>
      <c r="G11" s="95">
        <v>20</v>
      </c>
      <c r="H11" s="95">
        <v>18</v>
      </c>
      <c r="I11" s="95">
        <v>17</v>
      </c>
      <c r="J11" s="95">
        <v>20</v>
      </c>
      <c r="K11" s="95">
        <v>26</v>
      </c>
      <c r="L11" s="95">
        <v>218</v>
      </c>
      <c r="M11" s="95">
        <v>205</v>
      </c>
      <c r="N11" s="95">
        <v>207</v>
      </c>
    </row>
    <row r="12" spans="2:14" x14ac:dyDescent="0.25">
      <c r="B12" t="s">
        <v>308</v>
      </c>
      <c r="C12" s="95">
        <v>5825</v>
      </c>
      <c r="D12" s="95">
        <v>5506</v>
      </c>
      <c r="E12" s="95">
        <v>5685</v>
      </c>
      <c r="F12" s="95">
        <v>6186</v>
      </c>
      <c r="G12" s="95">
        <v>7170</v>
      </c>
      <c r="H12" s="95">
        <v>7206</v>
      </c>
      <c r="I12" s="95">
        <v>7535</v>
      </c>
      <c r="J12" s="95">
        <v>8802</v>
      </c>
      <c r="K12" s="95">
        <v>9068</v>
      </c>
      <c r="L12" s="95">
        <v>9574</v>
      </c>
      <c r="M12" s="95">
        <v>10486</v>
      </c>
      <c r="N12" s="95">
        <v>11315</v>
      </c>
    </row>
    <row r="13" spans="2:14" x14ac:dyDescent="0.25">
      <c r="B13" t="s">
        <v>309</v>
      </c>
      <c r="C13" s="95">
        <v>37</v>
      </c>
      <c r="D13" s="95">
        <v>45</v>
      </c>
      <c r="E13" s="95">
        <v>45</v>
      </c>
      <c r="F13" s="95">
        <v>78</v>
      </c>
      <c r="G13" s="95">
        <v>62</v>
      </c>
      <c r="H13" s="95">
        <v>43</v>
      </c>
      <c r="I13" s="95">
        <v>158</v>
      </c>
      <c r="J13" s="95">
        <v>96</v>
      </c>
      <c r="K13" s="95">
        <v>119</v>
      </c>
      <c r="L13" s="95">
        <v>98</v>
      </c>
      <c r="M13" s="95">
        <v>91</v>
      </c>
      <c r="N13" s="95">
        <v>105</v>
      </c>
    </row>
    <row r="14" spans="2:14" x14ac:dyDescent="0.25">
      <c r="B14" t="s">
        <v>310</v>
      </c>
      <c r="C14" s="96">
        <v>4287</v>
      </c>
      <c r="D14" s="96">
        <v>4783</v>
      </c>
      <c r="E14" s="96">
        <v>2293</v>
      </c>
      <c r="F14" s="96">
        <v>2399</v>
      </c>
      <c r="G14" s="96">
        <v>3329</v>
      </c>
      <c r="H14" s="96">
        <v>3396</v>
      </c>
      <c r="I14" s="96">
        <v>4214</v>
      </c>
      <c r="J14" s="96">
        <v>12148</v>
      </c>
      <c r="K14" s="96">
        <v>11189</v>
      </c>
      <c r="L14" s="96">
        <v>11664</v>
      </c>
      <c r="M14" s="96">
        <v>15005</v>
      </c>
      <c r="N14" s="96">
        <v>17186</v>
      </c>
    </row>
    <row r="15" spans="2:14" x14ac:dyDescent="0.25">
      <c r="B15" s="94" t="s">
        <v>311</v>
      </c>
      <c r="C15" s="98">
        <v>13754</v>
      </c>
      <c r="D15" s="98">
        <v>14430</v>
      </c>
      <c r="E15" s="98">
        <v>14793</v>
      </c>
      <c r="F15" s="98">
        <v>15706</v>
      </c>
      <c r="G15" s="98">
        <v>17862</v>
      </c>
      <c r="H15" s="98">
        <v>18629</v>
      </c>
      <c r="I15" s="98">
        <v>20153</v>
      </c>
      <c r="J15" s="98">
        <v>68740</v>
      </c>
      <c r="K15" s="98">
        <v>70506</v>
      </c>
      <c r="L15" s="98">
        <v>73077</v>
      </c>
      <c r="M15" s="98">
        <v>78489</v>
      </c>
      <c r="N15" s="98">
        <v>79863</v>
      </c>
    </row>
    <row r="16" spans="2:14" x14ac:dyDescent="0.25"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</row>
    <row r="17" spans="2:14" x14ac:dyDescent="0.25">
      <c r="B17" s="1" t="s">
        <v>312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</row>
    <row r="18" spans="2:14" x14ac:dyDescent="0.25">
      <c r="B18" t="s">
        <v>313</v>
      </c>
      <c r="C18" s="101">
        <v>133</v>
      </c>
      <c r="D18" s="101">
        <v>102</v>
      </c>
      <c r="E18" s="101">
        <v>88</v>
      </c>
      <c r="F18" s="101">
        <v>89</v>
      </c>
      <c r="G18" s="101">
        <v>87</v>
      </c>
      <c r="H18" s="101">
        <v>86</v>
      </c>
      <c r="I18" s="101">
        <v>59</v>
      </c>
      <c r="J18" s="101">
        <v>477</v>
      </c>
      <c r="K18" s="101">
        <v>477</v>
      </c>
      <c r="L18" s="101">
        <v>609</v>
      </c>
      <c r="M18" s="101">
        <v>633</v>
      </c>
      <c r="N18" s="101">
        <v>628</v>
      </c>
    </row>
    <row r="19" spans="2:14" x14ac:dyDescent="0.25">
      <c r="B19" t="s">
        <v>314</v>
      </c>
      <c r="C19" s="101">
        <v>1133</v>
      </c>
      <c r="D19" s="101">
        <v>1173</v>
      </c>
      <c r="E19" s="101">
        <v>931</v>
      </c>
      <c r="F19" s="101">
        <v>1210</v>
      </c>
      <c r="G19" s="101">
        <v>1343</v>
      </c>
      <c r="H19" s="101">
        <v>1527</v>
      </c>
      <c r="I19" s="101">
        <v>2044</v>
      </c>
      <c r="J19" s="101">
        <v>2602</v>
      </c>
      <c r="K19" s="101">
        <v>2788</v>
      </c>
      <c r="L19" s="101">
        <v>3101</v>
      </c>
      <c r="M19" s="101">
        <v>3590</v>
      </c>
      <c r="N19" s="101">
        <v>3833</v>
      </c>
    </row>
    <row r="20" spans="2:14" x14ac:dyDescent="0.25">
      <c r="B20" t="s">
        <v>315</v>
      </c>
      <c r="C20" s="101">
        <v>3176</v>
      </c>
      <c r="D20" s="101">
        <v>3481</v>
      </c>
      <c r="E20" s="101">
        <v>2370</v>
      </c>
      <c r="F20" s="101">
        <v>3270</v>
      </c>
      <c r="G20" s="101">
        <v>3691</v>
      </c>
      <c r="H20" s="101">
        <v>4092</v>
      </c>
      <c r="I20" s="101">
        <v>5001</v>
      </c>
      <c r="J20" s="101">
        <v>6097</v>
      </c>
      <c r="K20" s="101">
        <v>6566</v>
      </c>
      <c r="L20" s="101">
        <v>7612</v>
      </c>
      <c r="M20" s="101">
        <v>8946</v>
      </c>
      <c r="N20" s="101">
        <v>9900</v>
      </c>
    </row>
    <row r="21" spans="2:14" x14ac:dyDescent="0.25">
      <c r="B21" t="s">
        <v>316</v>
      </c>
      <c r="C21" s="101">
        <v>104</v>
      </c>
      <c r="D21" s="101">
        <v>106</v>
      </c>
      <c r="E21" s="101">
        <v>41</v>
      </c>
      <c r="F21" s="101">
        <v>62</v>
      </c>
      <c r="G21" s="101">
        <v>74</v>
      </c>
      <c r="H21" s="101">
        <v>95</v>
      </c>
      <c r="I21" s="101">
        <v>139</v>
      </c>
      <c r="J21" s="101">
        <v>175</v>
      </c>
      <c r="K21" s="101">
        <v>181</v>
      </c>
      <c r="L21" s="101">
        <v>185</v>
      </c>
      <c r="M21" s="101">
        <v>206</v>
      </c>
      <c r="N21" s="101">
        <v>245</v>
      </c>
    </row>
    <row r="22" spans="2:14" x14ac:dyDescent="0.25">
      <c r="B22" t="s">
        <v>317</v>
      </c>
      <c r="C22" s="101">
        <v>102</v>
      </c>
      <c r="D22" s="101">
        <v>108</v>
      </c>
      <c r="E22" s="101">
        <v>61</v>
      </c>
      <c r="F22" s="101">
        <v>66</v>
      </c>
      <c r="G22" s="101">
        <v>76</v>
      </c>
      <c r="H22" s="101">
        <v>88</v>
      </c>
      <c r="I22" s="101">
        <v>154</v>
      </c>
      <c r="J22" s="101">
        <v>156</v>
      </c>
      <c r="K22" s="101">
        <v>152</v>
      </c>
      <c r="L22" s="101">
        <v>161</v>
      </c>
      <c r="M22" s="101">
        <v>165</v>
      </c>
      <c r="N22" s="101">
        <v>174</v>
      </c>
    </row>
    <row r="23" spans="2:14" x14ac:dyDescent="0.25">
      <c r="B23" t="s">
        <v>318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</row>
    <row r="24" spans="2:14" x14ac:dyDescent="0.25">
      <c r="B24" t="s">
        <v>319</v>
      </c>
      <c r="C24" s="101">
        <v>2</v>
      </c>
      <c r="D24" s="101">
        <v>1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33</v>
      </c>
      <c r="M24" s="101">
        <v>39</v>
      </c>
      <c r="N24" s="101">
        <v>102</v>
      </c>
    </row>
    <row r="25" spans="2:14" x14ac:dyDescent="0.25">
      <c r="B25" t="s">
        <v>320</v>
      </c>
      <c r="C25" s="101">
        <v>247</v>
      </c>
      <c r="D25" s="101">
        <v>247</v>
      </c>
      <c r="E25" s="101">
        <v>85</v>
      </c>
      <c r="F25" s="101">
        <v>455</v>
      </c>
      <c r="G25" s="101">
        <v>455</v>
      </c>
      <c r="H25" s="101">
        <v>511</v>
      </c>
      <c r="I25" s="101">
        <v>511</v>
      </c>
      <c r="J25" s="101">
        <v>45262</v>
      </c>
      <c r="K25" s="101">
        <v>45262</v>
      </c>
      <c r="L25" s="101">
        <v>45692</v>
      </c>
      <c r="M25" s="101">
        <v>45692</v>
      </c>
      <c r="N25" s="101">
        <v>45692</v>
      </c>
    </row>
    <row r="26" spans="2:14" x14ac:dyDescent="0.25">
      <c r="B26" t="s">
        <v>321</v>
      </c>
      <c r="C26" s="101">
        <v>183</v>
      </c>
      <c r="D26" s="101">
        <v>193</v>
      </c>
      <c r="E26" s="101">
        <v>19</v>
      </c>
      <c r="F26" s="101">
        <v>19</v>
      </c>
      <c r="G26" s="101">
        <v>26</v>
      </c>
      <c r="H26" s="101">
        <v>60</v>
      </c>
      <c r="I26" s="101">
        <v>71</v>
      </c>
      <c r="J26" s="101">
        <v>155</v>
      </c>
      <c r="K26" s="101">
        <v>152</v>
      </c>
      <c r="L26" s="101">
        <v>171</v>
      </c>
      <c r="M26" s="101">
        <v>180</v>
      </c>
      <c r="N26" s="101">
        <v>190</v>
      </c>
    </row>
    <row r="27" spans="2:14" x14ac:dyDescent="0.25">
      <c r="B27" s="1" t="s">
        <v>322</v>
      </c>
      <c r="C27" s="102">
        <v>5079</v>
      </c>
      <c r="D27" s="102">
        <v>5412</v>
      </c>
      <c r="E27" s="102">
        <v>3595</v>
      </c>
      <c r="F27" s="102">
        <v>5171</v>
      </c>
      <c r="G27" s="102">
        <v>5752</v>
      </c>
      <c r="H27" s="102">
        <v>6459</v>
      </c>
      <c r="I27" s="102">
        <v>7979</v>
      </c>
      <c r="J27" s="102">
        <v>54924</v>
      </c>
      <c r="K27" s="102">
        <v>55578</v>
      </c>
      <c r="L27" s="102">
        <v>57564</v>
      </c>
      <c r="M27" s="102">
        <v>59451</v>
      </c>
      <c r="N27" s="102">
        <v>60764</v>
      </c>
    </row>
    <row r="28" spans="2:14" x14ac:dyDescent="0.25">
      <c r="B28" s="1" t="s">
        <v>323</v>
      </c>
      <c r="C28" s="96">
        <v>2333</v>
      </c>
      <c r="D28" s="96">
        <v>2591</v>
      </c>
      <c r="E28" s="96">
        <v>337</v>
      </c>
      <c r="F28" s="96">
        <v>752</v>
      </c>
      <c r="G28" s="96">
        <v>1224</v>
      </c>
      <c r="H28" s="96">
        <v>1744</v>
      </c>
      <c r="I28" s="96">
        <v>2500</v>
      </c>
      <c r="J28" s="96">
        <v>3481</v>
      </c>
      <c r="K28" s="96">
        <v>4105</v>
      </c>
      <c r="L28" s="96">
        <v>4886</v>
      </c>
      <c r="M28" s="96">
        <v>5707</v>
      </c>
      <c r="N28" s="96">
        <v>6429</v>
      </c>
    </row>
    <row r="29" spans="2:14" x14ac:dyDescent="0.25">
      <c r="B29" s="99" t="s">
        <v>247</v>
      </c>
      <c r="C29" s="100">
        <f>C27-C28</f>
        <v>2746</v>
      </c>
      <c r="D29" s="100">
        <f t="shared" ref="D29:N29" si="0">D27-D28</f>
        <v>2821</v>
      </c>
      <c r="E29" s="100">
        <f t="shared" si="0"/>
        <v>3258</v>
      </c>
      <c r="F29" s="100">
        <f t="shared" si="0"/>
        <v>4419</v>
      </c>
      <c r="G29" s="100">
        <f t="shared" si="0"/>
        <v>4528</v>
      </c>
      <c r="H29" s="100">
        <f t="shared" si="0"/>
        <v>4715</v>
      </c>
      <c r="I29" s="100">
        <f t="shared" si="0"/>
        <v>5479</v>
      </c>
      <c r="J29" s="100">
        <f t="shared" si="0"/>
        <v>51443</v>
      </c>
      <c r="K29" s="100">
        <f t="shared" si="0"/>
        <v>51473</v>
      </c>
      <c r="L29" s="100">
        <f t="shared" si="0"/>
        <v>52678</v>
      </c>
      <c r="M29" s="100">
        <f t="shared" si="0"/>
        <v>53744</v>
      </c>
      <c r="N29" s="100">
        <f t="shared" si="0"/>
        <v>54335</v>
      </c>
    </row>
    <row r="30" spans="2:14" x14ac:dyDescent="0.25">
      <c r="B30" s="1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 spans="2:14" x14ac:dyDescent="0.25">
      <c r="B31" s="1" t="s">
        <v>324</v>
      </c>
      <c r="C31" s="101">
        <v>373</v>
      </c>
      <c r="D31" s="101">
        <v>516</v>
      </c>
      <c r="E31" s="101">
        <v>408</v>
      </c>
      <c r="F31" s="101">
        <v>229</v>
      </c>
      <c r="G31" s="101">
        <v>461</v>
      </c>
      <c r="H31" s="101">
        <v>406</v>
      </c>
      <c r="I31" s="101">
        <v>597</v>
      </c>
      <c r="J31" s="101">
        <v>745</v>
      </c>
      <c r="K31" s="101">
        <v>1313</v>
      </c>
      <c r="L31" s="101">
        <v>1132</v>
      </c>
      <c r="M31" s="101">
        <v>1025</v>
      </c>
      <c r="N31" s="101">
        <v>1009</v>
      </c>
    </row>
    <row r="32" spans="2:14" x14ac:dyDescent="0.25">
      <c r="B32" s="1" t="s">
        <v>249</v>
      </c>
      <c r="C32" s="101">
        <v>2838</v>
      </c>
      <c r="D32" s="101">
        <v>3025</v>
      </c>
      <c r="E32" s="101">
        <v>2592</v>
      </c>
      <c r="F32" s="101">
        <v>3794</v>
      </c>
      <c r="G32" s="101">
        <v>2873</v>
      </c>
      <c r="H32" s="101">
        <v>2716</v>
      </c>
      <c r="I32" s="101">
        <v>1255</v>
      </c>
      <c r="J32" s="101">
        <v>2709</v>
      </c>
      <c r="K32" s="101">
        <v>3521</v>
      </c>
      <c r="L32" s="101">
        <v>2882</v>
      </c>
      <c r="M32" s="101">
        <v>4625</v>
      </c>
      <c r="N32" s="101">
        <v>3810</v>
      </c>
    </row>
    <row r="33" spans="2:14" x14ac:dyDescent="0.25">
      <c r="B33" s="1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</row>
    <row r="34" spans="2:14" x14ac:dyDescent="0.25">
      <c r="B34" s="1" t="s">
        <v>325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</row>
    <row r="35" spans="2:14" x14ac:dyDescent="0.25">
      <c r="B35" t="s">
        <v>326</v>
      </c>
      <c r="C35" s="101">
        <v>2940</v>
      </c>
      <c r="D35" s="101">
        <v>2849</v>
      </c>
      <c r="E35" s="101">
        <v>2726</v>
      </c>
      <c r="F35" s="101">
        <v>2541</v>
      </c>
      <c r="G35" s="101">
        <v>2513</v>
      </c>
      <c r="H35" s="101">
        <v>2574</v>
      </c>
      <c r="I35" s="101">
        <v>2767</v>
      </c>
      <c r="J35" s="101">
        <v>3579</v>
      </c>
      <c r="K35" s="101">
        <v>4096</v>
      </c>
      <c r="L35" s="101">
        <v>4251</v>
      </c>
      <c r="M35" s="101">
        <v>4022</v>
      </c>
      <c r="N35" s="101">
        <v>4415</v>
      </c>
    </row>
    <row r="36" spans="2:14" x14ac:dyDescent="0.25">
      <c r="B36" t="s">
        <v>327</v>
      </c>
      <c r="C36" s="101">
        <v>1017</v>
      </c>
      <c r="D36" s="101">
        <v>1010</v>
      </c>
      <c r="E36" s="101">
        <v>1264</v>
      </c>
      <c r="F36" s="101">
        <v>1085</v>
      </c>
      <c r="G36" s="101">
        <v>1310</v>
      </c>
      <c r="H36" s="101">
        <v>1816</v>
      </c>
      <c r="I36" s="101">
        <v>1149</v>
      </c>
      <c r="J36" s="101">
        <v>1758</v>
      </c>
      <c r="K36" s="101">
        <v>2236</v>
      </c>
      <c r="L36" s="101">
        <v>3079</v>
      </c>
      <c r="M36" s="101">
        <v>2997</v>
      </c>
      <c r="N36" s="101">
        <v>3819</v>
      </c>
    </row>
    <row r="37" spans="2:14" x14ac:dyDescent="0.25">
      <c r="B37" t="s">
        <v>328</v>
      </c>
      <c r="C37" s="101">
        <v>2516</v>
      </c>
      <c r="D37" s="101">
        <v>2689</v>
      </c>
      <c r="E37" s="101">
        <v>3009</v>
      </c>
      <c r="F37" s="101">
        <v>1828</v>
      </c>
      <c r="G37" s="101">
        <v>3485</v>
      </c>
      <c r="H37" s="101">
        <v>3757</v>
      </c>
      <c r="I37" s="101">
        <v>5113</v>
      </c>
      <c r="J37" s="101">
        <v>4471</v>
      </c>
      <c r="K37" s="101">
        <v>3846</v>
      </c>
      <c r="L37" s="101">
        <v>4678</v>
      </c>
      <c r="M37" s="101">
        <v>7559</v>
      </c>
      <c r="N37" s="101">
        <v>7554</v>
      </c>
    </row>
    <row r="38" spans="2:14" x14ac:dyDescent="0.25">
      <c r="B38" t="s">
        <v>329</v>
      </c>
      <c r="C38" s="101">
        <v>0</v>
      </c>
      <c r="D38" s="101">
        <v>0</v>
      </c>
      <c r="E38" s="101">
        <v>0</v>
      </c>
      <c r="F38" s="101">
        <v>71</v>
      </c>
      <c r="G38" s="101">
        <v>40</v>
      </c>
      <c r="H38" s="101">
        <v>26</v>
      </c>
      <c r="I38" s="101">
        <v>19</v>
      </c>
      <c r="J38" s="101">
        <v>78</v>
      </c>
      <c r="K38" s="101">
        <v>170</v>
      </c>
      <c r="L38" s="101">
        <v>188</v>
      </c>
      <c r="M38" s="101">
        <v>172</v>
      </c>
      <c r="N38" s="101">
        <v>242</v>
      </c>
    </row>
    <row r="39" spans="2:14" x14ac:dyDescent="0.25">
      <c r="B39" t="s">
        <v>330</v>
      </c>
      <c r="C39" s="96">
        <v>1324</v>
      </c>
      <c r="D39" s="96">
        <v>1519</v>
      </c>
      <c r="E39" s="96">
        <v>1536</v>
      </c>
      <c r="F39" s="96">
        <v>1739</v>
      </c>
      <c r="G39" s="96">
        <v>2652</v>
      </c>
      <c r="H39" s="96">
        <v>2619</v>
      </c>
      <c r="I39" s="96">
        <v>3774</v>
      </c>
      <c r="J39" s="96">
        <v>3957</v>
      </c>
      <c r="K39" s="96">
        <v>3851</v>
      </c>
      <c r="L39" s="96">
        <v>4189</v>
      </c>
      <c r="M39" s="96">
        <v>4345</v>
      </c>
      <c r="N39" s="96">
        <v>4679</v>
      </c>
    </row>
    <row r="40" spans="2:14" x14ac:dyDescent="0.25">
      <c r="B40" s="94" t="s">
        <v>296</v>
      </c>
      <c r="C40" s="98">
        <v>13754</v>
      </c>
      <c r="D40" s="98">
        <v>14430</v>
      </c>
      <c r="E40" s="98">
        <v>14793</v>
      </c>
      <c r="F40" s="98">
        <v>15706</v>
      </c>
      <c r="G40" s="98">
        <v>17862</v>
      </c>
      <c r="H40" s="98">
        <v>18629</v>
      </c>
      <c r="I40" s="98">
        <v>20153</v>
      </c>
      <c r="J40" s="98">
        <v>68740</v>
      </c>
      <c r="K40" s="98">
        <v>70506</v>
      </c>
      <c r="L40" s="98">
        <v>73077</v>
      </c>
      <c r="M40" s="98">
        <v>78489</v>
      </c>
      <c r="N40" s="98">
        <v>79863</v>
      </c>
    </row>
    <row r="43" spans="2:14" x14ac:dyDescent="0.25">
      <c r="B43" s="90" t="s">
        <v>331</v>
      </c>
      <c r="C43" s="91">
        <v>41699</v>
      </c>
      <c r="D43" s="91">
        <v>42064</v>
      </c>
      <c r="E43" s="91">
        <v>42430</v>
      </c>
      <c r="F43" s="91">
        <v>42795</v>
      </c>
      <c r="G43" s="91">
        <v>43160</v>
      </c>
      <c r="H43" s="91">
        <v>43525</v>
      </c>
      <c r="I43" s="91">
        <v>43891</v>
      </c>
      <c r="J43" s="91">
        <v>44256</v>
      </c>
      <c r="K43" s="91">
        <v>44621</v>
      </c>
      <c r="L43" s="91">
        <v>44986</v>
      </c>
      <c r="M43" s="91">
        <v>45352</v>
      </c>
      <c r="N43" s="91">
        <v>45717</v>
      </c>
    </row>
    <row r="44" spans="2:14" x14ac:dyDescent="0.25">
      <c r="B44" s="1" t="s">
        <v>346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</row>
    <row r="45" spans="2:14" x14ac:dyDescent="0.25">
      <c r="B45" t="s">
        <v>347</v>
      </c>
      <c r="C45" s="115">
        <v>4802</v>
      </c>
      <c r="D45" s="115">
        <v>5510</v>
      </c>
      <c r="E45" s="115">
        <v>6025</v>
      </c>
      <c r="F45" s="115">
        <v>6512</v>
      </c>
      <c r="G45" s="115">
        <v>7485</v>
      </c>
      <c r="H45" s="115">
        <v>8909</v>
      </c>
      <c r="I45" s="115">
        <v>9723</v>
      </c>
      <c r="J45" s="115">
        <v>11672</v>
      </c>
      <c r="K45" s="115">
        <v>12829</v>
      </c>
      <c r="L45" s="115">
        <v>14089</v>
      </c>
      <c r="M45" s="115">
        <v>14537</v>
      </c>
      <c r="N45" s="115">
        <v>14942</v>
      </c>
    </row>
    <row r="46" spans="2:14" x14ac:dyDescent="0.25">
      <c r="B46" t="s">
        <v>251</v>
      </c>
      <c r="C46" s="108">
        <v>-17</v>
      </c>
      <c r="D46" s="108">
        <v>3</v>
      </c>
      <c r="E46" s="108">
        <v>-257</v>
      </c>
      <c r="F46" s="108">
        <v>173</v>
      </c>
      <c r="G46" s="108">
        <v>0</v>
      </c>
      <c r="H46" s="108">
        <v>0</v>
      </c>
      <c r="I46" s="108">
        <v>0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</row>
    <row r="47" spans="2:14" x14ac:dyDescent="0.25">
      <c r="B47" t="s">
        <v>252</v>
      </c>
      <c r="C47" s="108">
        <v>-201</v>
      </c>
      <c r="D47" s="108">
        <v>91</v>
      </c>
      <c r="E47" s="108">
        <v>89</v>
      </c>
      <c r="F47" s="108">
        <v>37</v>
      </c>
      <c r="G47" s="108">
        <v>-146</v>
      </c>
      <c r="H47" s="108">
        <v>-195</v>
      </c>
      <c r="I47" s="108">
        <v>-331</v>
      </c>
      <c r="J47" s="108">
        <v>-543</v>
      </c>
      <c r="K47" s="108">
        <v>-758</v>
      </c>
      <c r="L47" s="108">
        <v>-339</v>
      </c>
      <c r="M47" s="108">
        <v>74</v>
      </c>
      <c r="N47" s="108">
        <v>-584</v>
      </c>
    </row>
    <row r="48" spans="2:14" x14ac:dyDescent="0.25">
      <c r="B48" t="s">
        <v>348</v>
      </c>
      <c r="C48" s="108">
        <v>546</v>
      </c>
      <c r="D48" s="108">
        <v>-327</v>
      </c>
      <c r="E48" s="108">
        <v>164</v>
      </c>
      <c r="F48" s="108">
        <v>501</v>
      </c>
      <c r="G48" s="108">
        <v>0</v>
      </c>
      <c r="H48" s="108">
        <v>0</v>
      </c>
      <c r="I48" s="108">
        <v>0</v>
      </c>
      <c r="J48" s="108">
        <v>0</v>
      </c>
      <c r="K48" s="108">
        <v>0</v>
      </c>
      <c r="L48" s="108">
        <v>0</v>
      </c>
      <c r="M48" s="108">
        <v>0</v>
      </c>
      <c r="N48" s="108">
        <v>0</v>
      </c>
    </row>
    <row r="49" spans="2:14" x14ac:dyDescent="0.25">
      <c r="B49" t="s">
        <v>349</v>
      </c>
      <c r="C49" s="108">
        <v>-4</v>
      </c>
      <c r="D49" s="108">
        <v>-148</v>
      </c>
      <c r="E49" s="108">
        <v>0</v>
      </c>
      <c r="F49" s="108">
        <v>0</v>
      </c>
      <c r="G49" s="108">
        <v>0</v>
      </c>
      <c r="H49" s="108">
        <v>0</v>
      </c>
      <c r="I49" s="108">
        <v>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</row>
    <row r="50" spans="2:14" x14ac:dyDescent="0.25">
      <c r="B50" t="s">
        <v>350</v>
      </c>
      <c r="C50" s="108">
        <v>0</v>
      </c>
      <c r="D50" s="108">
        <v>0</v>
      </c>
      <c r="E50" s="108">
        <v>0</v>
      </c>
      <c r="F50" s="108">
        <v>-46</v>
      </c>
      <c r="G50" s="108">
        <v>0</v>
      </c>
      <c r="H50" s="108">
        <v>0</v>
      </c>
      <c r="I50" s="108">
        <v>0</v>
      </c>
      <c r="J50" s="108">
        <v>0</v>
      </c>
      <c r="K50" s="108">
        <v>0</v>
      </c>
      <c r="L50" s="108">
        <v>0</v>
      </c>
      <c r="M50" s="108">
        <v>0</v>
      </c>
      <c r="N50" s="108">
        <v>0</v>
      </c>
    </row>
    <row r="51" spans="2:14" x14ac:dyDescent="0.25">
      <c r="B51" t="s">
        <v>351</v>
      </c>
      <c r="C51" s="108">
        <v>81</v>
      </c>
      <c r="D51" s="108">
        <v>38</v>
      </c>
      <c r="E51" s="108">
        <v>-77</v>
      </c>
      <c r="F51" s="108">
        <v>-99</v>
      </c>
      <c r="G51" s="108">
        <v>982</v>
      </c>
      <c r="H51" s="108">
        <v>-147</v>
      </c>
      <c r="I51" s="108">
        <v>742</v>
      </c>
      <c r="J51" s="108">
        <v>442</v>
      </c>
      <c r="K51" s="108">
        <v>-242</v>
      </c>
      <c r="L51" s="108">
        <v>-621</v>
      </c>
      <c r="M51" s="115">
        <v>1239</v>
      </c>
      <c r="N51" s="108">
        <v>-204</v>
      </c>
    </row>
    <row r="52" spans="2:14" x14ac:dyDescent="0.25">
      <c r="B52" t="s">
        <v>352</v>
      </c>
      <c r="C52" s="108">
        <v>405</v>
      </c>
      <c r="D52" s="108">
        <v>-342</v>
      </c>
      <c r="E52" s="108">
        <v>-81</v>
      </c>
      <c r="F52" s="108">
        <v>566</v>
      </c>
      <c r="G52" s="108">
        <v>836</v>
      </c>
      <c r="H52" s="108">
        <v>-342</v>
      </c>
      <c r="I52" s="108">
        <v>411</v>
      </c>
      <c r="J52" s="108">
        <v>-101</v>
      </c>
      <c r="K52" s="115">
        <v>-1000</v>
      </c>
      <c r="L52" s="108">
        <v>-960</v>
      </c>
      <c r="M52" s="115">
        <v>1313</v>
      </c>
      <c r="N52" s="108">
        <v>-788</v>
      </c>
    </row>
    <row r="53" spans="2:14" x14ac:dyDescent="0.25">
      <c r="B53" t="s">
        <v>353</v>
      </c>
      <c r="C53" s="115">
        <v>-1384</v>
      </c>
      <c r="D53" s="115">
        <v>-1862</v>
      </c>
      <c r="E53" s="115">
        <v>-1765</v>
      </c>
      <c r="F53" s="115">
        <v>-1859</v>
      </c>
      <c r="G53" s="115">
        <v>-2264</v>
      </c>
      <c r="H53" s="115">
        <v>-2767</v>
      </c>
      <c r="I53" s="115">
        <v>-2505</v>
      </c>
      <c r="J53" s="115">
        <v>-2407</v>
      </c>
      <c r="K53" s="115">
        <v>-2784</v>
      </c>
      <c r="L53" s="115">
        <v>-3138</v>
      </c>
      <c r="M53" s="108">
        <v>-381</v>
      </c>
      <c r="N53" s="115">
        <v>-2268</v>
      </c>
    </row>
    <row r="54" spans="2:14" x14ac:dyDescent="0.25">
      <c r="B54" t="s">
        <v>354</v>
      </c>
      <c r="C54" s="108">
        <v>-5</v>
      </c>
      <c r="D54" s="108">
        <v>-14</v>
      </c>
      <c r="E54" s="108">
        <v>-8</v>
      </c>
      <c r="F54" s="108">
        <v>-21</v>
      </c>
      <c r="G54" s="108">
        <v>0</v>
      </c>
      <c r="H54" s="108">
        <v>0</v>
      </c>
      <c r="I54" s="108">
        <v>0</v>
      </c>
      <c r="J54" s="108">
        <v>0</v>
      </c>
      <c r="K54" s="108">
        <v>0</v>
      </c>
      <c r="L54" s="108">
        <v>0</v>
      </c>
      <c r="M54" s="108">
        <v>0</v>
      </c>
      <c r="N54" s="108">
        <v>0</v>
      </c>
    </row>
    <row r="55" spans="2:14" x14ac:dyDescent="0.25">
      <c r="B55" t="s">
        <v>355</v>
      </c>
      <c r="C55" s="108">
        <v>0</v>
      </c>
      <c r="D55" s="108">
        <v>0</v>
      </c>
      <c r="E55" s="108">
        <v>0</v>
      </c>
      <c r="F55" s="108">
        <v>-13</v>
      </c>
      <c r="G55" s="108">
        <v>2</v>
      </c>
      <c r="H55" s="108">
        <v>0</v>
      </c>
      <c r="I55" s="108">
        <v>-6</v>
      </c>
      <c r="J55" s="108">
        <v>-1</v>
      </c>
      <c r="K55" s="108">
        <v>3</v>
      </c>
      <c r="L55" s="108">
        <v>0</v>
      </c>
      <c r="M55" s="108">
        <v>0</v>
      </c>
      <c r="N55" s="108">
        <v>0</v>
      </c>
    </row>
    <row r="57" spans="2:14" x14ac:dyDescent="0.25">
      <c r="B57" s="1" t="s">
        <v>356</v>
      </c>
      <c r="F57" s="89"/>
      <c r="G57" s="89"/>
      <c r="I57" s="89"/>
      <c r="J57" s="89"/>
      <c r="K57" s="89"/>
      <c r="L57" s="89"/>
      <c r="M57" s="89"/>
      <c r="N57" s="89"/>
    </row>
    <row r="58" spans="2:14" x14ac:dyDescent="0.25">
      <c r="B58" t="s">
        <v>357</v>
      </c>
      <c r="C58" s="108">
        <v>-606</v>
      </c>
      <c r="D58" s="108">
        <v>-606</v>
      </c>
      <c r="E58" s="108">
        <v>-810</v>
      </c>
      <c r="F58" s="115">
        <v>-1113</v>
      </c>
      <c r="G58" s="108">
        <v>-895</v>
      </c>
      <c r="H58" s="108">
        <v>-767</v>
      </c>
      <c r="I58" s="108">
        <v>-862</v>
      </c>
      <c r="J58" s="115">
        <v>-4163</v>
      </c>
      <c r="K58" s="115">
        <v>-1228</v>
      </c>
      <c r="L58" s="115">
        <v>-1192</v>
      </c>
      <c r="M58" s="115">
        <v>-1477</v>
      </c>
      <c r="N58" s="115">
        <v>-1275</v>
      </c>
    </row>
    <row r="59" spans="2:14" x14ac:dyDescent="0.25">
      <c r="B59" t="s">
        <v>358</v>
      </c>
      <c r="C59" s="108">
        <v>229</v>
      </c>
      <c r="D59" s="108">
        <v>560</v>
      </c>
      <c r="E59" s="108">
        <v>99</v>
      </c>
      <c r="F59" s="108">
        <v>176</v>
      </c>
      <c r="G59" s="108">
        <v>32</v>
      </c>
      <c r="H59" s="108">
        <v>13</v>
      </c>
      <c r="I59" s="108">
        <v>52</v>
      </c>
      <c r="J59" s="108">
        <v>97</v>
      </c>
      <c r="K59" s="108">
        <v>175</v>
      </c>
      <c r="L59" s="108">
        <v>181</v>
      </c>
      <c r="M59" s="108">
        <v>20</v>
      </c>
      <c r="N59" s="108">
        <v>13</v>
      </c>
    </row>
    <row r="60" spans="2:14" x14ac:dyDescent="0.25">
      <c r="B60" t="s">
        <v>359</v>
      </c>
      <c r="C60" s="115">
        <v>-9538</v>
      </c>
      <c r="D60" s="115">
        <v>-19353</v>
      </c>
      <c r="E60" s="115">
        <v>-20666</v>
      </c>
      <c r="F60" s="115">
        <v>-31214</v>
      </c>
      <c r="G60" s="115">
        <v>-51855</v>
      </c>
      <c r="H60" s="115">
        <v>-74365</v>
      </c>
      <c r="I60" s="115">
        <v>-36090</v>
      </c>
      <c r="J60" s="115">
        <v>-39920</v>
      </c>
      <c r="K60" s="115">
        <v>-48522</v>
      </c>
      <c r="L60" s="115">
        <v>-22649</v>
      </c>
      <c r="M60" s="115">
        <v>-21337</v>
      </c>
      <c r="N60" s="115">
        <v>-22957</v>
      </c>
    </row>
    <row r="61" spans="2:14" x14ac:dyDescent="0.25">
      <c r="B61" t="s">
        <v>360</v>
      </c>
      <c r="C61" s="115">
        <v>9213</v>
      </c>
      <c r="D61" s="115">
        <v>19461</v>
      </c>
      <c r="E61" s="115">
        <v>20937</v>
      </c>
      <c r="F61" s="115">
        <v>30083</v>
      </c>
      <c r="G61" s="115">
        <v>52897</v>
      </c>
      <c r="H61" s="115">
        <v>74691</v>
      </c>
      <c r="I61" s="115">
        <v>37690</v>
      </c>
      <c r="J61" s="115">
        <v>38486</v>
      </c>
      <c r="K61" s="115">
        <v>47786</v>
      </c>
      <c r="L61" s="115">
        <v>23462</v>
      </c>
      <c r="M61" s="115">
        <v>19846</v>
      </c>
      <c r="N61" s="115">
        <v>23987</v>
      </c>
    </row>
    <row r="62" spans="2:14" x14ac:dyDescent="0.25">
      <c r="B62" t="s">
        <v>361</v>
      </c>
      <c r="C62" s="108">
        <v>232</v>
      </c>
      <c r="D62" s="108">
        <v>218</v>
      </c>
      <c r="E62" s="108">
        <v>315</v>
      </c>
      <c r="F62" s="108">
        <v>264</v>
      </c>
      <c r="G62" s="108">
        <v>297</v>
      </c>
      <c r="H62" s="108">
        <v>289</v>
      </c>
      <c r="I62" s="108">
        <v>351</v>
      </c>
      <c r="J62" s="108">
        <v>277</v>
      </c>
      <c r="K62" s="108">
        <v>161</v>
      </c>
      <c r="L62" s="108">
        <v>259</v>
      </c>
      <c r="M62" s="108">
        <v>425</v>
      </c>
      <c r="N62" s="108">
        <v>835</v>
      </c>
    </row>
    <row r="63" spans="2:14" x14ac:dyDescent="0.25">
      <c r="B63" t="s">
        <v>362</v>
      </c>
      <c r="C63" s="108">
        <v>16</v>
      </c>
      <c r="D63" s="108">
        <v>24</v>
      </c>
      <c r="E63" s="108">
        <v>33</v>
      </c>
      <c r="F63" s="108">
        <v>14</v>
      </c>
      <c r="G63" s="108">
        <v>0</v>
      </c>
      <c r="H63" s="108">
        <v>1</v>
      </c>
      <c r="I63" s="108">
        <v>1</v>
      </c>
      <c r="J63" s="108">
        <v>1</v>
      </c>
      <c r="K63" s="108">
        <v>1</v>
      </c>
      <c r="L63" s="108">
        <v>2</v>
      </c>
      <c r="M63" s="108">
        <v>3</v>
      </c>
      <c r="N63" s="108">
        <v>0</v>
      </c>
    </row>
    <row r="64" spans="2:14" x14ac:dyDescent="0.25">
      <c r="B64" t="s">
        <v>363</v>
      </c>
      <c r="C64" s="108">
        <v>-101</v>
      </c>
      <c r="D64" s="108">
        <v>0</v>
      </c>
      <c r="E64" s="108">
        <v>0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</row>
    <row r="65" spans="2:14" x14ac:dyDescent="0.25">
      <c r="B65" t="s">
        <v>364</v>
      </c>
      <c r="C65" s="108">
        <v>-104</v>
      </c>
      <c r="D65" s="108">
        <v>0</v>
      </c>
      <c r="E65" s="108">
        <v>0</v>
      </c>
      <c r="F65" s="108">
        <v>0</v>
      </c>
      <c r="G65" s="108">
        <v>0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</row>
    <row r="66" spans="2:14" x14ac:dyDescent="0.25">
      <c r="B66" t="s">
        <v>365</v>
      </c>
      <c r="C66" s="108">
        <v>0</v>
      </c>
      <c r="D66" s="108">
        <v>200</v>
      </c>
      <c r="E66" s="108">
        <v>161</v>
      </c>
      <c r="F66" s="108">
        <v>20</v>
      </c>
      <c r="G66" s="108">
        <v>73</v>
      </c>
      <c r="H66" s="108">
        <v>0</v>
      </c>
      <c r="I66" s="108">
        <v>0</v>
      </c>
      <c r="J66" s="108">
        <v>0</v>
      </c>
      <c r="K66" s="108">
        <v>0</v>
      </c>
      <c r="L66" s="108">
        <v>0</v>
      </c>
      <c r="M66" s="108">
        <v>0</v>
      </c>
      <c r="N66" s="108">
        <v>0</v>
      </c>
    </row>
    <row r="67" spans="2:14" x14ac:dyDescent="0.25">
      <c r="B67" t="s">
        <v>366</v>
      </c>
      <c r="C67" s="108">
        <v>0</v>
      </c>
      <c r="D67" s="108">
        <v>0</v>
      </c>
      <c r="E67" s="108">
        <v>0</v>
      </c>
      <c r="F67" s="108">
        <v>0</v>
      </c>
      <c r="G67" s="108">
        <v>0</v>
      </c>
      <c r="H67" s="108">
        <v>0</v>
      </c>
      <c r="I67" s="108">
        <v>0</v>
      </c>
      <c r="J67" s="108">
        <v>0</v>
      </c>
      <c r="K67" s="108">
        <v>0</v>
      </c>
      <c r="L67" s="108">
        <v>-334</v>
      </c>
      <c r="M67" s="108">
        <v>0</v>
      </c>
      <c r="N67" s="108">
        <v>0</v>
      </c>
    </row>
    <row r="68" spans="2:14" x14ac:dyDescent="0.25">
      <c r="B68" t="s">
        <v>367</v>
      </c>
      <c r="C68" s="108">
        <v>183</v>
      </c>
      <c r="D68" s="108">
        <v>-367</v>
      </c>
      <c r="E68" s="108">
        <v>-351</v>
      </c>
      <c r="F68" s="108">
        <v>597</v>
      </c>
      <c r="G68" s="115">
        <v>-1612</v>
      </c>
      <c r="H68" s="108">
        <v>-300</v>
      </c>
      <c r="I68" s="108">
        <v>649</v>
      </c>
      <c r="J68" s="115">
        <v>3994</v>
      </c>
      <c r="K68" s="108">
        <v>-101</v>
      </c>
      <c r="L68" s="115">
        <v>-1213</v>
      </c>
      <c r="M68" s="115">
        <v>-2804</v>
      </c>
      <c r="N68" s="115">
        <v>5870</v>
      </c>
    </row>
    <row r="69" spans="2:14" x14ac:dyDescent="0.25">
      <c r="G69" s="89"/>
      <c r="J69" s="89"/>
      <c r="L69" s="89"/>
      <c r="M69" s="89"/>
      <c r="N69" s="89"/>
    </row>
    <row r="70" spans="2:14" x14ac:dyDescent="0.25">
      <c r="B70" s="1" t="s">
        <v>368</v>
      </c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</row>
    <row r="71" spans="2:14" x14ac:dyDescent="0.25">
      <c r="B71" t="s">
        <v>369</v>
      </c>
      <c r="C71" s="108">
        <v>2</v>
      </c>
      <c r="D71" s="108">
        <v>2</v>
      </c>
      <c r="E71" s="108">
        <v>0</v>
      </c>
      <c r="F71" s="108">
        <v>0</v>
      </c>
      <c r="G71" s="108">
        <v>0</v>
      </c>
      <c r="H71" s="108">
        <v>0</v>
      </c>
      <c r="I71" s="108">
        <v>0</v>
      </c>
      <c r="J71" s="108">
        <v>0</v>
      </c>
      <c r="K71" s="108">
        <v>0</v>
      </c>
      <c r="L71" s="108">
        <v>0</v>
      </c>
      <c r="M71" s="108">
        <v>0</v>
      </c>
      <c r="N71" s="108">
        <v>0</v>
      </c>
    </row>
    <row r="72" spans="2:14" x14ac:dyDescent="0.25">
      <c r="B72" t="s">
        <v>370</v>
      </c>
      <c r="C72" s="108">
        <v>0</v>
      </c>
      <c r="D72" s="108">
        <v>0</v>
      </c>
      <c r="E72" s="108">
        <v>177</v>
      </c>
      <c r="F72" s="108">
        <v>460</v>
      </c>
      <c r="G72" s="108">
        <v>0</v>
      </c>
      <c r="H72" s="108">
        <v>99</v>
      </c>
      <c r="I72" s="108">
        <v>0</v>
      </c>
      <c r="J72" s="108">
        <v>188</v>
      </c>
      <c r="K72" s="108">
        <v>55</v>
      </c>
      <c r="L72" s="108">
        <v>286</v>
      </c>
      <c r="M72" s="108">
        <v>0</v>
      </c>
      <c r="N72" s="108">
        <v>0</v>
      </c>
    </row>
    <row r="73" spans="2:14" x14ac:dyDescent="0.25">
      <c r="B73" t="s">
        <v>371</v>
      </c>
      <c r="C73" s="108">
        <v>-15</v>
      </c>
      <c r="D73" s="108">
        <v>-3</v>
      </c>
      <c r="E73" s="108">
        <v>0</v>
      </c>
      <c r="F73" s="108">
        <v>-360</v>
      </c>
      <c r="G73" s="108">
        <v>-277</v>
      </c>
      <c r="H73" s="108">
        <v>0</v>
      </c>
      <c r="I73" s="108">
        <v>-99</v>
      </c>
      <c r="J73" s="108">
        <v>-188</v>
      </c>
      <c r="K73" s="108">
        <v>-55</v>
      </c>
      <c r="L73" s="108">
        <v>-208</v>
      </c>
      <c r="M73" s="108">
        <v>-85</v>
      </c>
      <c r="N73" s="108">
        <v>0</v>
      </c>
    </row>
    <row r="74" spans="2:14" x14ac:dyDescent="0.25">
      <c r="B74" t="s">
        <v>372</v>
      </c>
      <c r="C74" s="108">
        <v>-29</v>
      </c>
      <c r="D74" s="108">
        <v>-18</v>
      </c>
      <c r="E74" s="108">
        <v>-2</v>
      </c>
      <c r="F74" s="108">
        <v>-14</v>
      </c>
      <c r="G74" s="108">
        <v>-6</v>
      </c>
      <c r="H74" s="108">
        <v>-7</v>
      </c>
      <c r="I74" s="108">
        <v>-90</v>
      </c>
      <c r="J74" s="108">
        <v>-92</v>
      </c>
      <c r="K74" s="108">
        <v>-82</v>
      </c>
      <c r="L74" s="108">
        <v>-88</v>
      </c>
      <c r="M74" s="108">
        <v>-110</v>
      </c>
      <c r="N74" s="108">
        <v>-130</v>
      </c>
    </row>
    <row r="75" spans="2:14" x14ac:dyDescent="0.25">
      <c r="B75" t="s">
        <v>373</v>
      </c>
      <c r="C75" s="115">
        <v>-2481</v>
      </c>
      <c r="D75" s="115">
        <v>-2912</v>
      </c>
      <c r="E75" s="115">
        <v>-3354</v>
      </c>
      <c r="F75" s="115">
        <v>-3572</v>
      </c>
      <c r="G75" s="115">
        <v>-3911</v>
      </c>
      <c r="H75" s="115">
        <v>-4554</v>
      </c>
      <c r="I75" s="115">
        <v>-5196</v>
      </c>
      <c r="J75" s="115">
        <v>-8811</v>
      </c>
      <c r="K75" s="115">
        <v>-7526</v>
      </c>
      <c r="L75" s="115">
        <v>-8474</v>
      </c>
      <c r="M75" s="115">
        <v>-9416</v>
      </c>
      <c r="N75" s="115">
        <v>-12473</v>
      </c>
    </row>
    <row r="76" spans="2:14" x14ac:dyDescent="0.25">
      <c r="B76" t="s">
        <v>374</v>
      </c>
      <c r="C76" s="108">
        <v>0</v>
      </c>
      <c r="D76" s="108">
        <v>0</v>
      </c>
      <c r="E76" s="108">
        <v>0</v>
      </c>
      <c r="F76" s="108">
        <v>0</v>
      </c>
      <c r="G76" s="108">
        <v>0</v>
      </c>
      <c r="H76" s="108">
        <v>0</v>
      </c>
      <c r="I76" s="108">
        <v>-373</v>
      </c>
      <c r="J76" s="108">
        <v>-406</v>
      </c>
      <c r="K76" s="108">
        <v>-407</v>
      </c>
      <c r="L76" s="108">
        <v>-467</v>
      </c>
      <c r="M76" s="108">
        <v>-423</v>
      </c>
      <c r="N76" s="108">
        <v>-498</v>
      </c>
    </row>
    <row r="77" spans="2:14" x14ac:dyDescent="0.25">
      <c r="B77" t="s">
        <v>375</v>
      </c>
      <c r="C77" s="108">
        <v>-437</v>
      </c>
      <c r="D77" s="108">
        <v>-533</v>
      </c>
      <c r="E77" s="108">
        <v>-685</v>
      </c>
      <c r="F77" s="108">
        <v>-728</v>
      </c>
      <c r="G77" s="108">
        <v>-781</v>
      </c>
      <c r="H77" s="108">
        <v>-928</v>
      </c>
      <c r="I77" s="115">
        <v>-1061</v>
      </c>
      <c r="J77" s="108">
        <v>0</v>
      </c>
      <c r="K77" s="108">
        <v>0</v>
      </c>
      <c r="L77" s="108">
        <v>-2</v>
      </c>
      <c r="M77" s="108">
        <v>0</v>
      </c>
      <c r="N77" s="108">
        <v>0</v>
      </c>
    </row>
    <row r="78" spans="2:14" x14ac:dyDescent="0.25">
      <c r="I78" s="89"/>
    </row>
    <row r="79" spans="2:14" x14ac:dyDescent="0.25">
      <c r="B79" s="110" t="s">
        <v>261</v>
      </c>
      <c r="C79" s="110">
        <v>383</v>
      </c>
      <c r="D79" s="110">
        <v>-33</v>
      </c>
      <c r="E79" s="110">
        <v>25</v>
      </c>
      <c r="F79" s="110">
        <v>-202</v>
      </c>
      <c r="G79" s="110">
        <v>21</v>
      </c>
      <c r="H79" s="110">
        <v>-28</v>
      </c>
      <c r="I79" s="114">
        <v>2595</v>
      </c>
      <c r="J79" s="114">
        <v>-1374</v>
      </c>
      <c r="K79" s="110">
        <v>-695</v>
      </c>
      <c r="L79" s="110">
        <v>-446</v>
      </c>
      <c r="M79" s="110">
        <v>111</v>
      </c>
      <c r="N79" s="114">
        <v>5258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showGridLines="0" topLeftCell="A9" workbookViewId="0">
      <selection activeCell="B10" sqref="B10"/>
    </sheetView>
  </sheetViews>
  <sheetFormatPr defaultRowHeight="15" x14ac:dyDescent="0.25"/>
  <sheetData>
    <row r="2" spans="2:2" x14ac:dyDescent="0.25">
      <c r="B2" s="1" t="s">
        <v>202</v>
      </c>
    </row>
    <row r="3" spans="2:2" x14ac:dyDescent="0.25">
      <c r="B3" s="1" t="s">
        <v>208</v>
      </c>
    </row>
    <row r="4" spans="2:2" x14ac:dyDescent="0.25">
      <c r="B4" s="1" t="s">
        <v>211</v>
      </c>
    </row>
    <row r="5" spans="2:2" x14ac:dyDescent="0.25">
      <c r="B5" s="1" t="s">
        <v>212</v>
      </c>
    </row>
    <row r="7" spans="2:2" x14ac:dyDescent="0.25">
      <c r="B7" s="1" t="s">
        <v>299</v>
      </c>
    </row>
    <row r="8" spans="2:2" x14ac:dyDescent="0.25">
      <c r="B8" s="1" t="s">
        <v>300</v>
      </c>
    </row>
    <row r="9" spans="2:2" x14ac:dyDescent="0.25">
      <c r="B9" s="1" t="s">
        <v>301</v>
      </c>
    </row>
    <row r="11" spans="2:2" x14ac:dyDescent="0.25">
      <c r="B11" s="1" t="s">
        <v>339</v>
      </c>
    </row>
    <row r="13" spans="2:2" x14ac:dyDescent="0.25">
      <c r="B13" s="1" t="s">
        <v>395</v>
      </c>
    </row>
    <row r="15" spans="2:2" x14ac:dyDescent="0.25">
      <c r="B15" s="1" t="s">
        <v>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showGridLines="0" workbookViewId="0">
      <pane ySplit="2" topLeftCell="A18" activePane="bottomLeft" state="frozen"/>
      <selection pane="bottomLeft" activeCell="D33" sqref="D33"/>
    </sheetView>
  </sheetViews>
  <sheetFormatPr defaultRowHeight="15" x14ac:dyDescent="0.25"/>
  <cols>
    <col min="1" max="1" width="1.85546875" customWidth="1"/>
    <col min="2" max="2" width="39.28515625" bestFit="1" customWidth="1"/>
    <col min="3" max="3" width="14.85546875" customWidth="1"/>
    <col min="5" max="5" width="11.42578125" customWidth="1"/>
    <col min="6" max="6" width="13.28515625" bestFit="1" customWidth="1"/>
    <col min="7" max="7" width="10.85546875" customWidth="1"/>
    <col min="8" max="8" width="30.7109375" customWidth="1"/>
    <col min="10" max="10" width="10.42578125" customWidth="1"/>
    <col min="11" max="11" width="12.42578125" customWidth="1"/>
  </cols>
  <sheetData>
    <row r="2" spans="2:16" ht="18.75" x14ac:dyDescent="0.3">
      <c r="B2" s="2" t="s">
        <v>0</v>
      </c>
      <c r="C2" s="2"/>
      <c r="D2" s="3"/>
      <c r="E2" s="3"/>
      <c r="F2" s="3"/>
      <c r="G2" s="3"/>
      <c r="H2" s="3"/>
      <c r="I2" s="3"/>
      <c r="J2" s="3"/>
      <c r="K2" s="3"/>
      <c r="L2" s="36"/>
      <c r="M2" s="36"/>
      <c r="N2" s="36"/>
      <c r="O2" s="36"/>
      <c r="P2" s="36"/>
    </row>
    <row r="4" spans="2:16" x14ac:dyDescent="0.25">
      <c r="B4" s="4" t="s">
        <v>1</v>
      </c>
      <c r="C4" s="4"/>
    </row>
    <row r="6" spans="2:16" x14ac:dyDescent="0.25">
      <c r="B6" s="1" t="s">
        <v>2</v>
      </c>
    </row>
    <row r="7" spans="2:16" x14ac:dyDescent="0.25">
      <c r="B7" s="6"/>
      <c r="C7" s="6"/>
      <c r="D7" s="7"/>
      <c r="E7" s="7"/>
      <c r="F7" s="7"/>
      <c r="G7" s="8"/>
      <c r="H7" s="7" t="s">
        <v>7</v>
      </c>
      <c r="I7" s="7" t="s">
        <v>7</v>
      </c>
      <c r="J7" s="7" t="s">
        <v>10</v>
      </c>
      <c r="K7" s="7" t="s">
        <v>12</v>
      </c>
    </row>
    <row r="8" spans="2:16" ht="17.25" x14ac:dyDescent="0.25">
      <c r="B8" s="9" t="s">
        <v>43</v>
      </c>
      <c r="C8" s="9"/>
      <c r="D8" s="10" t="s">
        <v>3</v>
      </c>
      <c r="E8" s="10" t="s">
        <v>4</v>
      </c>
      <c r="F8" s="10" t="s">
        <v>5</v>
      </c>
      <c r="G8" s="11" t="s">
        <v>14</v>
      </c>
      <c r="H8" s="10" t="s">
        <v>8</v>
      </c>
      <c r="I8" s="10" t="s">
        <v>9</v>
      </c>
      <c r="J8" s="10" t="s">
        <v>11</v>
      </c>
      <c r="K8" s="10" t="s">
        <v>13</v>
      </c>
    </row>
    <row r="10" spans="2:16" x14ac:dyDescent="0.25">
      <c r="B10" s="52" t="str">
        <f>IFERROR('Beta Comps'!C3,0)</f>
        <v>Hind. Unilever</v>
      </c>
      <c r="C10" s="12"/>
      <c r="D10" s="13" t="s">
        <v>16</v>
      </c>
      <c r="E10" s="53">
        <f>IFERROR('Beta Comps'!F3,0)</f>
        <v>1648</v>
      </c>
      <c r="F10" s="53">
        <f>IFERROR('Beta Comps'!E3,0)</f>
        <v>618590.57999999996</v>
      </c>
      <c r="G10" s="5">
        <v>0.3</v>
      </c>
      <c r="H10" s="14">
        <f>IFERROR(E10/F10,0)</f>
        <v>2.6641207501090628E-3</v>
      </c>
      <c r="I10" s="14">
        <f>IFERROR(E10/SUM(F10,E10),0)</f>
        <v>2.6570420691985979E-3</v>
      </c>
      <c r="J10" s="54">
        <f>'Beta Regression'!R9</f>
        <v>0.56941613798943413</v>
      </c>
      <c r="K10" s="15">
        <f>IFERROR(J10/(1+(1-G10)*H10),0)</f>
        <v>0.56835621927138402</v>
      </c>
    </row>
    <row r="11" spans="2:16" x14ac:dyDescent="0.25">
      <c r="B11" s="52" t="str">
        <f>IFERROR('Beta Comps'!C4,0)</f>
        <v>ITC</v>
      </c>
      <c r="C11" s="12"/>
      <c r="D11" s="12" t="s">
        <v>16</v>
      </c>
      <c r="E11" s="53">
        <f>IFERROR('Beta Comps'!F4,0)</f>
        <v>284.54000000000002</v>
      </c>
      <c r="F11" s="53">
        <f>IFERROR('Beta Comps'!E4,0)</f>
        <v>510334.97</v>
      </c>
      <c r="G11" s="5">
        <v>0.3</v>
      </c>
      <c r="H11" s="14">
        <f t="shared" ref="H11:H14" si="0">IFERROR(E11/F11,0)</f>
        <v>5.5755536407783315E-4</v>
      </c>
      <c r="I11" s="14">
        <f t="shared" ref="I11:I14" si="1">IFERROR(E11/SUM(F11,E11),0)</f>
        <v>5.5724466932334808E-4</v>
      </c>
      <c r="J11" s="54">
        <f>'Beta Regression'!M21</f>
        <v>0.59</v>
      </c>
      <c r="K11" s="15">
        <f t="shared" ref="K11:K14" si="2">IFERROR(J11/(1+(1-G11)*H11),0)</f>
        <v>0.58976981947150764</v>
      </c>
    </row>
    <row r="12" spans="2:16" x14ac:dyDescent="0.25">
      <c r="B12" s="52" t="str">
        <f>IFERROR('Beta Comps'!C5,0)</f>
        <v>Nestle India</v>
      </c>
      <c r="C12" s="12"/>
      <c r="D12" s="13" t="s">
        <v>16</v>
      </c>
      <c r="E12" s="53">
        <f>IFERROR('Beta Comps'!F5,0)</f>
        <v>1166.8499999999999</v>
      </c>
      <c r="F12" s="53">
        <f>IFERROR('Beta Comps'!E5,0)</f>
        <v>233046.39</v>
      </c>
      <c r="G12" s="5">
        <v>0.3</v>
      </c>
      <c r="H12" s="14">
        <f t="shared" si="0"/>
        <v>5.0069430382508814E-3</v>
      </c>
      <c r="I12" s="14">
        <f t="shared" si="1"/>
        <v>4.9819984557662057E-3</v>
      </c>
      <c r="J12" s="54">
        <f>'Beta Regression'!M22</f>
        <v>0.67</v>
      </c>
      <c r="K12" s="15">
        <f t="shared" si="2"/>
        <v>0.66765994527954464</v>
      </c>
    </row>
    <row r="13" spans="2:16" x14ac:dyDescent="0.25">
      <c r="B13" s="52" t="str">
        <f>IFERROR('Beta Comps'!C6,0)</f>
        <v>Varun Beverages</v>
      </c>
      <c r="C13" s="12"/>
      <c r="D13" s="13" t="s">
        <v>16</v>
      </c>
      <c r="E13" s="53">
        <f>IFERROR('Beta Comps'!F6,0)</f>
        <v>2138.25</v>
      </c>
      <c r="F13" s="53">
        <f>IFERROR('Beta Comps'!E6,0)</f>
        <v>158850.03</v>
      </c>
      <c r="G13" s="5">
        <v>0.3</v>
      </c>
      <c r="H13" s="14">
        <f t="shared" si="0"/>
        <v>1.3460809544700747E-2</v>
      </c>
      <c r="I13" s="14">
        <f t="shared" si="1"/>
        <v>1.3282022765880846E-2</v>
      </c>
      <c r="J13" s="54">
        <f>'Beta Regression'!M23</f>
        <v>0.7</v>
      </c>
      <c r="K13" s="15">
        <f t="shared" si="2"/>
        <v>0.69346577251726338</v>
      </c>
    </row>
    <row r="14" spans="2:16" x14ac:dyDescent="0.25">
      <c r="B14" s="52" t="str">
        <f>IFERROR('Beta Comps'!C7,0)</f>
        <v>Britannia Inds.</v>
      </c>
      <c r="C14" s="12"/>
      <c r="D14" s="13" t="s">
        <v>16</v>
      </c>
      <c r="E14" s="53">
        <f>IFERROR('Beta Comps'!F7,0)</f>
        <v>1246.51</v>
      </c>
      <c r="F14" s="53">
        <f>IFERROR('Beta Comps'!E7,0)</f>
        <v>146367.21</v>
      </c>
      <c r="G14" s="5">
        <v>0.3</v>
      </c>
      <c r="H14" s="14">
        <f t="shared" si="0"/>
        <v>8.5163200145715705E-3</v>
      </c>
      <c r="I14" s="14">
        <f t="shared" si="1"/>
        <v>8.444404761291836E-3</v>
      </c>
      <c r="J14" s="54">
        <f>'Beta Regression'!M24</f>
        <v>0.75</v>
      </c>
      <c r="K14" s="15">
        <f t="shared" si="2"/>
        <v>0.74555542797076002</v>
      </c>
    </row>
    <row r="16" spans="2:16" x14ac:dyDescent="0.25">
      <c r="F16" s="16" t="s">
        <v>19</v>
      </c>
      <c r="G16" s="18">
        <f>IFERROR(AVERAGE(G10:G14),0)</f>
        <v>0.3</v>
      </c>
      <c r="H16" s="18">
        <f t="shared" ref="H16:K16" si="3">IFERROR(AVERAGE(H10:H14),0)</f>
        <v>6.0411497423420186E-3</v>
      </c>
      <c r="I16" s="18">
        <f t="shared" si="3"/>
        <v>5.9845425442921667E-3</v>
      </c>
      <c r="J16" s="20">
        <f t="shared" si="3"/>
        <v>0.65588322759788686</v>
      </c>
      <c r="K16" s="20">
        <f t="shared" si="3"/>
        <v>0.65296143690209196</v>
      </c>
    </row>
    <row r="17" spans="2:11" x14ac:dyDescent="0.25">
      <c r="F17" s="17" t="s">
        <v>20</v>
      </c>
      <c r="G17" s="19">
        <f>IFERROR(MEDIAN(G10:G14),0)</f>
        <v>0.3</v>
      </c>
      <c r="H17" s="19">
        <f t="shared" ref="H17:K17" si="4">IFERROR(MEDIAN(H10:H14),0)</f>
        <v>5.0069430382508814E-3</v>
      </c>
      <c r="I17" s="19">
        <f t="shared" si="4"/>
        <v>4.9819984557662057E-3</v>
      </c>
      <c r="J17" s="21">
        <f t="shared" si="4"/>
        <v>0.67</v>
      </c>
      <c r="K17" s="21">
        <f t="shared" si="4"/>
        <v>0.66765994527954464</v>
      </c>
    </row>
    <row r="20" spans="2:11" x14ac:dyDescent="0.25">
      <c r="B20" s="17" t="s">
        <v>21</v>
      </c>
      <c r="C20" s="17"/>
      <c r="D20" s="10"/>
      <c r="E20" s="10"/>
      <c r="H20" s="17" t="s">
        <v>24</v>
      </c>
      <c r="I20" s="10"/>
      <c r="J20" s="10"/>
      <c r="K20" s="10"/>
    </row>
    <row r="22" spans="2:11" x14ac:dyDescent="0.25">
      <c r="B22" t="s">
        <v>22</v>
      </c>
      <c r="E22" s="28">
        <v>2.6031553398058256E-3</v>
      </c>
      <c r="H22" t="s">
        <v>25</v>
      </c>
      <c r="K22" s="28">
        <v>6.4600000000000005E-2</v>
      </c>
    </row>
    <row r="23" spans="2:11" x14ac:dyDescent="0.25">
      <c r="B23" t="s">
        <v>6</v>
      </c>
      <c r="E23" s="23">
        <f>IFERROR(G10,0)</f>
        <v>0.3</v>
      </c>
      <c r="H23" t="s">
        <v>26</v>
      </c>
      <c r="K23" s="61">
        <f>IFERROR(Rm!F7-WACC!K22,0)</f>
        <v>8.874799999999998E-2</v>
      </c>
    </row>
    <row r="24" spans="2:11" ht="17.25" x14ac:dyDescent="0.25">
      <c r="B24" s="24" t="s">
        <v>23</v>
      </c>
      <c r="C24" s="24"/>
      <c r="D24" s="24"/>
      <c r="E24" s="27">
        <f>IFERROR(E22*(1-E23),0)</f>
        <v>1.8222087378640779E-3</v>
      </c>
      <c r="H24" t="s">
        <v>27</v>
      </c>
      <c r="K24" s="34">
        <f>K33</f>
        <v>0.67047373204953187</v>
      </c>
    </row>
    <row r="25" spans="2:11" x14ac:dyDescent="0.25">
      <c r="H25" s="24" t="s">
        <v>24</v>
      </c>
      <c r="I25" s="24"/>
      <c r="J25" s="24"/>
      <c r="K25" s="27">
        <f>IFERROR(K22+(K23*K24),0)</f>
        <v>0.12410320277193185</v>
      </c>
    </row>
    <row r="28" spans="2:11" x14ac:dyDescent="0.25">
      <c r="B28" s="17" t="s">
        <v>28</v>
      </c>
      <c r="C28" s="17"/>
      <c r="D28" s="10"/>
      <c r="E28" s="10"/>
      <c r="F28" s="26"/>
      <c r="H28" s="17" t="s">
        <v>33</v>
      </c>
      <c r="I28" s="10"/>
      <c r="J28" s="10"/>
      <c r="K28" s="10"/>
    </row>
    <row r="30" spans="2:11" x14ac:dyDescent="0.25">
      <c r="D30" s="17" t="s">
        <v>31</v>
      </c>
      <c r="E30" s="17" t="s">
        <v>32</v>
      </c>
      <c r="F30" s="1"/>
      <c r="H30" t="s">
        <v>42</v>
      </c>
      <c r="K30" s="31">
        <f>K17</f>
        <v>0.66765994527954464</v>
      </c>
    </row>
    <row r="31" spans="2:11" x14ac:dyDescent="0.25">
      <c r="B31" t="s">
        <v>4</v>
      </c>
      <c r="C31" s="56">
        <f>E10</f>
        <v>1648</v>
      </c>
      <c r="D31" s="23">
        <f>IFERROR(C31/$C$33,0)</f>
        <v>2.6570420691985979E-3</v>
      </c>
      <c r="E31" s="55">
        <f>I16</f>
        <v>5.9845425442921667E-3</v>
      </c>
      <c r="H31" t="s">
        <v>34</v>
      </c>
      <c r="K31" s="32">
        <f>E35</f>
        <v>6.0205729190673379E-3</v>
      </c>
    </row>
    <row r="32" spans="2:11" x14ac:dyDescent="0.25">
      <c r="B32" t="s">
        <v>29</v>
      </c>
      <c r="C32" s="56">
        <f>F10</f>
        <v>618590.57999999996</v>
      </c>
      <c r="D32" s="23">
        <f t="shared" ref="D32:D33" si="5">IFERROR(C32/$C$33,0)</f>
        <v>0.99734295793080141</v>
      </c>
      <c r="E32" s="23">
        <f>IFERROR(E33-E31,0)</f>
        <v>0.99401545745570785</v>
      </c>
      <c r="H32" t="s">
        <v>6</v>
      </c>
      <c r="K32" s="32">
        <f>E23</f>
        <v>0.3</v>
      </c>
    </row>
    <row r="33" spans="1:11" x14ac:dyDescent="0.25">
      <c r="B33" s="24" t="s">
        <v>30</v>
      </c>
      <c r="C33" s="30">
        <f>IFERROR(SUM(C31:C32),0)</f>
        <v>620238.57999999996</v>
      </c>
      <c r="D33" s="25">
        <f t="shared" si="5"/>
        <v>1</v>
      </c>
      <c r="E33" s="25">
        <f>IFERROR(D33,0)</f>
        <v>1</v>
      </c>
      <c r="F33" s="26"/>
      <c r="H33" s="24" t="s">
        <v>33</v>
      </c>
      <c r="I33" s="24"/>
      <c r="J33" s="24"/>
      <c r="K33" s="33">
        <f>IFERROR(K30*(1+(1-K32)*K31),0)</f>
        <v>0.67047373204953187</v>
      </c>
    </row>
    <row r="35" spans="1:11" x14ac:dyDescent="0.25">
      <c r="B35" t="s">
        <v>35</v>
      </c>
      <c r="D35" s="27">
        <f>IFERROR(D31/D32,0)</f>
        <v>2.6641207501090624E-3</v>
      </c>
      <c r="E35" s="27">
        <f t="shared" ref="E35" si="6">IFERROR(E31/E32,0)</f>
        <v>6.0205729190673379E-3</v>
      </c>
    </row>
    <row r="36" spans="1:11" x14ac:dyDescent="0.25">
      <c r="H36" s="17" t="s">
        <v>36</v>
      </c>
      <c r="I36" s="10"/>
      <c r="J36" s="10"/>
      <c r="K36" s="10"/>
    </row>
    <row r="37" spans="1:11" x14ac:dyDescent="0.25">
      <c r="A37" s="22"/>
      <c r="B37" s="22"/>
      <c r="C37" s="22"/>
      <c r="J37" s="7"/>
      <c r="K37" s="7"/>
    </row>
    <row r="38" spans="1:11" x14ac:dyDescent="0.25">
      <c r="A38" s="22"/>
      <c r="B38" s="22"/>
      <c r="C38" s="22"/>
      <c r="J38" s="29" t="s">
        <v>37</v>
      </c>
      <c r="K38" s="29" t="s">
        <v>38</v>
      </c>
    </row>
    <row r="39" spans="1:11" x14ac:dyDescent="0.25">
      <c r="A39" s="22"/>
      <c r="B39" s="22"/>
      <c r="C39" s="22"/>
      <c r="H39" t="s">
        <v>39</v>
      </c>
      <c r="J39" s="32">
        <f>E24</f>
        <v>1.8222087378640779E-3</v>
      </c>
      <c r="K39" s="32">
        <f>E31</f>
        <v>5.9845425442921667E-3</v>
      </c>
    </row>
    <row r="40" spans="1:11" x14ac:dyDescent="0.25">
      <c r="A40" s="22"/>
      <c r="B40" s="22"/>
      <c r="C40" s="22"/>
      <c r="H40" t="s">
        <v>40</v>
      </c>
      <c r="J40" s="32">
        <f>K25</f>
        <v>0.12410320277193185</v>
      </c>
      <c r="K40" s="32">
        <f>E32</f>
        <v>0.99401545745570785</v>
      </c>
    </row>
    <row r="41" spans="1:11" x14ac:dyDescent="0.25">
      <c r="H41" s="24" t="s">
        <v>41</v>
      </c>
      <c r="I41" s="24"/>
      <c r="J41" s="24"/>
      <c r="K41" s="35">
        <f>IFERROR(SUMPRODUCT(J39:J40,K39:K40),0)</f>
        <v>0.12337140696077663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252"/>
  <sheetViews>
    <sheetView showGridLines="0" workbookViewId="0">
      <selection activeCell="D27" sqref="D27"/>
    </sheetView>
  </sheetViews>
  <sheetFormatPr defaultRowHeight="15" x14ac:dyDescent="0.25"/>
  <cols>
    <col min="1" max="1" width="12.140625" bestFit="1" customWidth="1"/>
    <col min="9" max="9" width="12.140625" bestFit="1" customWidth="1"/>
  </cols>
  <sheetData>
    <row r="1" spans="1:12" x14ac:dyDescent="0.25">
      <c r="A1" t="s">
        <v>44</v>
      </c>
      <c r="B1" t="s">
        <v>45</v>
      </c>
      <c r="I1" t="s">
        <v>44</v>
      </c>
      <c r="J1" t="s">
        <v>45</v>
      </c>
    </row>
    <row r="2" spans="1:12" x14ac:dyDescent="0.25">
      <c r="A2" t="s">
        <v>46</v>
      </c>
      <c r="B2">
        <v>2666</v>
      </c>
      <c r="E2" s="1" t="s">
        <v>150</v>
      </c>
      <c r="I2" t="s">
        <v>46</v>
      </c>
      <c r="J2">
        <v>24741</v>
      </c>
    </row>
    <row r="3" spans="1:12" x14ac:dyDescent="0.25">
      <c r="A3" t="s">
        <v>47</v>
      </c>
      <c r="B3">
        <v>2659.8</v>
      </c>
      <c r="I3" t="s">
        <v>47</v>
      </c>
      <c r="J3">
        <v>24426.85</v>
      </c>
      <c r="L3" s="1" t="s">
        <v>156</v>
      </c>
    </row>
    <row r="4" spans="1:12" x14ac:dyDescent="0.25">
      <c r="A4" t="s">
        <v>48</v>
      </c>
      <c r="B4">
        <v>2629.9</v>
      </c>
      <c r="I4" t="s">
        <v>48</v>
      </c>
      <c r="J4">
        <v>24870.1</v>
      </c>
    </row>
    <row r="5" spans="1:12" x14ac:dyDescent="0.25">
      <c r="A5" t="s">
        <v>49</v>
      </c>
      <c r="B5">
        <v>2480.6</v>
      </c>
      <c r="I5" t="s">
        <v>49</v>
      </c>
      <c r="J5">
        <v>24631.3</v>
      </c>
    </row>
    <row r="6" spans="1:12" x14ac:dyDescent="0.25">
      <c r="A6" t="s">
        <v>50</v>
      </c>
      <c r="B6">
        <v>2498.6</v>
      </c>
      <c r="I6" t="s">
        <v>50</v>
      </c>
      <c r="J6">
        <v>24363.3</v>
      </c>
    </row>
    <row r="7" spans="1:12" x14ac:dyDescent="0.25">
      <c r="A7" t="s">
        <v>51</v>
      </c>
      <c r="B7">
        <v>2553.6999999999998</v>
      </c>
      <c r="I7" t="s">
        <v>51</v>
      </c>
      <c r="J7">
        <v>24565.35</v>
      </c>
    </row>
    <row r="8" spans="1:12" x14ac:dyDescent="0.25">
      <c r="A8" t="s">
        <v>52</v>
      </c>
      <c r="B8">
        <v>2415.4</v>
      </c>
      <c r="I8" t="s">
        <v>52</v>
      </c>
      <c r="J8">
        <v>24837</v>
      </c>
    </row>
    <row r="9" spans="1:12" x14ac:dyDescent="0.25">
      <c r="A9" t="s">
        <v>53</v>
      </c>
      <c r="B9">
        <v>2489.6</v>
      </c>
      <c r="I9" t="s">
        <v>53</v>
      </c>
      <c r="J9">
        <v>24968.400000000001</v>
      </c>
    </row>
    <row r="10" spans="1:12" x14ac:dyDescent="0.25">
      <c r="A10" t="s">
        <v>54</v>
      </c>
      <c r="B10">
        <v>2519.6</v>
      </c>
      <c r="I10" t="s">
        <v>54</v>
      </c>
      <c r="J10">
        <v>25149.85</v>
      </c>
    </row>
    <row r="11" spans="1:12" x14ac:dyDescent="0.25">
      <c r="A11" t="s">
        <v>55</v>
      </c>
      <c r="B11">
        <v>2339.3000000000002</v>
      </c>
      <c r="I11" t="s">
        <v>55</v>
      </c>
      <c r="J11">
        <v>25461</v>
      </c>
    </row>
    <row r="12" spans="1:12" x14ac:dyDescent="0.25">
      <c r="A12" t="s">
        <v>56</v>
      </c>
      <c r="B12">
        <v>2306.9</v>
      </c>
      <c r="I12" t="s">
        <v>56</v>
      </c>
      <c r="J12">
        <v>25637.8</v>
      </c>
    </row>
    <row r="13" spans="1:12" x14ac:dyDescent="0.25">
      <c r="A13" t="s">
        <v>57</v>
      </c>
      <c r="B13">
        <v>2306.1999999999998</v>
      </c>
      <c r="I13" t="s">
        <v>57</v>
      </c>
      <c r="J13">
        <v>25112.400000000001</v>
      </c>
    </row>
    <row r="14" spans="1:12" x14ac:dyDescent="0.25">
      <c r="A14" t="s">
        <v>58</v>
      </c>
      <c r="B14">
        <v>2319</v>
      </c>
      <c r="I14" t="s">
        <v>58</v>
      </c>
      <c r="J14">
        <v>24718.6</v>
      </c>
    </row>
    <row r="15" spans="1:12" x14ac:dyDescent="0.25">
      <c r="A15" t="s">
        <v>59</v>
      </c>
      <c r="B15">
        <v>2389.8000000000002</v>
      </c>
      <c r="I15" t="s">
        <v>59</v>
      </c>
      <c r="J15">
        <v>25003.05</v>
      </c>
    </row>
    <row r="16" spans="1:12" x14ac:dyDescent="0.25">
      <c r="A16" t="s">
        <v>60</v>
      </c>
      <c r="B16">
        <v>2348.3000000000002</v>
      </c>
      <c r="I16" t="s">
        <v>60</v>
      </c>
      <c r="J16">
        <v>24750.7</v>
      </c>
    </row>
    <row r="17" spans="1:10" x14ac:dyDescent="0.25">
      <c r="A17" t="s">
        <v>61</v>
      </c>
      <c r="B17">
        <v>2359.1999999999998</v>
      </c>
      <c r="I17" t="s">
        <v>61</v>
      </c>
      <c r="J17">
        <v>24853.15</v>
      </c>
    </row>
    <row r="18" spans="1:10" x14ac:dyDescent="0.25">
      <c r="A18" t="s">
        <v>62</v>
      </c>
      <c r="B18">
        <v>2381.4</v>
      </c>
      <c r="I18" t="s">
        <v>62</v>
      </c>
      <c r="J18">
        <v>25019.8</v>
      </c>
    </row>
    <row r="19" spans="1:10" x14ac:dyDescent="0.25">
      <c r="A19" t="s">
        <v>63</v>
      </c>
      <c r="B19">
        <v>2332.9</v>
      </c>
      <c r="I19" t="s">
        <v>63</v>
      </c>
      <c r="J19">
        <v>24008</v>
      </c>
    </row>
    <row r="20" spans="1:10" x14ac:dyDescent="0.25">
      <c r="A20" t="s">
        <v>64</v>
      </c>
      <c r="B20">
        <v>2323.9</v>
      </c>
      <c r="I20" t="s">
        <v>64</v>
      </c>
      <c r="J20">
        <v>24346.7</v>
      </c>
    </row>
    <row r="21" spans="1:10" x14ac:dyDescent="0.25">
      <c r="A21" t="s">
        <v>65</v>
      </c>
      <c r="B21">
        <v>2332.1999999999998</v>
      </c>
      <c r="I21" t="s">
        <v>65</v>
      </c>
      <c r="J21">
        <v>24039.35</v>
      </c>
    </row>
    <row r="22" spans="1:10" x14ac:dyDescent="0.25">
      <c r="A22" t="s">
        <v>66</v>
      </c>
      <c r="B22">
        <v>2375</v>
      </c>
      <c r="I22" t="s">
        <v>66</v>
      </c>
      <c r="J22">
        <v>23851.65</v>
      </c>
    </row>
    <row r="23" spans="1:10" x14ac:dyDescent="0.25">
      <c r="A23" t="s">
        <v>67</v>
      </c>
      <c r="B23">
        <v>2366.15</v>
      </c>
      <c r="I23" t="s">
        <v>67</v>
      </c>
      <c r="J23">
        <v>22828.55</v>
      </c>
    </row>
    <row r="24" spans="1:10" x14ac:dyDescent="0.25">
      <c r="A24" t="s">
        <v>68</v>
      </c>
      <c r="B24">
        <v>2244.5500000000002</v>
      </c>
      <c r="I24" t="s">
        <v>68</v>
      </c>
      <c r="J24">
        <v>22904.45</v>
      </c>
    </row>
    <row r="25" spans="1:10" x14ac:dyDescent="0.25">
      <c r="A25" t="s">
        <v>69</v>
      </c>
      <c r="B25">
        <v>2258.85</v>
      </c>
      <c r="I25" t="s">
        <v>69</v>
      </c>
      <c r="J25">
        <v>23519.35</v>
      </c>
    </row>
    <row r="26" spans="1:10" x14ac:dyDescent="0.25">
      <c r="A26" t="s">
        <v>70</v>
      </c>
      <c r="B26">
        <v>2246.1999999999998</v>
      </c>
      <c r="I26" t="s">
        <v>70</v>
      </c>
      <c r="J26">
        <v>23350.400000000001</v>
      </c>
    </row>
    <row r="27" spans="1:10" x14ac:dyDescent="0.25">
      <c r="A27" t="s">
        <v>71</v>
      </c>
      <c r="B27">
        <v>2174.8000000000002</v>
      </c>
      <c r="I27" t="s">
        <v>71</v>
      </c>
      <c r="J27">
        <v>22397.200000000001</v>
      </c>
    </row>
    <row r="28" spans="1:10" x14ac:dyDescent="0.25">
      <c r="A28" t="s">
        <v>72</v>
      </c>
      <c r="B28">
        <v>2117.3210208675077</v>
      </c>
      <c r="I28" t="s">
        <v>72</v>
      </c>
      <c r="J28">
        <v>22552.5</v>
      </c>
    </row>
    <row r="29" spans="1:10" x14ac:dyDescent="0.25">
      <c r="A29" t="s">
        <v>73</v>
      </c>
      <c r="B29">
        <v>2190.25</v>
      </c>
      <c r="I29" t="s">
        <v>73</v>
      </c>
      <c r="J29">
        <v>22124.7</v>
      </c>
    </row>
    <row r="30" spans="1:10" x14ac:dyDescent="0.25">
      <c r="A30" t="s">
        <v>74</v>
      </c>
      <c r="B30">
        <v>2241.65</v>
      </c>
      <c r="I30" t="s">
        <v>74</v>
      </c>
      <c r="J30">
        <v>22795.9</v>
      </c>
    </row>
    <row r="31" spans="1:10" x14ac:dyDescent="0.25">
      <c r="A31" t="s">
        <v>75</v>
      </c>
      <c r="B31">
        <v>2318.35</v>
      </c>
      <c r="I31" t="s">
        <v>75</v>
      </c>
      <c r="J31">
        <v>22929.25</v>
      </c>
    </row>
    <row r="32" spans="1:10" x14ac:dyDescent="0.25">
      <c r="A32" t="s">
        <v>76</v>
      </c>
      <c r="B32">
        <v>2363.85</v>
      </c>
      <c r="I32" t="s">
        <v>76</v>
      </c>
      <c r="J32">
        <v>23559.95</v>
      </c>
    </row>
    <row r="33" spans="1:10" x14ac:dyDescent="0.25">
      <c r="A33" t="s">
        <v>77</v>
      </c>
      <c r="B33">
        <v>2468.8000000000002</v>
      </c>
      <c r="I33" t="s">
        <v>77</v>
      </c>
      <c r="J33">
        <v>23508.400000000001</v>
      </c>
    </row>
    <row r="34" spans="1:10" x14ac:dyDescent="0.25">
      <c r="A34" t="s">
        <v>78</v>
      </c>
      <c r="B34">
        <v>2368.1</v>
      </c>
      <c r="I34" t="s">
        <v>78</v>
      </c>
      <c r="J34">
        <v>23092.2</v>
      </c>
    </row>
    <row r="35" spans="1:10" x14ac:dyDescent="0.25">
      <c r="A35" t="s">
        <v>79</v>
      </c>
      <c r="B35">
        <v>2354</v>
      </c>
      <c r="I35" t="s">
        <v>79</v>
      </c>
      <c r="J35">
        <v>23203.200000000001</v>
      </c>
    </row>
    <row r="36" spans="1:10" x14ac:dyDescent="0.25">
      <c r="A36" t="s">
        <v>80</v>
      </c>
      <c r="B36">
        <v>2442.0500000000002</v>
      </c>
      <c r="I36" t="s">
        <v>80</v>
      </c>
      <c r="J36">
        <v>23431.5</v>
      </c>
    </row>
    <row r="37" spans="1:10" x14ac:dyDescent="0.25">
      <c r="A37" t="s">
        <v>81</v>
      </c>
      <c r="B37">
        <v>2406.25</v>
      </c>
      <c r="I37" t="s">
        <v>81</v>
      </c>
      <c r="J37">
        <v>24004.75</v>
      </c>
    </row>
    <row r="38" spans="1:10" x14ac:dyDescent="0.25">
      <c r="A38" t="s">
        <v>82</v>
      </c>
      <c r="B38">
        <v>2341.25</v>
      </c>
      <c r="I38" t="s">
        <v>82</v>
      </c>
      <c r="J38">
        <v>23813.4</v>
      </c>
    </row>
    <row r="39" spans="1:10" x14ac:dyDescent="0.25">
      <c r="A39" t="s">
        <v>83</v>
      </c>
      <c r="B39">
        <v>2333.9</v>
      </c>
      <c r="I39" t="s">
        <v>83</v>
      </c>
      <c r="J39">
        <v>23587.5</v>
      </c>
    </row>
    <row r="40" spans="1:10" x14ac:dyDescent="0.25">
      <c r="A40" t="s">
        <v>84</v>
      </c>
      <c r="B40">
        <v>2390.1</v>
      </c>
      <c r="I40" t="s">
        <v>84</v>
      </c>
      <c r="J40">
        <v>24768.3</v>
      </c>
    </row>
    <row r="41" spans="1:10" x14ac:dyDescent="0.25">
      <c r="A41" t="s">
        <v>85</v>
      </c>
      <c r="B41">
        <v>2483.8000000000002</v>
      </c>
      <c r="I41" t="s">
        <v>85</v>
      </c>
      <c r="J41">
        <v>24677.8</v>
      </c>
    </row>
    <row r="42" spans="1:10" x14ac:dyDescent="0.25">
      <c r="A42" t="s">
        <v>86</v>
      </c>
      <c r="B42">
        <v>2496.15</v>
      </c>
      <c r="I42" t="s">
        <v>86</v>
      </c>
      <c r="J42">
        <v>24131.1</v>
      </c>
    </row>
    <row r="43" spans="1:10" x14ac:dyDescent="0.25">
      <c r="A43" t="s">
        <v>87</v>
      </c>
      <c r="B43">
        <v>2445.25</v>
      </c>
      <c r="I43" t="s">
        <v>87</v>
      </c>
      <c r="J43">
        <v>23907.25</v>
      </c>
    </row>
    <row r="44" spans="1:10" x14ac:dyDescent="0.25">
      <c r="A44" t="s">
        <v>88</v>
      </c>
      <c r="B44">
        <v>2319.9208378879862</v>
      </c>
      <c r="I44" t="s">
        <v>88</v>
      </c>
      <c r="J44">
        <v>23532.7</v>
      </c>
    </row>
    <row r="45" spans="1:10" x14ac:dyDescent="0.25">
      <c r="A45" t="s">
        <v>89</v>
      </c>
      <c r="B45">
        <v>2507.6999999999998</v>
      </c>
      <c r="I45" t="s">
        <v>89</v>
      </c>
      <c r="J45">
        <v>24148.2</v>
      </c>
    </row>
    <row r="46" spans="1:10" x14ac:dyDescent="0.25">
      <c r="A46" t="s">
        <v>90</v>
      </c>
      <c r="B46">
        <v>2527.44</v>
      </c>
      <c r="I46" t="s">
        <v>90</v>
      </c>
      <c r="J46">
        <v>24304.35</v>
      </c>
    </row>
    <row r="47" spans="1:10" x14ac:dyDescent="0.25">
      <c r="A47" t="s">
        <v>91</v>
      </c>
      <c r="B47">
        <v>2518.02</v>
      </c>
      <c r="I47" t="s">
        <v>91</v>
      </c>
      <c r="J47">
        <v>24180.799999999999</v>
      </c>
    </row>
    <row r="48" spans="1:10" x14ac:dyDescent="0.25">
      <c r="A48" t="s">
        <v>92</v>
      </c>
      <c r="B48">
        <v>2706.32</v>
      </c>
      <c r="I48" t="s">
        <v>92</v>
      </c>
      <c r="J48">
        <v>24854.05</v>
      </c>
    </row>
    <row r="49" spans="1:10" x14ac:dyDescent="0.25">
      <c r="A49" t="s">
        <v>93</v>
      </c>
      <c r="B49">
        <v>2772.16</v>
      </c>
      <c r="I49" t="s">
        <v>93</v>
      </c>
      <c r="J49">
        <v>24964.25</v>
      </c>
    </row>
    <row r="50" spans="1:10" x14ac:dyDescent="0.25">
      <c r="A50" t="s">
        <v>94</v>
      </c>
      <c r="B50">
        <v>2837.45</v>
      </c>
      <c r="I50" t="s">
        <v>94</v>
      </c>
      <c r="J50">
        <v>25014.6</v>
      </c>
    </row>
    <row r="51" spans="1:10" x14ac:dyDescent="0.25">
      <c r="A51" t="s">
        <v>95</v>
      </c>
      <c r="B51">
        <v>2954.49</v>
      </c>
      <c r="I51" t="s">
        <v>95</v>
      </c>
      <c r="J51">
        <v>26178.95</v>
      </c>
    </row>
    <row r="52" spans="1:10" x14ac:dyDescent="0.25">
      <c r="A52" t="s">
        <v>96</v>
      </c>
      <c r="B52">
        <v>2965.79</v>
      </c>
      <c r="I52" t="s">
        <v>96</v>
      </c>
      <c r="J52">
        <v>25790.95</v>
      </c>
    </row>
    <row r="53" spans="1:10" x14ac:dyDescent="0.25">
      <c r="A53" t="s">
        <v>97</v>
      </c>
      <c r="B53">
        <v>2921.32</v>
      </c>
      <c r="I53" t="s">
        <v>97</v>
      </c>
      <c r="J53">
        <v>25356.5</v>
      </c>
    </row>
    <row r="54" spans="1:10" x14ac:dyDescent="0.25">
      <c r="A54" t="s">
        <v>98</v>
      </c>
      <c r="B54">
        <v>2827.69</v>
      </c>
      <c r="I54" t="s">
        <v>98</v>
      </c>
      <c r="J54">
        <v>24852.15</v>
      </c>
    </row>
    <row r="55" spans="1:10" x14ac:dyDescent="0.25">
      <c r="A55" t="s">
        <v>99</v>
      </c>
      <c r="B55">
        <v>2766.98</v>
      </c>
      <c r="I55" t="s">
        <v>99</v>
      </c>
      <c r="J55">
        <v>25235.9</v>
      </c>
    </row>
    <row r="56" spans="1:10" x14ac:dyDescent="0.25">
      <c r="A56" t="s">
        <v>100</v>
      </c>
      <c r="B56">
        <v>2804.43</v>
      </c>
      <c r="I56" t="s">
        <v>100</v>
      </c>
      <c r="J56">
        <v>24823.15</v>
      </c>
    </row>
    <row r="57" spans="1:10" x14ac:dyDescent="0.25">
      <c r="A57" t="s">
        <v>101</v>
      </c>
      <c r="B57">
        <v>2737.35</v>
      </c>
      <c r="I57" t="s">
        <v>101</v>
      </c>
      <c r="J57">
        <v>24541.15</v>
      </c>
    </row>
    <row r="58" spans="1:10" x14ac:dyDescent="0.25">
      <c r="A58" t="s">
        <v>102</v>
      </c>
      <c r="B58">
        <v>2736.3</v>
      </c>
      <c r="I58" t="s">
        <v>102</v>
      </c>
      <c r="J58">
        <v>24367.5</v>
      </c>
    </row>
    <row r="59" spans="1:10" x14ac:dyDescent="0.25">
      <c r="A59" t="s">
        <v>103</v>
      </c>
      <c r="B59">
        <v>2681.87</v>
      </c>
      <c r="I59" t="s">
        <v>103</v>
      </c>
      <c r="J59">
        <v>24717.7</v>
      </c>
    </row>
    <row r="60" spans="1:10" x14ac:dyDescent="0.25">
      <c r="A60" t="s">
        <v>104</v>
      </c>
      <c r="B60">
        <v>2700.3</v>
      </c>
      <c r="I60" t="s">
        <v>104</v>
      </c>
      <c r="J60">
        <v>24834.85</v>
      </c>
    </row>
    <row r="61" spans="1:10" x14ac:dyDescent="0.25">
      <c r="A61" t="s">
        <v>105</v>
      </c>
      <c r="B61">
        <v>2716.19</v>
      </c>
      <c r="I61" t="s">
        <v>105</v>
      </c>
      <c r="J61">
        <v>24530.9</v>
      </c>
    </row>
    <row r="62" spans="1:10" x14ac:dyDescent="0.25">
      <c r="A62" t="s">
        <v>106</v>
      </c>
      <c r="B62">
        <v>2611.85</v>
      </c>
      <c r="I62" t="s">
        <v>106</v>
      </c>
      <c r="J62">
        <v>24502.15</v>
      </c>
    </row>
    <row r="63" spans="1:10" x14ac:dyDescent="0.25">
      <c r="A63" t="s">
        <v>107</v>
      </c>
      <c r="B63">
        <v>2536.9</v>
      </c>
      <c r="I63" t="s">
        <v>107</v>
      </c>
      <c r="J63">
        <v>24323.85</v>
      </c>
    </row>
    <row r="64" spans="1:10" x14ac:dyDescent="0.25">
      <c r="A64" t="s">
        <v>108</v>
      </c>
      <c r="B64">
        <v>2463.2399999999998</v>
      </c>
      <c r="I64" t="s">
        <v>108</v>
      </c>
      <c r="J64">
        <v>24010.6</v>
      </c>
    </row>
    <row r="65" spans="1:10" x14ac:dyDescent="0.25">
      <c r="A65" t="s">
        <v>109</v>
      </c>
      <c r="B65">
        <v>2390.1219845035107</v>
      </c>
      <c r="I65" t="s">
        <v>109</v>
      </c>
      <c r="J65">
        <v>23501.1</v>
      </c>
    </row>
    <row r="66" spans="1:10" x14ac:dyDescent="0.25">
      <c r="A66" t="s">
        <v>110</v>
      </c>
      <c r="B66">
        <v>2469.92</v>
      </c>
      <c r="I66" t="s">
        <v>110</v>
      </c>
      <c r="J66">
        <v>23465.599999999999</v>
      </c>
    </row>
    <row r="67" spans="1:10" x14ac:dyDescent="0.25">
      <c r="A67" t="s">
        <v>111</v>
      </c>
      <c r="B67">
        <v>2567.58</v>
      </c>
      <c r="I67" t="s">
        <v>111</v>
      </c>
      <c r="J67">
        <v>23290.15</v>
      </c>
    </row>
    <row r="68" spans="1:10" x14ac:dyDescent="0.25">
      <c r="A68" t="s">
        <v>112</v>
      </c>
      <c r="B68">
        <v>2319.81</v>
      </c>
      <c r="I68" t="s">
        <v>112</v>
      </c>
      <c r="J68">
        <v>22530.7</v>
      </c>
    </row>
    <row r="69" spans="1:10" x14ac:dyDescent="0.25">
      <c r="A69" t="s">
        <v>113</v>
      </c>
      <c r="B69">
        <v>2359.65</v>
      </c>
      <c r="I69" t="s">
        <v>113</v>
      </c>
      <c r="J69">
        <v>22957.1</v>
      </c>
    </row>
    <row r="70" spans="1:10" x14ac:dyDescent="0.25">
      <c r="A70" t="s">
        <v>114</v>
      </c>
      <c r="B70">
        <v>2311.15</v>
      </c>
      <c r="I70" t="s">
        <v>114</v>
      </c>
      <c r="J70">
        <v>22466.1</v>
      </c>
    </row>
    <row r="71" spans="1:10" x14ac:dyDescent="0.25">
      <c r="A71" t="s">
        <v>115</v>
      </c>
      <c r="B71">
        <v>2353.1799999999998</v>
      </c>
      <c r="I71" t="s">
        <v>115</v>
      </c>
      <c r="J71">
        <v>22055.200000000001</v>
      </c>
    </row>
    <row r="72" spans="1:10" x14ac:dyDescent="0.25">
      <c r="A72" t="s">
        <v>116</v>
      </c>
      <c r="B72">
        <v>2208.2600000000002</v>
      </c>
      <c r="I72" t="s">
        <v>116</v>
      </c>
      <c r="J72">
        <v>22475.85</v>
      </c>
    </row>
    <row r="73" spans="1:10" x14ac:dyDescent="0.25">
      <c r="A73" t="s">
        <v>117</v>
      </c>
      <c r="B73">
        <v>2213.83</v>
      </c>
      <c r="I73" t="s">
        <v>117</v>
      </c>
      <c r="J73">
        <v>22419.95</v>
      </c>
    </row>
    <row r="74" spans="1:10" x14ac:dyDescent="0.25">
      <c r="A74" t="s">
        <v>118</v>
      </c>
      <c r="B74">
        <v>2222.75</v>
      </c>
      <c r="I74" t="s">
        <v>118</v>
      </c>
      <c r="J74">
        <v>22147</v>
      </c>
    </row>
    <row r="75" spans="1:10" x14ac:dyDescent="0.25">
      <c r="A75" t="s">
        <v>119</v>
      </c>
      <c r="B75">
        <v>2223.4499999999998</v>
      </c>
      <c r="I75" t="s">
        <v>119</v>
      </c>
      <c r="J75">
        <v>22519.4</v>
      </c>
    </row>
    <row r="76" spans="1:10" x14ac:dyDescent="0.25">
      <c r="A76" t="s">
        <v>120</v>
      </c>
      <c r="B76">
        <v>2257.96</v>
      </c>
      <c r="I76" t="s">
        <v>120</v>
      </c>
      <c r="J76">
        <v>22513.7</v>
      </c>
    </row>
    <row r="77" spans="1:10" x14ac:dyDescent="0.25">
      <c r="A77" t="s">
        <v>121</v>
      </c>
      <c r="B77">
        <v>2255.37</v>
      </c>
      <c r="I77" t="s">
        <v>121</v>
      </c>
      <c r="J77">
        <v>22326.9</v>
      </c>
    </row>
    <row r="78" spans="1:10" x14ac:dyDescent="0.25">
      <c r="A78" t="s">
        <v>122</v>
      </c>
      <c r="B78">
        <v>2247.6</v>
      </c>
      <c r="I78" t="s">
        <v>122</v>
      </c>
      <c r="J78">
        <v>22096.75</v>
      </c>
    </row>
    <row r="79" spans="1:10" x14ac:dyDescent="0.25">
      <c r="A79" t="s">
        <v>123</v>
      </c>
      <c r="B79">
        <v>2318.4699999999998</v>
      </c>
      <c r="I79" t="s">
        <v>123</v>
      </c>
      <c r="J79">
        <v>22023.35</v>
      </c>
    </row>
    <row r="80" spans="1:10" x14ac:dyDescent="0.25">
      <c r="A80" t="s">
        <v>124</v>
      </c>
      <c r="B80">
        <v>2409.9499999999998</v>
      </c>
      <c r="I80" t="s">
        <v>124</v>
      </c>
      <c r="J80">
        <v>22493.55</v>
      </c>
    </row>
    <row r="81" spans="1:10" x14ac:dyDescent="0.25">
      <c r="A81" t="s">
        <v>125</v>
      </c>
      <c r="B81">
        <v>2400.14</v>
      </c>
      <c r="I81" t="s">
        <v>125</v>
      </c>
      <c r="J81">
        <v>22338.75</v>
      </c>
    </row>
    <row r="82" spans="1:10" x14ac:dyDescent="0.25">
      <c r="A82" t="s">
        <v>126</v>
      </c>
      <c r="B82">
        <v>2384.6</v>
      </c>
      <c r="I82" t="s">
        <v>126</v>
      </c>
      <c r="J82">
        <v>22212.7</v>
      </c>
    </row>
    <row r="83" spans="1:10" x14ac:dyDescent="0.25">
      <c r="A83" t="s">
        <v>127</v>
      </c>
      <c r="B83">
        <v>2365.83</v>
      </c>
      <c r="I83" t="s">
        <v>127</v>
      </c>
      <c r="J83">
        <v>22040.7</v>
      </c>
    </row>
    <row r="84" spans="1:10" x14ac:dyDescent="0.25">
      <c r="A84" t="s">
        <v>128</v>
      </c>
      <c r="B84">
        <v>2414.54</v>
      </c>
      <c r="I84" t="s">
        <v>128</v>
      </c>
      <c r="J84">
        <v>21782.5</v>
      </c>
    </row>
    <row r="85" spans="1:10" x14ac:dyDescent="0.25">
      <c r="A85" t="s">
        <v>129</v>
      </c>
      <c r="B85">
        <v>2442.87</v>
      </c>
      <c r="I85" t="s">
        <v>129</v>
      </c>
      <c r="J85">
        <v>21853.8</v>
      </c>
    </row>
    <row r="86" spans="1:10" x14ac:dyDescent="0.25">
      <c r="A86" t="s">
        <v>130</v>
      </c>
      <c r="B86">
        <v>2418.67</v>
      </c>
      <c r="I86" t="s">
        <v>130</v>
      </c>
      <c r="J86">
        <v>21352.6</v>
      </c>
    </row>
    <row r="87" spans="1:10" x14ac:dyDescent="0.25">
      <c r="A87" t="s">
        <v>131</v>
      </c>
      <c r="B87">
        <v>2555.23</v>
      </c>
      <c r="I87" t="s">
        <v>131</v>
      </c>
      <c r="J87">
        <v>21622.400000000001</v>
      </c>
    </row>
    <row r="88" spans="1:10" x14ac:dyDescent="0.25">
      <c r="A88" t="s">
        <v>132</v>
      </c>
      <c r="B88">
        <v>2533.91</v>
      </c>
      <c r="I88" t="s">
        <v>132</v>
      </c>
      <c r="J88">
        <v>21894.55</v>
      </c>
    </row>
    <row r="89" spans="1:10" x14ac:dyDescent="0.25">
      <c r="A89" t="s">
        <v>133</v>
      </c>
      <c r="B89">
        <v>2609.66</v>
      </c>
      <c r="I89" t="s">
        <v>133</v>
      </c>
      <c r="J89">
        <v>21710.799999999999</v>
      </c>
    </row>
    <row r="90" spans="1:10" x14ac:dyDescent="0.25">
      <c r="A90" t="s">
        <v>134</v>
      </c>
      <c r="B90">
        <v>2653.39</v>
      </c>
      <c r="I90" t="s">
        <v>134</v>
      </c>
      <c r="J90">
        <v>21731.4</v>
      </c>
    </row>
    <row r="91" spans="1:10" x14ac:dyDescent="0.25">
      <c r="A91" t="s">
        <v>135</v>
      </c>
      <c r="B91">
        <v>2565.39</v>
      </c>
      <c r="I91" t="s">
        <v>135</v>
      </c>
      <c r="J91">
        <v>21349.4</v>
      </c>
    </row>
    <row r="92" spans="1:10" x14ac:dyDescent="0.25">
      <c r="A92" t="s">
        <v>136</v>
      </c>
      <c r="B92">
        <v>2512.89</v>
      </c>
      <c r="I92" t="s">
        <v>136</v>
      </c>
      <c r="J92">
        <v>21456.65</v>
      </c>
    </row>
    <row r="93" spans="1:10" x14ac:dyDescent="0.25">
      <c r="A93" t="s">
        <v>137</v>
      </c>
      <c r="B93">
        <v>2512.3000000000002</v>
      </c>
      <c r="I93" t="s">
        <v>137</v>
      </c>
      <c r="J93">
        <v>20969.400000000001</v>
      </c>
    </row>
    <row r="94" spans="1:10" x14ac:dyDescent="0.25">
      <c r="A94" t="s">
        <v>138</v>
      </c>
      <c r="B94">
        <v>2553.48</v>
      </c>
      <c r="I94" t="s">
        <v>138</v>
      </c>
      <c r="J94">
        <v>20267.900000000001</v>
      </c>
    </row>
    <row r="95" spans="1:10" x14ac:dyDescent="0.25">
      <c r="A95" t="s">
        <v>139</v>
      </c>
      <c r="B95">
        <v>2505.23</v>
      </c>
      <c r="I95" t="s">
        <v>139</v>
      </c>
      <c r="J95">
        <v>19794.7</v>
      </c>
    </row>
    <row r="96" spans="1:10" x14ac:dyDescent="0.25">
      <c r="A96" t="s">
        <v>140</v>
      </c>
      <c r="B96">
        <v>2518.77</v>
      </c>
      <c r="I96" t="s">
        <v>140</v>
      </c>
      <c r="J96">
        <v>19731.8</v>
      </c>
    </row>
    <row r="97" spans="1:10" x14ac:dyDescent="0.25">
      <c r="A97" t="s">
        <v>141</v>
      </c>
      <c r="B97">
        <v>2458.69</v>
      </c>
      <c r="I97" t="s">
        <v>141</v>
      </c>
      <c r="J97">
        <v>19425.349999999999</v>
      </c>
    </row>
    <row r="98" spans="1:10" x14ac:dyDescent="0.25">
      <c r="A98" t="s">
        <v>142</v>
      </c>
      <c r="B98">
        <v>2499.3000000000002</v>
      </c>
      <c r="I98" t="s">
        <v>142</v>
      </c>
      <c r="J98">
        <v>19230.599999999999</v>
      </c>
    </row>
    <row r="99" spans="1:10" x14ac:dyDescent="0.25">
      <c r="A99" t="s">
        <v>143</v>
      </c>
      <c r="B99">
        <v>2472.21</v>
      </c>
      <c r="I99" t="s">
        <v>143</v>
      </c>
      <c r="J99">
        <v>19047.25</v>
      </c>
    </row>
    <row r="100" spans="1:10" x14ac:dyDescent="0.25">
      <c r="A100" t="s">
        <v>144</v>
      </c>
      <c r="B100">
        <v>2485.25</v>
      </c>
      <c r="I100" t="s">
        <v>144</v>
      </c>
      <c r="J100">
        <v>19542.650000000001</v>
      </c>
    </row>
    <row r="101" spans="1:10" x14ac:dyDescent="0.25">
      <c r="A101" t="s">
        <v>145</v>
      </c>
      <c r="B101">
        <v>2559.2600000000002</v>
      </c>
      <c r="I101" t="s">
        <v>145</v>
      </c>
      <c r="J101">
        <v>19751.05</v>
      </c>
    </row>
    <row r="102" spans="1:10" x14ac:dyDescent="0.25">
      <c r="A102" t="s">
        <v>146</v>
      </c>
      <c r="B102">
        <v>2489.4899999999998</v>
      </c>
      <c r="I102" t="s">
        <v>146</v>
      </c>
      <c r="J102">
        <v>19653.5</v>
      </c>
    </row>
    <row r="103" spans="1:10" x14ac:dyDescent="0.25">
      <c r="A103" t="s">
        <v>147</v>
      </c>
      <c r="B103">
        <v>2455.8200000000002</v>
      </c>
      <c r="I103" t="s">
        <v>147</v>
      </c>
      <c r="J103">
        <v>19638.3</v>
      </c>
    </row>
    <row r="104" spans="1:10" x14ac:dyDescent="0.25">
      <c r="A104" t="s">
        <v>148</v>
      </c>
      <c r="B104">
        <v>2472.6</v>
      </c>
      <c r="I104" t="s">
        <v>148</v>
      </c>
      <c r="J104">
        <v>19674.25</v>
      </c>
    </row>
    <row r="105" spans="1:10" x14ac:dyDescent="0.25">
      <c r="A105" t="s">
        <v>149</v>
      </c>
      <c r="B105">
        <v>2459.91</v>
      </c>
      <c r="I105" t="s">
        <v>149</v>
      </c>
      <c r="J105">
        <v>20192.349999999999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0"/>
  <sheetViews>
    <sheetView showGridLines="0" workbookViewId="0">
      <selection activeCell="L20" sqref="L20"/>
    </sheetView>
  </sheetViews>
  <sheetFormatPr defaultRowHeight="15" x14ac:dyDescent="0.25"/>
  <cols>
    <col min="1" max="1" width="1.85546875" customWidth="1"/>
    <col min="2" max="2" width="28" customWidth="1"/>
    <col min="3" max="3" width="12.28515625" bestFit="1" customWidth="1"/>
    <col min="4" max="4" width="14.42578125" bestFit="1" customWidth="1"/>
    <col min="5" max="5" width="12" customWidth="1"/>
    <col min="7" max="7" width="12.140625" bestFit="1" customWidth="1"/>
    <col min="8" max="8" width="12.28515625" bestFit="1" customWidth="1"/>
    <col min="9" max="9" width="14.42578125" bestFit="1" customWidth="1"/>
    <col min="12" max="12" width="18.85546875" style="38" bestFit="1" customWidth="1"/>
    <col min="13" max="15" width="9.140625" style="38"/>
    <col min="18" max="18" width="10.5703125" bestFit="1" customWidth="1"/>
  </cols>
  <sheetData>
    <row r="2" spans="1:19" x14ac:dyDescent="0.25">
      <c r="B2" s="1" t="s">
        <v>151</v>
      </c>
    </row>
    <row r="3" spans="1:19" x14ac:dyDescent="0.25">
      <c r="B3" s="1"/>
    </row>
    <row r="4" spans="1:19" x14ac:dyDescent="0.25">
      <c r="B4" s="148" t="s">
        <v>154</v>
      </c>
      <c r="C4" s="148"/>
      <c r="D4" s="148"/>
      <c r="E4" s="148"/>
      <c r="G4" s="148" t="s">
        <v>155</v>
      </c>
      <c r="H4" s="148"/>
      <c r="I4" s="148"/>
      <c r="J4" s="148"/>
      <c r="L4" s="147" t="s">
        <v>185</v>
      </c>
      <c r="M4" s="147"/>
      <c r="N4" s="147"/>
      <c r="O4" s="147"/>
    </row>
    <row r="5" spans="1:19" x14ac:dyDescent="0.25">
      <c r="B5" s="1"/>
    </row>
    <row r="6" spans="1:19" x14ac:dyDescent="0.25">
      <c r="A6" s="38"/>
      <c r="B6" s="1" t="s">
        <v>44</v>
      </c>
      <c r="C6" s="1" t="s">
        <v>152</v>
      </c>
      <c r="D6" s="1" t="s">
        <v>153</v>
      </c>
      <c r="G6" s="1" t="s">
        <v>44</v>
      </c>
      <c r="H6" s="1" t="s">
        <v>152</v>
      </c>
      <c r="I6" s="1" t="s">
        <v>153</v>
      </c>
      <c r="L6" s="38" t="s">
        <v>186</v>
      </c>
      <c r="M6" s="47">
        <f>R9</f>
        <v>0.56941613798943413</v>
      </c>
      <c r="N6" s="47"/>
      <c r="Q6" t="s">
        <v>157</v>
      </c>
      <c r="R6" s="31">
        <f>SLOPE(D7:D110,I7:I110)</f>
        <v>0.56941613798943413</v>
      </c>
    </row>
    <row r="7" spans="1:19" x14ac:dyDescent="0.25">
      <c r="B7" s="39" t="s">
        <v>46</v>
      </c>
      <c r="C7" s="37">
        <v>2666</v>
      </c>
      <c r="D7" s="23"/>
      <c r="E7" s="40"/>
      <c r="G7" t="s">
        <v>46</v>
      </c>
      <c r="H7">
        <v>24741</v>
      </c>
      <c r="L7" s="38" t="s">
        <v>187</v>
      </c>
      <c r="M7" s="48">
        <v>0.75</v>
      </c>
      <c r="Q7" t="s">
        <v>158</v>
      </c>
      <c r="R7" s="31">
        <f>_xlfn.COVARIANCE.S(D7:D110,I7:I110/_xlfn.VAR.S(I7:I110))</f>
        <v>0.56941613798943402</v>
      </c>
    </row>
    <row r="8" spans="1:19" x14ac:dyDescent="0.25">
      <c r="B8" s="39" t="s">
        <v>47</v>
      </c>
      <c r="C8" s="37">
        <v>2659.8</v>
      </c>
      <c r="D8" s="23">
        <f t="shared" ref="D8:D70" si="0">C8/C7-1</f>
        <v>-2.3255813953487747E-3</v>
      </c>
      <c r="G8" t="s">
        <v>47</v>
      </c>
      <c r="H8">
        <v>24426.85</v>
      </c>
      <c r="I8" s="23">
        <f>H8/H7-1</f>
        <v>-1.2697546582595698E-2</v>
      </c>
    </row>
    <row r="9" spans="1:19" x14ac:dyDescent="0.25">
      <c r="B9" s="39" t="s">
        <v>48</v>
      </c>
      <c r="C9" s="37">
        <v>2629.9</v>
      </c>
      <c r="D9" s="23">
        <f t="shared" si="0"/>
        <v>-1.1241446725317683E-2</v>
      </c>
      <c r="G9" t="s">
        <v>48</v>
      </c>
      <c r="H9">
        <v>24870.1</v>
      </c>
      <c r="I9" s="23">
        <f t="shared" ref="I9:I72" si="1">H9/H8-1</f>
        <v>1.8146015552557904E-2</v>
      </c>
      <c r="L9" s="38" t="s">
        <v>188</v>
      </c>
      <c r="M9" s="38">
        <v>1</v>
      </c>
      <c r="Q9" s="1" t="s">
        <v>159</v>
      </c>
      <c r="R9" s="46">
        <f>S31</f>
        <v>0.56941613798943413</v>
      </c>
    </row>
    <row r="10" spans="1:19" x14ac:dyDescent="0.25">
      <c r="B10" s="39" t="s">
        <v>49</v>
      </c>
      <c r="C10" s="37">
        <v>2480.6</v>
      </c>
      <c r="D10" s="23">
        <f t="shared" si="0"/>
        <v>-5.6770219399977284E-2</v>
      </c>
      <c r="G10" t="s">
        <v>49</v>
      </c>
      <c r="H10">
        <v>24631.3</v>
      </c>
      <c r="I10" s="23">
        <f t="shared" si="1"/>
        <v>-9.6018914278591661E-3</v>
      </c>
      <c r="L10" s="38" t="s">
        <v>189</v>
      </c>
      <c r="M10" s="48">
        <v>0.25</v>
      </c>
    </row>
    <row r="11" spans="1:19" x14ac:dyDescent="0.25">
      <c r="B11" s="39" t="s">
        <v>50</v>
      </c>
      <c r="C11" s="37">
        <v>2498.6</v>
      </c>
      <c r="D11" s="23">
        <f t="shared" si="0"/>
        <v>7.2563089575101714E-3</v>
      </c>
      <c r="G11" t="s">
        <v>50</v>
      </c>
      <c r="H11">
        <v>24363.3</v>
      </c>
      <c r="I11" s="23">
        <f t="shared" si="1"/>
        <v>-1.0880465099284198E-2</v>
      </c>
    </row>
    <row r="12" spans="1:19" x14ac:dyDescent="0.25">
      <c r="B12" s="39" t="s">
        <v>51</v>
      </c>
      <c r="C12" s="37">
        <v>2553.6999999999998</v>
      </c>
      <c r="D12" s="23">
        <f t="shared" si="0"/>
        <v>2.2052349315616615E-2</v>
      </c>
      <c r="G12" t="s">
        <v>51</v>
      </c>
      <c r="H12">
        <v>24565.35</v>
      </c>
      <c r="I12" s="23">
        <f t="shared" si="1"/>
        <v>8.2932115107559046E-3</v>
      </c>
      <c r="L12" s="49" t="s">
        <v>190</v>
      </c>
      <c r="M12" s="50">
        <f>IFERROR((M6*M7)+(M9*M10),0)</f>
        <v>0.67706210349207563</v>
      </c>
      <c r="R12" s="45"/>
      <c r="S12" s="45"/>
    </row>
    <row r="13" spans="1:19" x14ac:dyDescent="0.25">
      <c r="B13" s="39" t="s">
        <v>52</v>
      </c>
      <c r="C13" s="37">
        <v>2415.4</v>
      </c>
      <c r="D13" s="23">
        <f t="shared" si="0"/>
        <v>-5.4156713787837152E-2</v>
      </c>
      <c r="G13" t="s">
        <v>52</v>
      </c>
      <c r="H13">
        <v>24837</v>
      </c>
      <c r="I13" s="23">
        <f t="shared" si="1"/>
        <v>1.1058258889045103E-2</v>
      </c>
      <c r="R13" s="41"/>
      <c r="S13" s="41"/>
    </row>
    <row r="14" spans="1:19" x14ac:dyDescent="0.25">
      <c r="B14" s="39" t="s">
        <v>53</v>
      </c>
      <c r="C14" s="37">
        <v>2489.6</v>
      </c>
      <c r="D14" s="23">
        <f t="shared" si="0"/>
        <v>3.0719549557009174E-2</v>
      </c>
      <c r="G14" t="s">
        <v>53</v>
      </c>
      <c r="H14">
        <v>24968.400000000001</v>
      </c>
      <c r="I14" s="23">
        <f t="shared" si="1"/>
        <v>5.2904940210170004E-3</v>
      </c>
      <c r="R14" t="s">
        <v>160</v>
      </c>
    </row>
    <row r="15" spans="1:19" ht="15.75" thickBot="1" x14ac:dyDescent="0.3">
      <c r="B15" s="39" t="s">
        <v>54</v>
      </c>
      <c r="C15" s="37">
        <v>2519.6</v>
      </c>
      <c r="D15" s="23">
        <f t="shared" si="0"/>
        <v>1.205012853470433E-2</v>
      </c>
      <c r="G15" t="s">
        <v>54</v>
      </c>
      <c r="H15">
        <v>25149.85</v>
      </c>
      <c r="I15" s="23">
        <f t="shared" si="1"/>
        <v>7.267185722753533E-3</v>
      </c>
    </row>
    <row r="16" spans="1:19" x14ac:dyDescent="0.25">
      <c r="B16" s="39" t="s">
        <v>55</v>
      </c>
      <c r="C16" s="37">
        <v>2339.3000000000002</v>
      </c>
      <c r="D16" s="23">
        <f t="shared" si="0"/>
        <v>-7.1558977615494457E-2</v>
      </c>
      <c r="G16" t="s">
        <v>55</v>
      </c>
      <c r="H16">
        <v>25461</v>
      </c>
      <c r="I16" s="23">
        <f t="shared" si="1"/>
        <v>1.2371843172026997E-2</v>
      </c>
      <c r="R16" s="44" t="s">
        <v>161</v>
      </c>
      <c r="S16" s="44"/>
    </row>
    <row r="17" spans="2:26" x14ac:dyDescent="0.25">
      <c r="B17" s="39" t="s">
        <v>56</v>
      </c>
      <c r="C17" s="37">
        <v>2306.9</v>
      </c>
      <c r="D17" s="23">
        <f t="shared" si="0"/>
        <v>-1.3850297097422359E-2</v>
      </c>
      <c r="G17" t="s">
        <v>56</v>
      </c>
      <c r="H17">
        <v>25637.8</v>
      </c>
      <c r="I17" s="23">
        <f t="shared" si="1"/>
        <v>6.9439534975059836E-3</v>
      </c>
      <c r="L17" s="1" t="s">
        <v>191</v>
      </c>
      <c r="R17" s="41" t="s">
        <v>162</v>
      </c>
      <c r="S17" s="41">
        <v>0.33870739630995023</v>
      </c>
    </row>
    <row r="18" spans="2:26" x14ac:dyDescent="0.25">
      <c r="B18" s="39" t="s">
        <v>57</v>
      </c>
      <c r="C18" s="37">
        <v>2306.1999999999998</v>
      </c>
      <c r="D18" s="23">
        <f t="shared" si="0"/>
        <v>-3.034375135464451E-4</v>
      </c>
      <c r="G18" t="s">
        <v>57</v>
      </c>
      <c r="H18">
        <v>25112.400000000001</v>
      </c>
      <c r="I18" s="23">
        <f t="shared" si="1"/>
        <v>-2.0493178041797622E-2</v>
      </c>
      <c r="R18" s="41" t="s">
        <v>163</v>
      </c>
      <c r="S18" s="41">
        <v>0.11472270031506569</v>
      </c>
    </row>
    <row r="19" spans="2:26" x14ac:dyDescent="0.25">
      <c r="B19" s="39" t="s">
        <v>58</v>
      </c>
      <c r="C19" s="37">
        <v>2319</v>
      </c>
      <c r="D19" s="23">
        <f t="shared" si="0"/>
        <v>5.5502558321047779E-3</v>
      </c>
      <c r="G19" t="s">
        <v>58</v>
      </c>
      <c r="H19">
        <v>24718.6</v>
      </c>
      <c r="I19" s="23">
        <f t="shared" si="1"/>
        <v>-1.568149599401103E-2</v>
      </c>
      <c r="L19" s="38" t="s">
        <v>192</v>
      </c>
      <c r="R19" s="41" t="s">
        <v>164</v>
      </c>
      <c r="S19" s="41">
        <v>0.10595757853600693</v>
      </c>
    </row>
    <row r="20" spans="2:26" x14ac:dyDescent="0.25">
      <c r="B20" s="39" t="s">
        <v>59</v>
      </c>
      <c r="C20" s="37">
        <v>2389.8000000000002</v>
      </c>
      <c r="D20" s="23">
        <f t="shared" si="0"/>
        <v>3.0530401034928989E-2</v>
      </c>
      <c r="G20" t="s">
        <v>59</v>
      </c>
      <c r="H20">
        <v>25003.05</v>
      </c>
      <c r="I20" s="23">
        <f t="shared" si="1"/>
        <v>1.1507528743537332E-2</v>
      </c>
      <c r="M20" s="1"/>
      <c r="R20" s="41" t="s">
        <v>165</v>
      </c>
      <c r="S20" s="41">
        <v>2.7499275386415972E-2</v>
      </c>
    </row>
    <row r="21" spans="2:26" ht="15.75" thickBot="1" x14ac:dyDescent="0.3">
      <c r="B21" s="39" t="s">
        <v>60</v>
      </c>
      <c r="C21" s="37">
        <v>2348.3000000000002</v>
      </c>
      <c r="D21" s="23">
        <f t="shared" si="0"/>
        <v>-1.736546991380028E-2</v>
      </c>
      <c r="G21" t="s">
        <v>60</v>
      </c>
      <c r="H21">
        <v>24750.7</v>
      </c>
      <c r="I21" s="23">
        <f t="shared" si="1"/>
        <v>-1.0092768682220754E-2</v>
      </c>
      <c r="L21" s="38" t="s">
        <v>196</v>
      </c>
      <c r="M21" s="1">
        <v>0.59</v>
      </c>
      <c r="R21" s="42" t="s">
        <v>166</v>
      </c>
      <c r="S21" s="42">
        <v>103</v>
      </c>
    </row>
    <row r="22" spans="2:26" x14ac:dyDescent="0.25">
      <c r="B22" s="39" t="s">
        <v>61</v>
      </c>
      <c r="C22" s="37">
        <v>2359.1999999999998</v>
      </c>
      <c r="D22" s="23">
        <f t="shared" si="0"/>
        <v>4.6416556658006591E-3</v>
      </c>
      <c r="G22" t="s">
        <v>61</v>
      </c>
      <c r="H22">
        <v>24853.15</v>
      </c>
      <c r="I22" s="23">
        <f t="shared" si="1"/>
        <v>4.139276868937003E-3</v>
      </c>
      <c r="L22" s="38" t="s">
        <v>201</v>
      </c>
      <c r="M22" s="1">
        <v>0.67</v>
      </c>
    </row>
    <row r="23" spans="2:26" ht="15.75" thickBot="1" x14ac:dyDescent="0.3">
      <c r="B23" s="39" t="s">
        <v>62</v>
      </c>
      <c r="C23" s="37">
        <v>2381.4</v>
      </c>
      <c r="D23" s="23">
        <f t="shared" si="0"/>
        <v>9.4099694811802248E-3</v>
      </c>
      <c r="G23" t="s">
        <v>62</v>
      </c>
      <c r="H23">
        <v>25019.8</v>
      </c>
      <c r="I23" s="23">
        <f t="shared" si="1"/>
        <v>6.705387445856914E-3</v>
      </c>
      <c r="L23" s="38" t="s">
        <v>197</v>
      </c>
      <c r="M23" s="46">
        <v>0.7</v>
      </c>
      <c r="R23" t="s">
        <v>167</v>
      </c>
    </row>
    <row r="24" spans="2:26" x14ac:dyDescent="0.25">
      <c r="B24" s="39" t="s">
        <v>63</v>
      </c>
      <c r="C24" s="37">
        <v>2332.9</v>
      </c>
      <c r="D24" s="23">
        <f t="shared" si="0"/>
        <v>-2.0366171159821977E-2</v>
      </c>
      <c r="G24" t="s">
        <v>63</v>
      </c>
      <c r="H24">
        <v>24008</v>
      </c>
      <c r="I24" s="23">
        <f t="shared" si="1"/>
        <v>-4.0439971542538311E-2</v>
      </c>
      <c r="L24" s="38" t="s">
        <v>193</v>
      </c>
      <c r="M24" s="1">
        <v>0.75</v>
      </c>
      <c r="R24" s="43"/>
      <c r="S24" s="43" t="s">
        <v>172</v>
      </c>
      <c r="T24" s="43" t="s">
        <v>173</v>
      </c>
      <c r="U24" s="43" t="s">
        <v>174</v>
      </c>
      <c r="V24" s="43" t="s">
        <v>175</v>
      </c>
      <c r="W24" s="43" t="s">
        <v>176</v>
      </c>
    </row>
    <row r="25" spans="2:26" x14ac:dyDescent="0.25">
      <c r="B25" s="39" t="s">
        <v>64</v>
      </c>
      <c r="C25" s="37">
        <v>2323.9</v>
      </c>
      <c r="D25" s="23">
        <f t="shared" si="0"/>
        <v>-3.8578593167302166E-3</v>
      </c>
      <c r="G25" t="s">
        <v>64</v>
      </c>
      <c r="H25">
        <v>24346.7</v>
      </c>
      <c r="I25" s="23">
        <f t="shared" si="1"/>
        <v>1.4107797400866318E-2</v>
      </c>
      <c r="R25" s="41" t="s">
        <v>168</v>
      </c>
      <c r="S25" s="41">
        <v>1</v>
      </c>
      <c r="T25" s="41">
        <v>9.8976913533920102E-3</v>
      </c>
      <c r="U25" s="41">
        <v>9.8976913533920102E-3</v>
      </c>
      <c r="V25" s="41">
        <v>13.088546081488126</v>
      </c>
      <c r="W25" s="41">
        <v>4.659737456508153E-4</v>
      </c>
    </row>
    <row r="26" spans="2:26" x14ac:dyDescent="0.25">
      <c r="B26" s="39" t="s">
        <v>65</v>
      </c>
      <c r="C26" s="37">
        <v>2332.1999999999998</v>
      </c>
      <c r="D26" s="23">
        <f t="shared" si="0"/>
        <v>3.5715822539694742E-3</v>
      </c>
      <c r="G26" t="s">
        <v>65</v>
      </c>
      <c r="H26">
        <v>24039.35</v>
      </c>
      <c r="I26" s="23">
        <f t="shared" si="1"/>
        <v>-1.2623887426222113E-2</v>
      </c>
      <c r="M26" s="46"/>
      <c r="R26" s="41" t="s">
        <v>169</v>
      </c>
      <c r="S26" s="41">
        <v>101</v>
      </c>
      <c r="T26" s="41">
        <v>7.6377224824572279E-2</v>
      </c>
      <c r="U26" s="41">
        <v>7.5621014677794331E-4</v>
      </c>
      <c r="V26" s="41"/>
      <c r="W26" s="41"/>
    </row>
    <row r="27" spans="2:26" ht="15.75" thickBot="1" x14ac:dyDescent="0.3">
      <c r="B27" s="39" t="s">
        <v>66</v>
      </c>
      <c r="C27" s="37">
        <v>2375</v>
      </c>
      <c r="D27" s="23">
        <f t="shared" si="0"/>
        <v>1.8351770860132177E-2</v>
      </c>
      <c r="G27" t="s">
        <v>66</v>
      </c>
      <c r="H27">
        <v>23851.65</v>
      </c>
      <c r="I27" s="23">
        <f t="shared" si="1"/>
        <v>-7.8080314151587338E-3</v>
      </c>
      <c r="R27" s="42" t="s">
        <v>170</v>
      </c>
      <c r="S27" s="42">
        <v>102</v>
      </c>
      <c r="T27" s="42">
        <v>8.6274916177964289E-2</v>
      </c>
      <c r="U27" s="42"/>
      <c r="V27" s="42"/>
      <c r="W27" s="42"/>
    </row>
    <row r="28" spans="2:26" ht="15.75" thickBot="1" x14ac:dyDescent="0.3">
      <c r="B28" s="39" t="s">
        <v>67</v>
      </c>
      <c r="C28" s="37">
        <v>2366.15</v>
      </c>
      <c r="D28" s="23">
        <f t="shared" si="0"/>
        <v>-3.7263157894736887E-3</v>
      </c>
      <c r="G28" t="s">
        <v>67</v>
      </c>
      <c r="H28">
        <v>22828.55</v>
      </c>
      <c r="I28" s="23">
        <f t="shared" si="1"/>
        <v>-4.2894307102443685E-2</v>
      </c>
    </row>
    <row r="29" spans="2:26" x14ac:dyDescent="0.25">
      <c r="B29" s="39" t="s">
        <v>68</v>
      </c>
      <c r="C29" s="37">
        <v>2244.5500000000002</v>
      </c>
      <c r="D29" s="23">
        <f t="shared" si="0"/>
        <v>-5.1391500961477488E-2</v>
      </c>
      <c r="G29" t="s">
        <v>68</v>
      </c>
      <c r="H29">
        <v>22904.45</v>
      </c>
      <c r="I29" s="23">
        <f t="shared" si="1"/>
        <v>3.3247840971064591E-3</v>
      </c>
      <c r="M29" s="46"/>
      <c r="R29" s="43"/>
      <c r="S29" s="43" t="s">
        <v>177</v>
      </c>
      <c r="T29" s="43" t="s">
        <v>165</v>
      </c>
      <c r="U29" s="43" t="s">
        <v>178</v>
      </c>
      <c r="V29" s="43" t="s">
        <v>179</v>
      </c>
      <c r="W29" s="43" t="s">
        <v>180</v>
      </c>
      <c r="X29" s="43" t="s">
        <v>181</v>
      </c>
      <c r="Y29" s="43" t="s">
        <v>182</v>
      </c>
      <c r="Z29" s="43" t="s">
        <v>183</v>
      </c>
    </row>
    <row r="30" spans="2:26" x14ac:dyDescent="0.25">
      <c r="B30" s="39" t="s">
        <v>69</v>
      </c>
      <c r="C30" s="37">
        <v>2258.85</v>
      </c>
      <c r="D30" s="23">
        <f t="shared" si="0"/>
        <v>6.3709875030628638E-3</v>
      </c>
      <c r="G30" t="s">
        <v>69</v>
      </c>
      <c r="H30">
        <v>23519.35</v>
      </c>
      <c r="I30" s="23">
        <f t="shared" si="1"/>
        <v>2.6846311524616251E-2</v>
      </c>
      <c r="R30" s="41" t="s">
        <v>171</v>
      </c>
      <c r="S30" s="41">
        <v>6.7839542019467966E-4</v>
      </c>
      <c r="T30" s="41">
        <v>2.7247250627790154E-3</v>
      </c>
      <c r="U30" s="41">
        <v>0.24897756821848557</v>
      </c>
      <c r="V30" s="41">
        <v>0.80388373516867173</v>
      </c>
      <c r="W30" s="41">
        <v>-4.7267261613702094E-3</v>
      </c>
      <c r="X30" s="41">
        <v>6.0835170017595683E-3</v>
      </c>
      <c r="Y30" s="41">
        <v>-4.7267261613702094E-3</v>
      </c>
      <c r="Z30" s="41">
        <v>6.0835170017595683E-3</v>
      </c>
    </row>
    <row r="31" spans="2:26" ht="15.75" thickBot="1" x14ac:dyDescent="0.3">
      <c r="B31" s="39" t="s">
        <v>70</v>
      </c>
      <c r="C31" s="37">
        <v>2246.1999999999998</v>
      </c>
      <c r="D31" s="23">
        <f t="shared" si="0"/>
        <v>-5.6001947893840054E-3</v>
      </c>
      <c r="G31" t="s">
        <v>70</v>
      </c>
      <c r="H31">
        <v>23350.400000000001</v>
      </c>
      <c r="I31" s="23">
        <f t="shared" si="1"/>
        <v>-7.1834468214468927E-3</v>
      </c>
      <c r="R31" s="42" t="s">
        <v>184</v>
      </c>
      <c r="S31" s="42">
        <v>0.56941613798943413</v>
      </c>
      <c r="T31" s="42">
        <v>0.15739251252550543</v>
      </c>
      <c r="U31" s="42">
        <v>3.6178095695445509</v>
      </c>
      <c r="V31" s="42">
        <v>4.6597374565081839E-4</v>
      </c>
      <c r="W31" s="42">
        <v>0.25719173125951067</v>
      </c>
      <c r="X31" s="42">
        <v>0.8816405447193576</v>
      </c>
      <c r="Y31" s="42">
        <v>0.25719173125951067</v>
      </c>
      <c r="Z31" s="42">
        <v>0.8816405447193576</v>
      </c>
    </row>
    <row r="32" spans="2:26" x14ac:dyDescent="0.25">
      <c r="B32" s="39" t="s">
        <v>71</v>
      </c>
      <c r="C32" s="37">
        <v>2174.8000000000002</v>
      </c>
      <c r="D32" s="23">
        <f t="shared" si="0"/>
        <v>-3.1787018074970863E-2</v>
      </c>
      <c r="G32" t="s">
        <v>71</v>
      </c>
      <c r="H32">
        <v>22397.200000000001</v>
      </c>
      <c r="I32" s="23">
        <f t="shared" si="1"/>
        <v>-4.0821570508428162E-2</v>
      </c>
    </row>
    <row r="33" spans="2:9" x14ac:dyDescent="0.25">
      <c r="B33" s="39" t="s">
        <v>72</v>
      </c>
      <c r="C33" s="37">
        <v>2117.3210208675077</v>
      </c>
      <c r="D33" s="23">
        <f t="shared" si="0"/>
        <v>-2.6429547145711108E-2</v>
      </c>
      <c r="G33" t="s">
        <v>72</v>
      </c>
      <c r="H33">
        <v>22552.5</v>
      </c>
      <c r="I33" s="23">
        <f t="shared" si="1"/>
        <v>6.9339024520922443E-3</v>
      </c>
    </row>
    <row r="34" spans="2:9" x14ac:dyDescent="0.25">
      <c r="B34" s="39" t="s">
        <v>73</v>
      </c>
      <c r="C34" s="37">
        <v>2190.25</v>
      </c>
      <c r="D34" s="23">
        <f t="shared" si="0"/>
        <v>3.4443987668252518E-2</v>
      </c>
      <c r="G34" t="s">
        <v>73</v>
      </c>
      <c r="H34">
        <v>22124.7</v>
      </c>
      <c r="I34" s="23">
        <f t="shared" si="1"/>
        <v>-1.8969072164948475E-2</v>
      </c>
    </row>
    <row r="35" spans="2:9" x14ac:dyDescent="0.25">
      <c r="B35" s="39" t="s">
        <v>74</v>
      </c>
      <c r="C35" s="37">
        <v>2241.65</v>
      </c>
      <c r="D35" s="23">
        <f t="shared" si="0"/>
        <v>2.3467640680287616E-2</v>
      </c>
      <c r="G35" t="s">
        <v>74</v>
      </c>
      <c r="H35">
        <v>22795.9</v>
      </c>
      <c r="I35" s="23">
        <f t="shared" si="1"/>
        <v>3.0337134514818231E-2</v>
      </c>
    </row>
    <row r="36" spans="2:9" x14ac:dyDescent="0.25">
      <c r="B36" s="39" t="s">
        <v>75</v>
      </c>
      <c r="C36" s="37">
        <v>2318.35</v>
      </c>
      <c r="D36" s="23">
        <f t="shared" si="0"/>
        <v>3.4215867775968523E-2</v>
      </c>
      <c r="G36" t="s">
        <v>75</v>
      </c>
      <c r="H36">
        <v>22929.25</v>
      </c>
      <c r="I36" s="23">
        <f t="shared" si="1"/>
        <v>5.8497361367613188E-3</v>
      </c>
    </row>
    <row r="37" spans="2:9" x14ac:dyDescent="0.25">
      <c r="B37" s="39" t="s">
        <v>76</v>
      </c>
      <c r="C37" s="37">
        <v>2363.85</v>
      </c>
      <c r="D37" s="23">
        <f t="shared" si="0"/>
        <v>1.9626027131365076E-2</v>
      </c>
      <c r="G37" t="s">
        <v>76</v>
      </c>
      <c r="H37">
        <v>23559.95</v>
      </c>
      <c r="I37" s="23">
        <f t="shared" si="1"/>
        <v>2.7506351058146361E-2</v>
      </c>
    </row>
    <row r="38" spans="2:9" x14ac:dyDescent="0.25">
      <c r="B38" s="39" t="s">
        <v>77</v>
      </c>
      <c r="C38" s="37">
        <v>2468.8000000000002</v>
      </c>
      <c r="D38" s="23">
        <f t="shared" si="0"/>
        <v>4.4397910188886947E-2</v>
      </c>
      <c r="G38" t="s">
        <v>77</v>
      </c>
      <c r="H38">
        <v>23508.400000000001</v>
      </c>
      <c r="I38" s="23">
        <f t="shared" si="1"/>
        <v>-2.188035203809835E-3</v>
      </c>
    </row>
    <row r="39" spans="2:9" x14ac:dyDescent="0.25">
      <c r="B39" s="39" t="s">
        <v>78</v>
      </c>
      <c r="C39" s="37">
        <v>2368.1</v>
      </c>
      <c r="D39" s="23">
        <f t="shared" si="0"/>
        <v>-4.0789047310434312E-2</v>
      </c>
      <c r="G39" t="s">
        <v>78</v>
      </c>
      <c r="H39">
        <v>23092.2</v>
      </c>
      <c r="I39" s="23">
        <f t="shared" si="1"/>
        <v>-1.7704309948784247E-2</v>
      </c>
    </row>
    <row r="40" spans="2:9" x14ac:dyDescent="0.25">
      <c r="B40" s="39" t="s">
        <v>79</v>
      </c>
      <c r="C40" s="37">
        <v>2354</v>
      </c>
      <c r="D40" s="23">
        <f t="shared" si="0"/>
        <v>-5.9541404501498585E-3</v>
      </c>
      <c r="G40" t="s">
        <v>79</v>
      </c>
      <c r="H40">
        <v>23203.200000000001</v>
      </c>
      <c r="I40" s="23">
        <f t="shared" si="1"/>
        <v>4.8068178865590117E-3</v>
      </c>
    </row>
    <row r="41" spans="2:9" x14ac:dyDescent="0.25">
      <c r="B41" s="39" t="s">
        <v>80</v>
      </c>
      <c r="C41" s="37">
        <v>2442.0500000000002</v>
      </c>
      <c r="D41" s="23">
        <f t="shared" si="0"/>
        <v>3.7404418011894647E-2</v>
      </c>
      <c r="G41" t="s">
        <v>80</v>
      </c>
      <c r="H41">
        <v>23431.5</v>
      </c>
      <c r="I41" s="23">
        <f t="shared" si="1"/>
        <v>9.8391601158460684E-3</v>
      </c>
    </row>
    <row r="42" spans="2:9" x14ac:dyDescent="0.25">
      <c r="B42" s="39" t="s">
        <v>81</v>
      </c>
      <c r="C42" s="37">
        <v>2406.25</v>
      </c>
      <c r="D42" s="23">
        <f t="shared" si="0"/>
        <v>-1.4659814500112667E-2</v>
      </c>
      <c r="G42" t="s">
        <v>81</v>
      </c>
      <c r="H42">
        <v>24004.75</v>
      </c>
      <c r="I42" s="23">
        <f t="shared" si="1"/>
        <v>2.4464929688666981E-2</v>
      </c>
    </row>
    <row r="43" spans="2:9" x14ac:dyDescent="0.25">
      <c r="B43" s="39" t="s">
        <v>82</v>
      </c>
      <c r="C43" s="37">
        <v>2341.25</v>
      </c>
      <c r="D43" s="23">
        <f t="shared" si="0"/>
        <v>-2.7012987012987044E-2</v>
      </c>
      <c r="G43" t="s">
        <v>82</v>
      </c>
      <c r="H43">
        <v>23813.4</v>
      </c>
      <c r="I43" s="23">
        <f t="shared" si="1"/>
        <v>-7.9713390058216982E-3</v>
      </c>
    </row>
    <row r="44" spans="2:9" x14ac:dyDescent="0.25">
      <c r="B44" s="39" t="s">
        <v>83</v>
      </c>
      <c r="C44" s="37">
        <v>2333.9</v>
      </c>
      <c r="D44" s="23">
        <f t="shared" si="0"/>
        <v>-3.139348638547701E-3</v>
      </c>
      <c r="G44" t="s">
        <v>83</v>
      </c>
      <c r="H44">
        <v>23587.5</v>
      </c>
      <c r="I44" s="23">
        <f t="shared" si="1"/>
        <v>-9.4862556375822082E-3</v>
      </c>
    </row>
    <row r="45" spans="2:9" x14ac:dyDescent="0.25">
      <c r="B45" s="39" t="s">
        <v>84</v>
      </c>
      <c r="C45" s="37">
        <v>2390.1</v>
      </c>
      <c r="D45" s="23">
        <f t="shared" si="0"/>
        <v>2.4079866318179821E-2</v>
      </c>
      <c r="G45" t="s">
        <v>84</v>
      </c>
      <c r="H45">
        <v>24768.3</v>
      </c>
      <c r="I45" s="23">
        <f t="shared" si="1"/>
        <v>5.0060413354531041E-2</v>
      </c>
    </row>
    <row r="46" spans="2:9" x14ac:dyDescent="0.25">
      <c r="B46" s="39" t="s">
        <v>85</v>
      </c>
      <c r="C46" s="37">
        <v>2483.8000000000002</v>
      </c>
      <c r="D46" s="23">
        <f t="shared" si="0"/>
        <v>3.9203380611690042E-2</v>
      </c>
      <c r="G46" t="s">
        <v>85</v>
      </c>
      <c r="H46">
        <v>24677.8</v>
      </c>
      <c r="I46" s="23">
        <f t="shared" si="1"/>
        <v>-3.653864011660013E-3</v>
      </c>
    </row>
    <row r="47" spans="2:9" x14ac:dyDescent="0.25">
      <c r="B47" s="39" t="s">
        <v>86</v>
      </c>
      <c r="C47" s="37">
        <v>2496.15</v>
      </c>
      <c r="D47" s="23">
        <f t="shared" si="0"/>
        <v>4.9722199855060101E-3</v>
      </c>
      <c r="G47" t="s">
        <v>86</v>
      </c>
      <c r="H47">
        <v>24131.1</v>
      </c>
      <c r="I47" s="23">
        <f t="shared" si="1"/>
        <v>-2.2153514494809179E-2</v>
      </c>
    </row>
    <row r="48" spans="2:9" x14ac:dyDescent="0.25">
      <c r="B48" s="39" t="s">
        <v>87</v>
      </c>
      <c r="C48" s="37">
        <v>2445.25</v>
      </c>
      <c r="D48" s="23">
        <f t="shared" si="0"/>
        <v>-2.0391402760250865E-2</v>
      </c>
      <c r="G48" t="s">
        <v>87</v>
      </c>
      <c r="H48">
        <v>23907.25</v>
      </c>
      <c r="I48" s="23">
        <f t="shared" si="1"/>
        <v>-9.2764109385812255E-3</v>
      </c>
    </row>
    <row r="49" spans="2:9" x14ac:dyDescent="0.25">
      <c r="B49" s="39" t="s">
        <v>88</v>
      </c>
      <c r="C49" s="37">
        <v>2319.9208378879862</v>
      </c>
      <c r="D49" s="23">
        <f t="shared" si="0"/>
        <v>-5.125413029833914E-2</v>
      </c>
      <c r="G49" t="s">
        <v>88</v>
      </c>
      <c r="H49">
        <v>23532.7</v>
      </c>
      <c r="I49" s="23">
        <f t="shared" si="1"/>
        <v>-1.5666795637306663E-2</v>
      </c>
    </row>
    <row r="50" spans="2:9" x14ac:dyDescent="0.25">
      <c r="B50" s="39" t="s">
        <v>89</v>
      </c>
      <c r="C50" s="37">
        <v>2507.6999999999998</v>
      </c>
      <c r="D50" s="23">
        <f t="shared" si="0"/>
        <v>8.0942055886253694E-2</v>
      </c>
      <c r="G50" t="s">
        <v>89</v>
      </c>
      <c r="H50">
        <v>24148.2</v>
      </c>
      <c r="I50" s="23">
        <f t="shared" si="1"/>
        <v>2.6155094825498049E-2</v>
      </c>
    </row>
    <row r="51" spans="2:9" x14ac:dyDescent="0.25">
      <c r="B51" s="39" t="s">
        <v>90</v>
      </c>
      <c r="C51" s="37">
        <v>2527.44</v>
      </c>
      <c r="D51" s="23">
        <f t="shared" si="0"/>
        <v>7.8717549946167864E-3</v>
      </c>
      <c r="G51" t="s">
        <v>90</v>
      </c>
      <c r="H51">
        <v>24304.35</v>
      </c>
      <c r="I51" s="23">
        <f t="shared" si="1"/>
        <v>6.4663204710908584E-3</v>
      </c>
    </row>
    <row r="52" spans="2:9" x14ac:dyDescent="0.25">
      <c r="B52" s="39" t="s">
        <v>91</v>
      </c>
      <c r="C52" s="37">
        <v>2518.02</v>
      </c>
      <c r="D52" s="23">
        <f t="shared" si="0"/>
        <v>-3.7270914443072733E-3</v>
      </c>
      <c r="G52" t="s">
        <v>91</v>
      </c>
      <c r="H52">
        <v>24180.799999999999</v>
      </c>
      <c r="I52" s="23">
        <f t="shared" si="1"/>
        <v>-5.0834521392261189E-3</v>
      </c>
    </row>
    <row r="53" spans="2:9" x14ac:dyDescent="0.25">
      <c r="B53" s="39" t="s">
        <v>92</v>
      </c>
      <c r="C53" s="37">
        <v>2706.32</v>
      </c>
      <c r="D53" s="23">
        <f t="shared" si="0"/>
        <v>7.4780978705490941E-2</v>
      </c>
      <c r="G53" t="s">
        <v>92</v>
      </c>
      <c r="H53">
        <v>24854.05</v>
      </c>
      <c r="I53" s="23">
        <f t="shared" si="1"/>
        <v>2.7842337722490562E-2</v>
      </c>
    </row>
    <row r="54" spans="2:9" x14ac:dyDescent="0.25">
      <c r="B54" s="39" t="s">
        <v>93</v>
      </c>
      <c r="C54" s="37">
        <v>2772.16</v>
      </c>
      <c r="D54" s="23">
        <f t="shared" si="0"/>
        <v>2.4328239084808745E-2</v>
      </c>
      <c r="G54" t="s">
        <v>93</v>
      </c>
      <c r="H54">
        <v>24964.25</v>
      </c>
      <c r="I54" s="23">
        <f t="shared" si="1"/>
        <v>4.4338850207512603E-3</v>
      </c>
    </row>
    <row r="55" spans="2:9" x14ac:dyDescent="0.25">
      <c r="B55" s="39" t="s">
        <v>94</v>
      </c>
      <c r="C55" s="37">
        <v>2837.45</v>
      </c>
      <c r="D55" s="23">
        <f t="shared" si="0"/>
        <v>2.3552031628766068E-2</v>
      </c>
      <c r="G55" t="s">
        <v>94</v>
      </c>
      <c r="H55">
        <v>25014.6</v>
      </c>
      <c r="I55" s="23">
        <f t="shared" si="1"/>
        <v>2.0168841443264363E-3</v>
      </c>
    </row>
    <row r="56" spans="2:9" x14ac:dyDescent="0.25">
      <c r="B56" s="39" t="s">
        <v>95</v>
      </c>
      <c r="C56" s="37">
        <v>2954.49</v>
      </c>
      <c r="D56" s="23">
        <f t="shared" si="0"/>
        <v>4.1248303934871E-2</v>
      </c>
      <c r="G56" t="s">
        <v>95</v>
      </c>
      <c r="H56">
        <v>26178.95</v>
      </c>
      <c r="I56" s="23">
        <f t="shared" si="1"/>
        <v>4.6546816659071233E-2</v>
      </c>
    </row>
    <row r="57" spans="2:9" x14ac:dyDescent="0.25">
      <c r="B57" s="39" t="s">
        <v>96</v>
      </c>
      <c r="C57" s="37">
        <v>2965.79</v>
      </c>
      <c r="D57" s="23">
        <f t="shared" si="0"/>
        <v>3.8246871710516661E-3</v>
      </c>
      <c r="G57" t="s">
        <v>96</v>
      </c>
      <c r="H57">
        <v>25790.95</v>
      </c>
      <c r="I57" s="23">
        <f t="shared" si="1"/>
        <v>-1.4821068071866894E-2</v>
      </c>
    </row>
    <row r="58" spans="2:9" x14ac:dyDescent="0.25">
      <c r="B58" s="39" t="s">
        <v>97</v>
      </c>
      <c r="C58" s="37">
        <v>2921.32</v>
      </c>
      <c r="D58" s="23">
        <f t="shared" si="0"/>
        <v>-1.4994318545817453E-2</v>
      </c>
      <c r="G58" t="s">
        <v>97</v>
      </c>
      <c r="H58">
        <v>25356.5</v>
      </c>
      <c r="I58" s="23">
        <f t="shared" si="1"/>
        <v>-1.684505611464493E-2</v>
      </c>
    </row>
    <row r="59" spans="2:9" x14ac:dyDescent="0.25">
      <c r="B59" s="39" t="s">
        <v>98</v>
      </c>
      <c r="C59" s="37">
        <v>2827.69</v>
      </c>
      <c r="D59" s="23">
        <f t="shared" si="0"/>
        <v>-3.2050579874851159E-2</v>
      </c>
      <c r="G59" t="s">
        <v>98</v>
      </c>
      <c r="H59">
        <v>24852.15</v>
      </c>
      <c r="I59" s="23">
        <f t="shared" si="1"/>
        <v>-1.9890363417664036E-2</v>
      </c>
    </row>
    <row r="60" spans="2:9" x14ac:dyDescent="0.25">
      <c r="B60" s="39" t="s">
        <v>99</v>
      </c>
      <c r="C60" s="37">
        <v>2766.98</v>
      </c>
      <c r="D60" s="23">
        <f t="shared" si="0"/>
        <v>-2.1469821656546539E-2</v>
      </c>
      <c r="G60" t="s">
        <v>99</v>
      </c>
      <c r="H60">
        <v>25235.9</v>
      </c>
      <c r="I60" s="23">
        <f t="shared" si="1"/>
        <v>1.544131996628062E-2</v>
      </c>
    </row>
    <row r="61" spans="2:9" x14ac:dyDescent="0.25">
      <c r="B61" s="39" t="s">
        <v>100</v>
      </c>
      <c r="C61" s="37">
        <v>2804.43</v>
      </c>
      <c r="D61" s="23">
        <f t="shared" si="0"/>
        <v>1.3534611742766378E-2</v>
      </c>
      <c r="G61" t="s">
        <v>100</v>
      </c>
      <c r="H61">
        <v>24823.15</v>
      </c>
      <c r="I61" s="23">
        <f t="shared" si="1"/>
        <v>-1.6355667917530181E-2</v>
      </c>
    </row>
    <row r="62" spans="2:9" x14ac:dyDescent="0.25">
      <c r="B62" s="39" t="s">
        <v>101</v>
      </c>
      <c r="C62" s="37">
        <v>2737.35</v>
      </c>
      <c r="D62" s="23">
        <f t="shared" si="0"/>
        <v>-2.3919299108909775E-2</v>
      </c>
      <c r="G62" t="s">
        <v>101</v>
      </c>
      <c r="H62">
        <v>24541.15</v>
      </c>
      <c r="I62" s="23">
        <f t="shared" si="1"/>
        <v>-1.1360363209342861E-2</v>
      </c>
    </row>
    <row r="63" spans="2:9" x14ac:dyDescent="0.25">
      <c r="B63" s="39" t="s">
        <v>102</v>
      </c>
      <c r="C63" s="37">
        <v>2736.3</v>
      </c>
      <c r="D63" s="23">
        <f t="shared" si="0"/>
        <v>-3.8358266206361957E-4</v>
      </c>
      <c r="G63" t="s">
        <v>102</v>
      </c>
      <c r="H63">
        <v>24367.5</v>
      </c>
      <c r="I63" s="23">
        <f t="shared" si="1"/>
        <v>-7.0758705276647849E-3</v>
      </c>
    </row>
    <row r="64" spans="2:9" x14ac:dyDescent="0.25">
      <c r="B64" s="39" t="s">
        <v>103</v>
      </c>
      <c r="C64" s="37">
        <v>2681.87</v>
      </c>
      <c r="D64" s="23">
        <f t="shared" si="0"/>
        <v>-1.9891824726820939E-2</v>
      </c>
      <c r="G64" t="s">
        <v>103</v>
      </c>
      <c r="H64">
        <v>24717.7</v>
      </c>
      <c r="I64" s="23">
        <f t="shared" si="1"/>
        <v>1.4371601518415877E-2</v>
      </c>
    </row>
    <row r="65" spans="2:9" x14ac:dyDescent="0.25">
      <c r="B65" s="39" t="s">
        <v>104</v>
      </c>
      <c r="C65" s="37">
        <v>2700.3</v>
      </c>
      <c r="D65" s="23">
        <f t="shared" si="0"/>
        <v>6.872070607449432E-3</v>
      </c>
      <c r="G65" t="s">
        <v>104</v>
      </c>
      <c r="H65">
        <v>24834.85</v>
      </c>
      <c r="I65" s="23">
        <f t="shared" si="1"/>
        <v>4.7395186445340354E-3</v>
      </c>
    </row>
    <row r="66" spans="2:9" x14ac:dyDescent="0.25">
      <c r="B66" s="39" t="s">
        <v>105</v>
      </c>
      <c r="C66" s="37">
        <v>2716.19</v>
      </c>
      <c r="D66" s="23">
        <f t="shared" si="0"/>
        <v>5.8845313483686379E-3</v>
      </c>
      <c r="G66" t="s">
        <v>105</v>
      </c>
      <c r="H66">
        <v>24530.9</v>
      </c>
      <c r="I66" s="23">
        <f t="shared" si="1"/>
        <v>-1.2238849842056476E-2</v>
      </c>
    </row>
    <row r="67" spans="2:9" x14ac:dyDescent="0.25">
      <c r="B67" s="39" t="s">
        <v>106</v>
      </c>
      <c r="C67" s="37">
        <v>2611.85</v>
      </c>
      <c r="D67" s="23">
        <f t="shared" si="0"/>
        <v>-3.8414102106259174E-2</v>
      </c>
      <c r="G67" t="s">
        <v>106</v>
      </c>
      <c r="H67">
        <v>24502.15</v>
      </c>
      <c r="I67" s="23">
        <f t="shared" si="1"/>
        <v>-1.1719912436967128E-3</v>
      </c>
    </row>
    <row r="68" spans="2:9" x14ac:dyDescent="0.25">
      <c r="B68" s="39" t="s">
        <v>107</v>
      </c>
      <c r="C68" s="37">
        <v>2536.9</v>
      </c>
      <c r="D68" s="23">
        <f t="shared" si="0"/>
        <v>-2.8696134923521521E-2</v>
      </c>
      <c r="G68" t="s">
        <v>107</v>
      </c>
      <c r="H68">
        <v>24323.85</v>
      </c>
      <c r="I68" s="23">
        <f t="shared" si="1"/>
        <v>-7.2769124342150215E-3</v>
      </c>
    </row>
    <row r="69" spans="2:9" x14ac:dyDescent="0.25">
      <c r="B69" s="39" t="s">
        <v>108</v>
      </c>
      <c r="C69" s="37">
        <v>2463.2399999999998</v>
      </c>
      <c r="D69" s="23">
        <f t="shared" si="0"/>
        <v>-2.9035436950609173E-2</v>
      </c>
      <c r="G69" t="s">
        <v>108</v>
      </c>
      <c r="H69">
        <v>24010.6</v>
      </c>
      <c r="I69" s="23">
        <f t="shared" si="1"/>
        <v>-1.2878306682535867E-2</v>
      </c>
    </row>
    <row r="70" spans="2:9" x14ac:dyDescent="0.25">
      <c r="B70" s="39" t="s">
        <v>109</v>
      </c>
      <c r="C70" s="37">
        <v>2390.1219845035107</v>
      </c>
      <c r="D70" s="23">
        <f t="shared" si="0"/>
        <v>-2.9683674955135908E-2</v>
      </c>
      <c r="G70" t="s">
        <v>109</v>
      </c>
      <c r="H70">
        <v>23501.1</v>
      </c>
      <c r="I70" s="23">
        <f t="shared" si="1"/>
        <v>-2.1219794590722429E-2</v>
      </c>
    </row>
    <row r="71" spans="2:9" x14ac:dyDescent="0.25">
      <c r="B71" s="39" t="s">
        <v>110</v>
      </c>
      <c r="C71" s="37">
        <v>2469.92</v>
      </c>
      <c r="D71" s="23">
        <f t="shared" ref="D71:D108" si="2">C71/C70-1</f>
        <v>3.3386586966633658E-2</v>
      </c>
      <c r="G71" t="s">
        <v>110</v>
      </c>
      <c r="H71">
        <v>23465.599999999999</v>
      </c>
      <c r="I71" s="23">
        <f t="shared" si="1"/>
        <v>-1.5105675904532045E-3</v>
      </c>
    </row>
    <row r="72" spans="2:9" x14ac:dyDescent="0.25">
      <c r="B72" s="39" t="s">
        <v>111</v>
      </c>
      <c r="C72" s="37">
        <v>2567.58</v>
      </c>
      <c r="D72" s="23">
        <f t="shared" si="2"/>
        <v>3.9539742177884252E-2</v>
      </c>
      <c r="G72" t="s">
        <v>111</v>
      </c>
      <c r="H72">
        <v>23290.15</v>
      </c>
      <c r="I72" s="23">
        <f t="shared" si="1"/>
        <v>-7.4769023591980677E-3</v>
      </c>
    </row>
    <row r="73" spans="2:9" x14ac:dyDescent="0.25">
      <c r="B73" s="39" t="s">
        <v>112</v>
      </c>
      <c r="C73" s="37">
        <v>2319.81</v>
      </c>
      <c r="D73" s="23">
        <f t="shared" si="2"/>
        <v>-9.6499427476456456E-2</v>
      </c>
      <c r="G73" t="s">
        <v>112</v>
      </c>
      <c r="H73">
        <v>22530.7</v>
      </c>
      <c r="I73" s="23">
        <f t="shared" ref="I73:I110" si="3">H73/H72-1</f>
        <v>-3.2608205614820029E-2</v>
      </c>
    </row>
    <row r="74" spans="2:9" x14ac:dyDescent="0.25">
      <c r="B74" s="39" t="s">
        <v>113</v>
      </c>
      <c r="C74" s="37">
        <v>2359.65</v>
      </c>
      <c r="D74" s="23">
        <f t="shared" si="2"/>
        <v>1.7173820269763551E-2</v>
      </c>
      <c r="G74" t="s">
        <v>113</v>
      </c>
      <c r="H74">
        <v>22957.1</v>
      </c>
      <c r="I74" s="23">
        <f t="shared" si="3"/>
        <v>1.8925288606212787E-2</v>
      </c>
    </row>
    <row r="75" spans="2:9" x14ac:dyDescent="0.25">
      <c r="B75" s="39" t="s">
        <v>114</v>
      </c>
      <c r="C75" s="37">
        <v>2311.15</v>
      </c>
      <c r="D75" s="23">
        <f t="shared" si="2"/>
        <v>-2.0553895704871539E-2</v>
      </c>
      <c r="G75" t="s">
        <v>114</v>
      </c>
      <c r="H75">
        <v>22466.1</v>
      </c>
      <c r="I75" s="23">
        <f t="shared" si="3"/>
        <v>-2.1387718832082458E-2</v>
      </c>
    </row>
    <row r="76" spans="2:9" x14ac:dyDescent="0.25">
      <c r="B76" s="39" t="s">
        <v>115</v>
      </c>
      <c r="C76" s="37">
        <v>2353.1799999999998</v>
      </c>
      <c r="D76" s="23">
        <f t="shared" si="2"/>
        <v>1.8185751682062934E-2</v>
      </c>
      <c r="G76" t="s">
        <v>115</v>
      </c>
      <c r="H76">
        <v>22055.200000000001</v>
      </c>
      <c r="I76" s="23">
        <f t="shared" si="3"/>
        <v>-1.8289778822314418E-2</v>
      </c>
    </row>
    <row r="77" spans="2:9" x14ac:dyDescent="0.25">
      <c r="B77" s="39" t="s">
        <v>116</v>
      </c>
      <c r="C77" s="37">
        <v>2208.2600000000002</v>
      </c>
      <c r="D77" s="23">
        <f t="shared" si="2"/>
        <v>-6.1584749147961304E-2</v>
      </c>
      <c r="G77" t="s">
        <v>116</v>
      </c>
      <c r="H77">
        <v>22475.85</v>
      </c>
      <c r="I77" s="23">
        <f t="shared" si="3"/>
        <v>1.9072599659037293E-2</v>
      </c>
    </row>
    <row r="78" spans="2:9" x14ac:dyDescent="0.25">
      <c r="B78" s="39" t="s">
        <v>117</v>
      </c>
      <c r="C78" s="37">
        <v>2213.83</v>
      </c>
      <c r="D78" s="23">
        <f t="shared" si="2"/>
        <v>2.5223479119305114E-3</v>
      </c>
      <c r="G78" t="s">
        <v>117</v>
      </c>
      <c r="H78">
        <v>22419.95</v>
      </c>
      <c r="I78" s="23">
        <f t="shared" si="3"/>
        <v>-2.4871139467471659E-3</v>
      </c>
    </row>
    <row r="79" spans="2:9" x14ac:dyDescent="0.25">
      <c r="B79" s="39" t="s">
        <v>118</v>
      </c>
      <c r="C79" s="37">
        <v>2222.75</v>
      </c>
      <c r="D79" s="23">
        <f t="shared" si="2"/>
        <v>4.029216335490915E-3</v>
      </c>
      <c r="G79" t="s">
        <v>118</v>
      </c>
      <c r="H79">
        <v>22147</v>
      </c>
      <c r="I79" s="23">
        <f t="shared" si="3"/>
        <v>-1.2174425009868428E-2</v>
      </c>
    </row>
    <row r="80" spans="2:9" x14ac:dyDescent="0.25">
      <c r="B80" s="39" t="s">
        <v>119</v>
      </c>
      <c r="C80" s="37">
        <v>2223.4499999999998</v>
      </c>
      <c r="D80" s="23">
        <f t="shared" si="2"/>
        <v>3.1492520526366086E-4</v>
      </c>
      <c r="G80" t="s">
        <v>119</v>
      </c>
      <c r="H80">
        <v>22519.4</v>
      </c>
      <c r="I80" s="23">
        <f t="shared" si="3"/>
        <v>1.6814918499119536E-2</v>
      </c>
    </row>
    <row r="81" spans="2:9" x14ac:dyDescent="0.25">
      <c r="B81" s="39" t="s">
        <v>120</v>
      </c>
      <c r="C81" s="37">
        <v>2257.96</v>
      </c>
      <c r="D81" s="23">
        <f t="shared" si="2"/>
        <v>1.5520924689109261E-2</v>
      </c>
      <c r="G81" t="s">
        <v>120</v>
      </c>
      <c r="H81">
        <v>22513.7</v>
      </c>
      <c r="I81" s="23">
        <f t="shared" si="3"/>
        <v>-2.5311509187642134E-4</v>
      </c>
    </row>
    <row r="82" spans="2:9" x14ac:dyDescent="0.25">
      <c r="B82" s="39" t="s">
        <v>121</v>
      </c>
      <c r="C82" s="37">
        <v>2255.37</v>
      </c>
      <c r="D82" s="23">
        <f t="shared" si="2"/>
        <v>-1.1470530921717792E-3</v>
      </c>
      <c r="G82" t="s">
        <v>121</v>
      </c>
      <c r="H82">
        <v>22326.9</v>
      </c>
      <c r="I82" s="23">
        <f t="shared" si="3"/>
        <v>-8.2971701674979803E-3</v>
      </c>
    </row>
    <row r="83" spans="2:9" x14ac:dyDescent="0.25">
      <c r="B83" s="39" t="s">
        <v>122</v>
      </c>
      <c r="C83" s="37">
        <v>2247.6</v>
      </c>
      <c r="D83" s="23">
        <f t="shared" si="2"/>
        <v>-3.4451110017424957E-3</v>
      </c>
      <c r="G83" t="s">
        <v>122</v>
      </c>
      <c r="H83">
        <v>22096.75</v>
      </c>
      <c r="I83" s="23">
        <f t="shared" si="3"/>
        <v>-1.0308193255669229E-2</v>
      </c>
    </row>
    <row r="84" spans="2:9" x14ac:dyDescent="0.25">
      <c r="B84" s="39" t="s">
        <v>123</v>
      </c>
      <c r="C84" s="37">
        <v>2318.4699999999998</v>
      </c>
      <c r="D84" s="23">
        <f t="shared" si="2"/>
        <v>3.1531411283146404E-2</v>
      </c>
      <c r="G84" t="s">
        <v>123</v>
      </c>
      <c r="H84">
        <v>22023.35</v>
      </c>
      <c r="I84" s="23">
        <f t="shared" si="3"/>
        <v>-3.3217554617761547E-3</v>
      </c>
    </row>
    <row r="85" spans="2:9" x14ac:dyDescent="0.25">
      <c r="B85" s="39" t="s">
        <v>124</v>
      </c>
      <c r="C85" s="37">
        <v>2409.9499999999998</v>
      </c>
      <c r="D85" s="23">
        <f t="shared" si="2"/>
        <v>3.9457055730719004E-2</v>
      </c>
      <c r="G85" t="s">
        <v>124</v>
      </c>
      <c r="H85">
        <v>22493.55</v>
      </c>
      <c r="I85" s="23">
        <f t="shared" si="3"/>
        <v>2.1350067087886337E-2</v>
      </c>
    </row>
    <row r="86" spans="2:9" x14ac:dyDescent="0.25">
      <c r="B86" s="39" t="s">
        <v>125</v>
      </c>
      <c r="C86" s="37">
        <v>2400.14</v>
      </c>
      <c r="D86" s="23">
        <f t="shared" si="2"/>
        <v>-4.0706238718645205E-3</v>
      </c>
      <c r="G86" t="s">
        <v>125</v>
      </c>
      <c r="H86">
        <v>22338.75</v>
      </c>
      <c r="I86" s="23">
        <f t="shared" si="3"/>
        <v>-6.8819728322118134E-3</v>
      </c>
    </row>
    <row r="87" spans="2:9" x14ac:dyDescent="0.25">
      <c r="B87" s="39" t="s">
        <v>126</v>
      </c>
      <c r="C87" s="37">
        <v>2384.6</v>
      </c>
      <c r="D87" s="23">
        <f t="shared" si="2"/>
        <v>-6.4746223136983305E-3</v>
      </c>
      <c r="G87" t="s">
        <v>126</v>
      </c>
      <c r="H87">
        <v>22212.7</v>
      </c>
      <c r="I87" s="23">
        <f t="shared" si="3"/>
        <v>-5.6426612948351496E-3</v>
      </c>
    </row>
    <row r="88" spans="2:9" x14ac:dyDescent="0.25">
      <c r="B88" s="39" t="s">
        <v>127</v>
      </c>
      <c r="C88" s="37">
        <v>2365.83</v>
      </c>
      <c r="D88" s="23">
        <f t="shared" si="2"/>
        <v>-7.8713411054265325E-3</v>
      </c>
      <c r="G88" t="s">
        <v>127</v>
      </c>
      <c r="H88">
        <v>22040.7</v>
      </c>
      <c r="I88" s="23">
        <f t="shared" si="3"/>
        <v>-7.7433180117680855E-3</v>
      </c>
    </row>
    <row r="89" spans="2:9" x14ac:dyDescent="0.25">
      <c r="B89" s="39" t="s">
        <v>128</v>
      </c>
      <c r="C89" s="37">
        <v>2414.54</v>
      </c>
      <c r="D89" s="23">
        <f t="shared" si="2"/>
        <v>2.0588968776285688E-2</v>
      </c>
      <c r="G89" t="s">
        <v>128</v>
      </c>
      <c r="H89">
        <v>21782.5</v>
      </c>
      <c r="I89" s="23">
        <f t="shared" si="3"/>
        <v>-1.1714691457167858E-2</v>
      </c>
    </row>
    <row r="90" spans="2:9" x14ac:dyDescent="0.25">
      <c r="B90" s="39" t="s">
        <v>129</v>
      </c>
      <c r="C90" s="37">
        <v>2442.87</v>
      </c>
      <c r="D90" s="23">
        <f t="shared" si="2"/>
        <v>1.1733083734375871E-2</v>
      </c>
      <c r="G90" t="s">
        <v>129</v>
      </c>
      <c r="H90">
        <v>21853.8</v>
      </c>
      <c r="I90" s="23">
        <f t="shared" si="3"/>
        <v>3.273269826695735E-3</v>
      </c>
    </row>
    <row r="91" spans="2:9" x14ac:dyDescent="0.25">
      <c r="B91" s="39" t="s">
        <v>130</v>
      </c>
      <c r="C91" s="37">
        <v>2418.67</v>
      </c>
      <c r="D91" s="23">
        <f t="shared" si="2"/>
        <v>-9.9063806096926221E-3</v>
      </c>
      <c r="G91" t="s">
        <v>130</v>
      </c>
      <c r="H91">
        <v>21352.6</v>
      </c>
      <c r="I91" s="23">
        <f t="shared" si="3"/>
        <v>-2.2934226541837188E-2</v>
      </c>
    </row>
    <row r="92" spans="2:9" x14ac:dyDescent="0.25">
      <c r="B92" s="39" t="s">
        <v>131</v>
      </c>
      <c r="C92" s="37">
        <v>2555.23</v>
      </c>
      <c r="D92" s="23">
        <f t="shared" si="2"/>
        <v>5.6460782165404844E-2</v>
      </c>
      <c r="G92" t="s">
        <v>131</v>
      </c>
      <c r="H92">
        <v>21622.400000000001</v>
      </c>
      <c r="I92" s="23">
        <f t="shared" si="3"/>
        <v>1.2635463596939234E-2</v>
      </c>
    </row>
    <row r="93" spans="2:9" x14ac:dyDescent="0.25">
      <c r="B93" s="39" t="s">
        <v>132</v>
      </c>
      <c r="C93" s="37">
        <v>2533.91</v>
      </c>
      <c r="D93" s="23">
        <f t="shared" si="2"/>
        <v>-8.3436716068613359E-3</v>
      </c>
      <c r="G93" t="s">
        <v>132</v>
      </c>
      <c r="H93">
        <v>21894.55</v>
      </c>
      <c r="I93" s="23">
        <f t="shared" si="3"/>
        <v>1.2586484386561958E-2</v>
      </c>
    </row>
    <row r="94" spans="2:9" x14ac:dyDescent="0.25">
      <c r="B94" s="39" t="s">
        <v>133</v>
      </c>
      <c r="C94" s="37">
        <v>2609.66</v>
      </c>
      <c r="D94" s="23">
        <f t="shared" si="2"/>
        <v>2.989451085476591E-2</v>
      </c>
      <c r="G94" t="s">
        <v>133</v>
      </c>
      <c r="H94">
        <v>21710.799999999999</v>
      </c>
      <c r="I94" s="23">
        <f t="shared" si="3"/>
        <v>-8.3924995033010097E-3</v>
      </c>
    </row>
    <row r="95" spans="2:9" x14ac:dyDescent="0.25">
      <c r="B95" s="39" t="s">
        <v>134</v>
      </c>
      <c r="C95" s="37">
        <v>2653.39</v>
      </c>
      <c r="D95" s="23">
        <f t="shared" si="2"/>
        <v>1.6756972172620177E-2</v>
      </c>
      <c r="G95" t="s">
        <v>134</v>
      </c>
      <c r="H95">
        <v>21731.4</v>
      </c>
      <c r="I95" s="23">
        <f t="shared" si="3"/>
        <v>9.4883652375776784E-4</v>
      </c>
    </row>
    <row r="96" spans="2:9" x14ac:dyDescent="0.25">
      <c r="B96" s="39" t="s">
        <v>135</v>
      </c>
      <c r="C96" s="37">
        <v>2565.39</v>
      </c>
      <c r="D96" s="23">
        <f t="shared" si="2"/>
        <v>-3.3165120845409124E-2</v>
      </c>
      <c r="G96" t="s">
        <v>135</v>
      </c>
      <c r="H96">
        <v>21349.4</v>
      </c>
      <c r="I96" s="23">
        <f t="shared" si="3"/>
        <v>-1.7578250825993735E-2</v>
      </c>
    </row>
    <row r="97" spans="2:9" x14ac:dyDescent="0.25">
      <c r="B97" s="39" t="s">
        <v>136</v>
      </c>
      <c r="C97" s="37">
        <v>2512.89</v>
      </c>
      <c r="D97" s="23">
        <f t="shared" si="2"/>
        <v>-2.0464724661747313E-2</v>
      </c>
      <c r="G97" t="s">
        <v>136</v>
      </c>
      <c r="H97">
        <v>21456.65</v>
      </c>
      <c r="I97" s="23">
        <f t="shared" si="3"/>
        <v>5.023560381087977E-3</v>
      </c>
    </row>
    <row r="98" spans="2:9" x14ac:dyDescent="0.25">
      <c r="B98" s="39" t="s">
        <v>137</v>
      </c>
      <c r="C98" s="37">
        <v>2512.3000000000002</v>
      </c>
      <c r="D98" s="23">
        <f t="shared" si="2"/>
        <v>-2.3478942572086048E-4</v>
      </c>
      <c r="G98" t="s">
        <v>137</v>
      </c>
      <c r="H98">
        <v>20969.400000000001</v>
      </c>
      <c r="I98" s="23">
        <f t="shared" si="3"/>
        <v>-2.2708577527246754E-2</v>
      </c>
    </row>
    <row r="99" spans="2:9" x14ac:dyDescent="0.25">
      <c r="B99" s="39" t="s">
        <v>138</v>
      </c>
      <c r="C99" s="37">
        <v>2553.48</v>
      </c>
      <c r="D99" s="23">
        <f t="shared" si="2"/>
        <v>1.639135453568441E-2</v>
      </c>
      <c r="G99" t="s">
        <v>138</v>
      </c>
      <c r="H99">
        <v>20267.900000000001</v>
      </c>
      <c r="I99" s="23">
        <f t="shared" si="3"/>
        <v>-3.3453508445639879E-2</v>
      </c>
    </row>
    <row r="100" spans="2:9" x14ac:dyDescent="0.25">
      <c r="B100" s="39" t="s">
        <v>139</v>
      </c>
      <c r="C100" s="37">
        <v>2505.23</v>
      </c>
      <c r="D100" s="23">
        <f t="shared" si="2"/>
        <v>-1.8895781443363568E-2</v>
      </c>
      <c r="G100" t="s">
        <v>139</v>
      </c>
      <c r="H100">
        <v>19794.7</v>
      </c>
      <c r="I100" s="23">
        <f t="shared" si="3"/>
        <v>-2.3347263406667706E-2</v>
      </c>
    </row>
    <row r="101" spans="2:9" x14ac:dyDescent="0.25">
      <c r="B101" s="39" t="s">
        <v>140</v>
      </c>
      <c r="C101" s="37">
        <v>2518.77</v>
      </c>
      <c r="D101" s="23">
        <f t="shared" si="2"/>
        <v>5.4046933814460019E-3</v>
      </c>
      <c r="G101" t="s">
        <v>140</v>
      </c>
      <c r="H101">
        <v>19731.8</v>
      </c>
      <c r="I101" s="23">
        <f t="shared" si="3"/>
        <v>-3.1776182513502116E-3</v>
      </c>
    </row>
    <row r="102" spans="2:9" x14ac:dyDescent="0.25">
      <c r="B102" s="39" t="s">
        <v>141</v>
      </c>
      <c r="C102" s="37">
        <v>2458.69</v>
      </c>
      <c r="D102" s="23">
        <f t="shared" si="2"/>
        <v>-2.3852912334194842E-2</v>
      </c>
      <c r="G102" t="s">
        <v>141</v>
      </c>
      <c r="H102">
        <v>19425.349999999999</v>
      </c>
      <c r="I102" s="23">
        <f t="shared" si="3"/>
        <v>-1.5530767593427863E-2</v>
      </c>
    </row>
    <row r="103" spans="2:9" x14ac:dyDescent="0.25">
      <c r="B103" s="39" t="s">
        <v>142</v>
      </c>
      <c r="C103" s="37">
        <v>2499.3000000000002</v>
      </c>
      <c r="D103" s="23">
        <f t="shared" si="2"/>
        <v>1.6516925679935346E-2</v>
      </c>
      <c r="G103" t="s">
        <v>142</v>
      </c>
      <c r="H103">
        <v>19230.599999999999</v>
      </c>
      <c r="I103" s="23">
        <f t="shared" si="3"/>
        <v>-1.0025559385030358E-2</v>
      </c>
    </row>
    <row r="104" spans="2:9" x14ac:dyDescent="0.25">
      <c r="B104" s="39" t="s">
        <v>143</v>
      </c>
      <c r="C104" s="37">
        <v>2472.21</v>
      </c>
      <c r="D104" s="23">
        <f t="shared" si="2"/>
        <v>-1.0839034929780444E-2</v>
      </c>
      <c r="G104" t="s">
        <v>143</v>
      </c>
      <c r="H104">
        <v>19047.25</v>
      </c>
      <c r="I104" s="23">
        <f t="shared" si="3"/>
        <v>-9.5342839016983039E-3</v>
      </c>
    </row>
    <row r="105" spans="2:9" x14ac:dyDescent="0.25">
      <c r="B105" s="39" t="s">
        <v>144</v>
      </c>
      <c r="C105" s="37">
        <v>2485.25</v>
      </c>
      <c r="D105" s="23">
        <f t="shared" si="2"/>
        <v>5.2746328184094526E-3</v>
      </c>
      <c r="G105" t="s">
        <v>144</v>
      </c>
      <c r="H105">
        <v>19542.650000000001</v>
      </c>
      <c r="I105" s="23">
        <f t="shared" si="3"/>
        <v>2.6009003924451157E-2</v>
      </c>
    </row>
    <row r="106" spans="2:9" x14ac:dyDescent="0.25">
      <c r="B106" s="39" t="s">
        <v>145</v>
      </c>
      <c r="C106" s="37">
        <v>2559.2600000000002</v>
      </c>
      <c r="D106" s="23">
        <f t="shared" si="2"/>
        <v>2.9779700231365114E-2</v>
      </c>
      <c r="G106" t="s">
        <v>145</v>
      </c>
      <c r="H106">
        <v>19751.05</v>
      </c>
      <c r="I106" s="23">
        <f t="shared" si="3"/>
        <v>1.0663855720692839E-2</v>
      </c>
    </row>
    <row r="107" spans="2:9" x14ac:dyDescent="0.25">
      <c r="B107" s="39" t="s">
        <v>146</v>
      </c>
      <c r="C107" s="37">
        <v>2489.4899999999998</v>
      </c>
      <c r="D107" s="23">
        <f t="shared" si="2"/>
        <v>-2.7261786610192185E-2</v>
      </c>
      <c r="G107" t="s">
        <v>146</v>
      </c>
      <c r="H107">
        <v>19653.5</v>
      </c>
      <c r="I107" s="23">
        <f t="shared" si="3"/>
        <v>-4.9389779277556611E-3</v>
      </c>
    </row>
    <row r="108" spans="2:9" x14ac:dyDescent="0.25">
      <c r="B108" s="39" t="s">
        <v>147</v>
      </c>
      <c r="C108" s="37">
        <v>2455.8200000000002</v>
      </c>
      <c r="D108" s="23">
        <f t="shared" si="2"/>
        <v>-1.3524858505155501E-2</v>
      </c>
      <c r="G108" t="s">
        <v>147</v>
      </c>
      <c r="H108">
        <v>19638.3</v>
      </c>
      <c r="I108" s="23">
        <f t="shared" si="3"/>
        <v>-7.7339914010232658E-4</v>
      </c>
    </row>
    <row r="109" spans="2:9" x14ac:dyDescent="0.25">
      <c r="B109" s="39" t="s">
        <v>148</v>
      </c>
      <c r="C109" s="37">
        <v>2472.6</v>
      </c>
      <c r="D109" s="23">
        <f>C109/C108-1</f>
        <v>6.8327483284604806E-3</v>
      </c>
      <c r="G109" t="s">
        <v>148</v>
      </c>
      <c r="H109">
        <v>19674.25</v>
      </c>
      <c r="I109" s="23">
        <f t="shared" si="3"/>
        <v>1.8306065188942178E-3</v>
      </c>
    </row>
    <row r="110" spans="2:9" x14ac:dyDescent="0.25">
      <c r="B110" s="39" t="s">
        <v>149</v>
      </c>
      <c r="C110" s="37">
        <v>2459.91</v>
      </c>
      <c r="D110" s="23">
        <f>C110/C109-1</f>
        <v>-5.1322494540160246E-3</v>
      </c>
      <c r="G110" t="s">
        <v>149</v>
      </c>
      <c r="H110">
        <v>20192.349999999999</v>
      </c>
      <c r="I110" s="23">
        <f t="shared" si="3"/>
        <v>2.6333913618054039E-2</v>
      </c>
    </row>
  </sheetData>
  <mergeCells count="3">
    <mergeCell ref="L4:O4"/>
    <mergeCell ref="B4:E4"/>
    <mergeCell ref="G4:J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showGridLines="0" workbookViewId="0">
      <selection activeCell="C5" sqref="C5:E5"/>
    </sheetView>
  </sheetViews>
  <sheetFormatPr defaultRowHeight="15" x14ac:dyDescent="0.25"/>
  <cols>
    <col min="1" max="1" width="1.85546875" customWidth="1"/>
    <col min="3" max="3" width="16" bestFit="1" customWidth="1"/>
    <col min="4" max="4" width="9.85546875" customWidth="1"/>
    <col min="5" max="5" width="14.140625" bestFit="1" customWidth="1"/>
    <col min="6" max="6" width="10.7109375" bestFit="1" customWidth="1"/>
    <col min="18" max="18" width="5.7109375" bestFit="1" customWidth="1"/>
    <col min="19" max="19" width="16.5703125" bestFit="1" customWidth="1"/>
    <col min="21" max="21" width="14.140625" bestFit="1" customWidth="1"/>
    <col min="22" max="22" width="10.7109375" bestFit="1" customWidth="1"/>
  </cols>
  <sheetData>
    <row r="2" spans="2:7" x14ac:dyDescent="0.25">
      <c r="B2" t="s">
        <v>194</v>
      </c>
      <c r="C2" t="s">
        <v>43</v>
      </c>
      <c r="D2" t="s">
        <v>198</v>
      </c>
      <c r="E2" t="s">
        <v>199</v>
      </c>
      <c r="F2" t="s">
        <v>200</v>
      </c>
      <c r="G2" t="s">
        <v>195</v>
      </c>
    </row>
    <row r="3" spans="2:7" x14ac:dyDescent="0.25">
      <c r="B3" s="51">
        <v>1</v>
      </c>
      <c r="C3" t="s">
        <v>15</v>
      </c>
      <c r="D3">
        <v>2633.4</v>
      </c>
      <c r="E3">
        <v>618590.57999999996</v>
      </c>
      <c r="F3">
        <v>1648</v>
      </c>
      <c r="G3">
        <v>0.03</v>
      </c>
    </row>
    <row r="4" spans="2:7" x14ac:dyDescent="0.25">
      <c r="B4" s="51">
        <v>2</v>
      </c>
      <c r="C4" t="s">
        <v>196</v>
      </c>
      <c r="D4">
        <v>407.35</v>
      </c>
      <c r="E4">
        <v>510334.97</v>
      </c>
      <c r="F4">
        <v>284.54000000000002</v>
      </c>
      <c r="G4">
        <v>0</v>
      </c>
    </row>
    <row r="5" spans="2:7" x14ac:dyDescent="0.25">
      <c r="B5" s="51">
        <v>3</v>
      </c>
      <c r="C5" t="s">
        <v>17</v>
      </c>
      <c r="D5">
        <v>1208.5</v>
      </c>
      <c r="E5">
        <v>233046.39</v>
      </c>
      <c r="F5">
        <v>1166.8499999999999</v>
      </c>
      <c r="G5">
        <v>0.28000000000000003</v>
      </c>
    </row>
    <row r="6" spans="2:7" x14ac:dyDescent="0.25">
      <c r="B6" s="51">
        <v>4</v>
      </c>
      <c r="C6" t="s">
        <v>197</v>
      </c>
      <c r="D6">
        <v>469.65</v>
      </c>
      <c r="E6">
        <v>158850.03</v>
      </c>
      <c r="F6">
        <v>2138.25</v>
      </c>
      <c r="G6">
        <v>0.12</v>
      </c>
    </row>
    <row r="7" spans="2:7" x14ac:dyDescent="0.25">
      <c r="B7" s="51">
        <v>5</v>
      </c>
      <c r="C7" t="s">
        <v>18</v>
      </c>
      <c r="D7">
        <v>6076</v>
      </c>
      <c r="E7">
        <v>146367.21</v>
      </c>
      <c r="F7">
        <v>1246.51</v>
      </c>
      <c r="G7">
        <v>0.28999999999999998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showGridLines="0" workbookViewId="0">
      <selection activeCell="F7" sqref="F7"/>
    </sheetView>
  </sheetViews>
  <sheetFormatPr defaultRowHeight="15" x14ac:dyDescent="0.25"/>
  <cols>
    <col min="1" max="1" width="1.85546875" customWidth="1"/>
    <col min="5" max="5" width="18.85546875" bestFit="1" customWidth="1"/>
  </cols>
  <sheetData>
    <row r="2" spans="2:8" x14ac:dyDescent="0.25">
      <c r="B2" s="58" t="s">
        <v>205</v>
      </c>
      <c r="C2" s="58"/>
      <c r="D2" s="58"/>
      <c r="E2" s="58"/>
      <c r="F2" s="58"/>
      <c r="G2" s="58"/>
      <c r="H2" s="58"/>
    </row>
    <row r="4" spans="2:8" x14ac:dyDescent="0.25">
      <c r="B4" s="51" t="s">
        <v>203</v>
      </c>
      <c r="C4" s="37" t="s">
        <v>204</v>
      </c>
    </row>
    <row r="5" spans="2:8" x14ac:dyDescent="0.25">
      <c r="B5" s="51">
        <v>2000</v>
      </c>
      <c r="C5" s="57">
        <v>-0.14649999999999999</v>
      </c>
      <c r="E5" t="s">
        <v>206</v>
      </c>
      <c r="F5" s="32">
        <f>AVERAGE(C5:C29)</f>
        <v>0.15334799999999998</v>
      </c>
    </row>
    <row r="6" spans="2:8" ht="17.25" x14ac:dyDescent="0.25">
      <c r="B6" s="51">
        <v>2001</v>
      </c>
      <c r="C6" s="57">
        <v>-0.1618</v>
      </c>
      <c r="E6" t="s">
        <v>207</v>
      </c>
      <c r="F6" s="59" t="s">
        <v>209</v>
      </c>
    </row>
    <row r="7" spans="2:8" x14ac:dyDescent="0.25">
      <c r="B7" s="51">
        <v>2002</v>
      </c>
      <c r="C7" s="57">
        <v>3.2500000000000001E-2</v>
      </c>
      <c r="E7" s="1" t="s">
        <v>210</v>
      </c>
      <c r="F7" s="60">
        <f>SUM(F5:F6)</f>
        <v>0.15334799999999998</v>
      </c>
    </row>
    <row r="8" spans="2:8" x14ac:dyDescent="0.25">
      <c r="B8" s="51">
        <v>2003</v>
      </c>
      <c r="C8" s="57">
        <v>0.71900000000000008</v>
      </c>
    </row>
    <row r="9" spans="2:8" x14ac:dyDescent="0.25">
      <c r="B9" s="51">
        <v>2004</v>
      </c>
      <c r="C9" s="57">
        <v>0.10679999999999999</v>
      </c>
    </row>
    <row r="10" spans="2:8" x14ac:dyDescent="0.25">
      <c r="B10" s="51">
        <v>2005</v>
      </c>
      <c r="C10" s="57">
        <v>0.36340000000000006</v>
      </c>
    </row>
    <row r="11" spans="2:8" x14ac:dyDescent="0.25">
      <c r="B11" s="51">
        <v>2006</v>
      </c>
      <c r="C11" s="57">
        <v>0.39829999999999999</v>
      </c>
    </row>
    <row r="12" spans="2:8" x14ac:dyDescent="0.25">
      <c r="B12" s="51">
        <v>2007</v>
      </c>
      <c r="C12" s="57">
        <v>0.54770000000000008</v>
      </c>
    </row>
    <row r="13" spans="2:8" x14ac:dyDescent="0.25">
      <c r="B13" s="51">
        <v>2008</v>
      </c>
      <c r="C13" s="57">
        <v>-0.51790000000000003</v>
      </c>
    </row>
    <row r="14" spans="2:8" x14ac:dyDescent="0.25">
      <c r="B14" s="51">
        <v>2009</v>
      </c>
      <c r="C14" s="57">
        <v>0.75760000000000005</v>
      </c>
    </row>
    <row r="15" spans="2:8" x14ac:dyDescent="0.25">
      <c r="B15" s="51">
        <v>2010</v>
      </c>
      <c r="C15" s="57">
        <v>0.17949999999999999</v>
      </c>
    </row>
    <row r="16" spans="2:8" x14ac:dyDescent="0.25">
      <c r="B16" s="51">
        <v>2011</v>
      </c>
      <c r="C16" s="57">
        <v>-0.2462</v>
      </c>
    </row>
    <row r="17" spans="2:3" x14ac:dyDescent="0.25">
      <c r="B17" s="51">
        <v>2012</v>
      </c>
      <c r="C17" s="57">
        <v>0.27699999999999997</v>
      </c>
    </row>
    <row r="18" spans="2:3" x14ac:dyDescent="0.25">
      <c r="B18" s="51">
        <v>2013</v>
      </c>
      <c r="C18" s="57">
        <v>6.7599999999999993E-2</v>
      </c>
    </row>
    <row r="19" spans="2:3" x14ac:dyDescent="0.25">
      <c r="B19" s="51">
        <v>2014</v>
      </c>
      <c r="C19" s="57">
        <v>0.31390000000000001</v>
      </c>
    </row>
    <row r="20" spans="2:3" x14ac:dyDescent="0.25">
      <c r="B20" s="51">
        <v>2015</v>
      </c>
      <c r="C20" s="57">
        <v>-4.0599999999999997E-2</v>
      </c>
    </row>
    <row r="21" spans="2:3" x14ac:dyDescent="0.25">
      <c r="B21" s="51">
        <v>2016</v>
      </c>
      <c r="C21" s="57">
        <v>3.0099999999999998E-2</v>
      </c>
    </row>
    <row r="22" spans="2:3" x14ac:dyDescent="0.25">
      <c r="B22" s="51">
        <v>2017</v>
      </c>
      <c r="C22" s="57">
        <v>0.28649999999999998</v>
      </c>
    </row>
    <row r="23" spans="2:3" x14ac:dyDescent="0.25">
      <c r="B23" s="51">
        <v>2018</v>
      </c>
      <c r="C23" s="57">
        <v>3.15E-2</v>
      </c>
    </row>
    <row r="24" spans="2:3" x14ac:dyDescent="0.25">
      <c r="B24" s="51">
        <v>2019</v>
      </c>
      <c r="C24" s="57">
        <v>0.1202</v>
      </c>
    </row>
    <row r="25" spans="2:3" x14ac:dyDescent="0.25">
      <c r="B25" s="51">
        <v>2020</v>
      </c>
      <c r="C25" s="57">
        <v>0.14899999999999999</v>
      </c>
    </row>
    <row r="26" spans="2:3" x14ac:dyDescent="0.25">
      <c r="B26" s="51">
        <v>2021</v>
      </c>
      <c r="C26" s="57">
        <v>0.2412</v>
      </c>
    </row>
    <row r="27" spans="2:3" x14ac:dyDescent="0.25">
      <c r="B27" s="51">
        <v>2022</v>
      </c>
      <c r="C27" s="57">
        <v>4.3200000000000002E-2</v>
      </c>
    </row>
    <row r="28" spans="2:3" x14ac:dyDescent="0.25">
      <c r="B28" s="51">
        <v>2023</v>
      </c>
      <c r="C28" s="57">
        <v>0.19420000000000001</v>
      </c>
    </row>
    <row r="29" spans="2:3" x14ac:dyDescent="0.25">
      <c r="B29" s="51">
        <v>2024</v>
      </c>
      <c r="C29" s="57">
        <v>8.7499999999999994E-2</v>
      </c>
    </row>
    <row r="30" spans="2:3" x14ac:dyDescent="0.25">
      <c r="B30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showGridLines="0" workbookViewId="0">
      <pane ySplit="2" topLeftCell="A27" activePane="bottomLeft" state="frozen"/>
      <selection pane="bottomLeft" activeCell="K52" sqref="K52"/>
    </sheetView>
  </sheetViews>
  <sheetFormatPr defaultRowHeight="15" x14ac:dyDescent="0.25"/>
  <cols>
    <col min="1" max="1" width="1.85546875" customWidth="1"/>
    <col min="7" max="9" width="11.140625" bestFit="1" customWidth="1"/>
    <col min="10" max="10" width="14.140625" bestFit="1" customWidth="1"/>
    <col min="11" max="11" width="12.140625" bestFit="1" customWidth="1"/>
  </cols>
  <sheetData>
    <row r="2" spans="1:11" x14ac:dyDescent="0.25">
      <c r="A2" t="s">
        <v>267</v>
      </c>
      <c r="B2" s="104" t="s">
        <v>332</v>
      </c>
      <c r="C2" s="103"/>
      <c r="D2" s="103"/>
      <c r="E2" s="103"/>
      <c r="F2" s="103"/>
      <c r="G2" s="105">
        <f>IFERROR('Raw FS'!$J$2,0)</f>
        <v>44256</v>
      </c>
      <c r="H2" s="105">
        <f>IFERROR('Raw FS'!$K$2,0)</f>
        <v>44621</v>
      </c>
      <c r="I2" s="105">
        <f>IFERROR('Raw FS'!$L$2,0)</f>
        <v>44986</v>
      </c>
      <c r="J2" s="105">
        <f>IFERROR('Raw FS'!$M$2,0)</f>
        <v>45352</v>
      </c>
      <c r="K2" s="105">
        <f>IFERROR('Raw FS'!$N$2,0)</f>
        <v>45717</v>
      </c>
    </row>
    <row r="4" spans="1:11" x14ac:dyDescent="0.25">
      <c r="B4" s="109" t="s">
        <v>333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1" x14ac:dyDescent="0.25">
      <c r="B5" s="108" t="str">
        <f>IFERROR('Raw FS'!B35,0)</f>
        <v>Inventories</v>
      </c>
      <c r="C5" s="108"/>
      <c r="D5" s="108"/>
      <c r="E5" s="108"/>
      <c r="F5" s="108"/>
      <c r="G5" s="116">
        <f>IFERROR('Raw FS'!J35,0)</f>
        <v>3579</v>
      </c>
      <c r="H5" s="116">
        <f>IFERROR('Raw FS'!K35,0)</f>
        <v>4096</v>
      </c>
      <c r="I5" s="116">
        <f>IFERROR('Raw FS'!L35,0)</f>
        <v>4251</v>
      </c>
      <c r="J5" s="116">
        <f>IFERROR('Raw FS'!M35,0)</f>
        <v>4022</v>
      </c>
      <c r="K5" s="116">
        <f>IFERROR('Raw FS'!N35,0)</f>
        <v>4415</v>
      </c>
    </row>
    <row r="6" spans="1:11" x14ac:dyDescent="0.25">
      <c r="B6" s="108" t="str">
        <f>IFERROR('Raw FS'!B36,0)</f>
        <v>Trade receivables +</v>
      </c>
      <c r="C6" s="108"/>
      <c r="D6" s="108"/>
      <c r="E6" s="108"/>
      <c r="F6" s="108"/>
      <c r="G6" s="116">
        <f>IFERROR('Raw FS'!J36,0)</f>
        <v>1758</v>
      </c>
      <c r="H6" s="116">
        <f>IFERROR('Raw FS'!K36,0)</f>
        <v>2236</v>
      </c>
      <c r="I6" s="116">
        <f>IFERROR('Raw FS'!L36,0)</f>
        <v>3079</v>
      </c>
      <c r="J6" s="116">
        <f>IFERROR('Raw FS'!M36,0)</f>
        <v>2997</v>
      </c>
      <c r="K6" s="116">
        <f>IFERROR('Raw FS'!N36,0)</f>
        <v>3819</v>
      </c>
    </row>
    <row r="7" spans="1:11" x14ac:dyDescent="0.25">
      <c r="B7" s="108" t="str">
        <f>IFERROR('Raw FS'!B38,0)</f>
        <v>Loans n Advances</v>
      </c>
      <c r="C7" s="108"/>
      <c r="D7" s="108"/>
      <c r="E7" s="108"/>
      <c r="F7" s="108"/>
      <c r="G7" s="116">
        <f>IFERROR('Raw FS'!J38,0)</f>
        <v>78</v>
      </c>
      <c r="H7" s="116">
        <f>IFERROR('Raw FS'!K38,0)</f>
        <v>170</v>
      </c>
      <c r="I7" s="116">
        <f>IFERROR('Raw FS'!L38,0)</f>
        <v>188</v>
      </c>
      <c r="J7" s="116">
        <f>IFERROR('Raw FS'!M38,0)</f>
        <v>172</v>
      </c>
      <c r="K7" s="116">
        <f>IFERROR('Raw FS'!N38,0)</f>
        <v>242</v>
      </c>
    </row>
    <row r="8" spans="1:11" x14ac:dyDescent="0.25">
      <c r="B8" t="str">
        <f>IFERROR('Raw FS'!B39,0)</f>
        <v>Other asset items</v>
      </c>
      <c r="G8" s="96">
        <f>IFERROR('Raw FS'!J39,0)</f>
        <v>3957</v>
      </c>
      <c r="H8" s="96">
        <f>IFERROR('Raw FS'!K39,0)</f>
        <v>3851</v>
      </c>
      <c r="I8" s="96">
        <f>IFERROR('Raw FS'!L39,0)</f>
        <v>4189</v>
      </c>
      <c r="J8" s="96">
        <f>IFERROR('Raw FS'!M39,0)</f>
        <v>4345</v>
      </c>
      <c r="K8" s="96">
        <f>IFERROR('Raw FS'!N39,0)</f>
        <v>4679</v>
      </c>
    </row>
    <row r="9" spans="1:11" x14ac:dyDescent="0.25">
      <c r="B9" s="106" t="s">
        <v>295</v>
      </c>
      <c r="C9" s="107"/>
      <c r="D9" s="107"/>
      <c r="E9" s="107"/>
      <c r="F9" s="107"/>
      <c r="G9" s="117">
        <f>IFERROR(SUM(G5:G8),0)</f>
        <v>9372</v>
      </c>
      <c r="H9" s="117">
        <f t="shared" ref="H9:K9" si="0">IFERROR(SUM(H5:H8),0)</f>
        <v>10353</v>
      </c>
      <c r="I9" s="117">
        <f t="shared" si="0"/>
        <v>11707</v>
      </c>
      <c r="J9" s="117">
        <f t="shared" si="0"/>
        <v>11536</v>
      </c>
      <c r="K9" s="117">
        <f t="shared" si="0"/>
        <v>13155</v>
      </c>
    </row>
    <row r="10" spans="1:11" x14ac:dyDescent="0.25">
      <c r="G10" s="96"/>
      <c r="H10" s="96"/>
      <c r="I10" s="96"/>
      <c r="J10" s="96"/>
      <c r="K10" s="96"/>
    </row>
    <row r="11" spans="1:11" x14ac:dyDescent="0.25">
      <c r="B11" s="109" t="s">
        <v>334</v>
      </c>
      <c r="C11" s="108"/>
      <c r="D11" s="108"/>
      <c r="E11" s="108"/>
      <c r="F11" s="108"/>
      <c r="G11" s="116"/>
      <c r="H11" s="116"/>
      <c r="I11" s="116"/>
      <c r="J11" s="116"/>
      <c r="K11" s="116"/>
    </row>
    <row r="12" spans="1:11" x14ac:dyDescent="0.25">
      <c r="B12" s="108" t="str">
        <f>IFERROR('Raw FS'!B12,0)</f>
        <v>Trade Payables</v>
      </c>
      <c r="C12" s="108"/>
      <c r="D12" s="108"/>
      <c r="E12" s="108"/>
      <c r="F12" s="108"/>
      <c r="G12" s="116">
        <f>IFERROR('Raw FS'!J12:J12,0)</f>
        <v>8802</v>
      </c>
      <c r="H12" s="116">
        <f>IFERROR('Raw FS'!K12:K12,0)</f>
        <v>9068</v>
      </c>
      <c r="I12" s="116">
        <f>IFERROR('Raw FS'!L12:L12,0)</f>
        <v>9574</v>
      </c>
      <c r="J12" s="116">
        <f>IFERROR('Raw FS'!M12:M12,0)</f>
        <v>10486</v>
      </c>
      <c r="K12" s="116">
        <f>IFERROR('Raw FS'!N12:N12,0)</f>
        <v>11315</v>
      </c>
    </row>
    <row r="13" spans="1:11" x14ac:dyDescent="0.25">
      <c r="B13" s="108" t="str">
        <f>IFERROR('Raw FS'!B13,0)</f>
        <v>Advance from Customers</v>
      </c>
      <c r="C13" s="108"/>
      <c r="D13" s="108"/>
      <c r="E13" s="108"/>
      <c r="F13" s="108"/>
      <c r="G13" s="116">
        <f>IFERROR('Raw FS'!J13:J13,0)</f>
        <v>96</v>
      </c>
      <c r="H13" s="116">
        <f>IFERROR('Raw FS'!K13:K13,0)</f>
        <v>119</v>
      </c>
      <c r="I13" s="116">
        <f>IFERROR('Raw FS'!L13:L13,0)</f>
        <v>98</v>
      </c>
      <c r="J13" s="116">
        <f>IFERROR('Raw FS'!M13:M13,0)</f>
        <v>91</v>
      </c>
      <c r="K13" s="116">
        <f>IFERROR('Raw FS'!N13:N13,0)</f>
        <v>105</v>
      </c>
    </row>
    <row r="14" spans="1:11" x14ac:dyDescent="0.25">
      <c r="B14" s="108" t="str">
        <f>IFERROR('Raw FS'!B14,0)</f>
        <v>Other liability items</v>
      </c>
      <c r="C14" s="108"/>
      <c r="D14" s="108"/>
      <c r="E14" s="108"/>
      <c r="F14" s="108"/>
      <c r="G14" s="116">
        <f>IFERROR('Raw FS'!J14:J14,0)</f>
        <v>12148</v>
      </c>
      <c r="H14" s="116">
        <f>IFERROR('Raw FS'!K14:K14,0)</f>
        <v>11189</v>
      </c>
      <c r="I14" s="116">
        <f>IFERROR('Raw FS'!L14:L14,0)</f>
        <v>11664</v>
      </c>
      <c r="J14" s="116">
        <f>IFERROR('Raw FS'!M14:M14,0)</f>
        <v>15005</v>
      </c>
      <c r="K14" s="116">
        <f>IFERROR('Raw FS'!N14:N14,0)</f>
        <v>17186</v>
      </c>
    </row>
    <row r="15" spans="1:11" x14ac:dyDescent="0.25">
      <c r="B15" s="106" t="s">
        <v>335</v>
      </c>
      <c r="C15" s="107"/>
      <c r="D15" s="107"/>
      <c r="E15" s="107"/>
      <c r="F15" s="107"/>
      <c r="G15" s="117">
        <f>IFERROR(SUM(G12:G14),0)</f>
        <v>21046</v>
      </c>
      <c r="H15" s="117">
        <f t="shared" ref="H15:K15" si="1">IFERROR(SUM(H12:H14),0)</f>
        <v>20376</v>
      </c>
      <c r="I15" s="117">
        <f t="shared" si="1"/>
        <v>21336</v>
      </c>
      <c r="J15" s="117">
        <f t="shared" si="1"/>
        <v>25582</v>
      </c>
      <c r="K15" s="117">
        <f t="shared" si="1"/>
        <v>28606</v>
      </c>
    </row>
    <row r="16" spans="1:11" x14ac:dyDescent="0.25">
      <c r="G16" s="96"/>
      <c r="H16" s="96"/>
      <c r="I16" s="96"/>
      <c r="J16" s="96"/>
      <c r="K16" s="96"/>
    </row>
    <row r="17" spans="1:11" x14ac:dyDescent="0.25">
      <c r="A17" t="s">
        <v>267</v>
      </c>
      <c r="B17" s="110" t="s">
        <v>336</v>
      </c>
      <c r="C17" s="110"/>
      <c r="D17" s="110"/>
      <c r="E17" s="110"/>
      <c r="F17" s="110"/>
      <c r="G17" s="118">
        <f>IFERROR(G9-G15,0)</f>
        <v>-11674</v>
      </c>
      <c r="H17" s="118">
        <f t="shared" ref="H17:K17" si="2">IFERROR(H9-H15,0)</f>
        <v>-10023</v>
      </c>
      <c r="I17" s="118">
        <f t="shared" si="2"/>
        <v>-9629</v>
      </c>
      <c r="J17" s="118">
        <f t="shared" si="2"/>
        <v>-14046</v>
      </c>
      <c r="K17" s="118">
        <f t="shared" si="2"/>
        <v>-15451</v>
      </c>
    </row>
    <row r="18" spans="1:11" x14ac:dyDescent="0.25">
      <c r="B18" s="109" t="s">
        <v>337</v>
      </c>
      <c r="C18" s="108"/>
      <c r="D18" s="108"/>
      <c r="E18" s="108"/>
      <c r="F18" s="108"/>
      <c r="G18" s="116"/>
      <c r="H18" s="116"/>
      <c r="I18" s="116"/>
      <c r="J18" s="116"/>
      <c r="K18" s="116"/>
    </row>
    <row r="19" spans="1:11" x14ac:dyDescent="0.25">
      <c r="B19" s="108" t="str">
        <f>IFERROR('Raw FS'!B18,0)</f>
        <v>Land</v>
      </c>
      <c r="C19" s="108"/>
      <c r="D19" s="108"/>
      <c r="E19" s="108"/>
      <c r="F19" s="108"/>
      <c r="G19" s="116">
        <f>IFERROR('Raw FS'!J18,0)</f>
        <v>477</v>
      </c>
      <c r="H19" s="116">
        <f>IFERROR('Raw FS'!K18,0)</f>
        <v>477</v>
      </c>
      <c r="I19" s="116">
        <f>IFERROR('Raw FS'!L18,0)</f>
        <v>609</v>
      </c>
      <c r="J19" s="116">
        <f>IFERROR('Raw FS'!M18,0)</f>
        <v>633</v>
      </c>
      <c r="K19" s="116">
        <f>IFERROR('Raw FS'!N18,0)</f>
        <v>628</v>
      </c>
    </row>
    <row r="20" spans="1:11" x14ac:dyDescent="0.25">
      <c r="B20" s="108" t="str">
        <f>IFERROR('Raw FS'!B19,0)</f>
        <v>Building</v>
      </c>
      <c r="C20" s="108"/>
      <c r="D20" s="108"/>
      <c r="E20" s="108"/>
      <c r="F20" s="108"/>
      <c r="G20" s="116">
        <f>IFERROR('Raw FS'!J19,0)</f>
        <v>2602</v>
      </c>
      <c r="H20" s="116">
        <f>IFERROR('Raw FS'!K19,0)</f>
        <v>2788</v>
      </c>
      <c r="I20" s="116">
        <f>IFERROR('Raw FS'!L19,0)</f>
        <v>3101</v>
      </c>
      <c r="J20" s="116">
        <f>IFERROR('Raw FS'!M19,0)</f>
        <v>3590</v>
      </c>
      <c r="K20" s="116">
        <f>IFERROR('Raw FS'!N19,0)</f>
        <v>3833</v>
      </c>
    </row>
    <row r="21" spans="1:11" x14ac:dyDescent="0.25">
      <c r="B21" s="108" t="str">
        <f>IFERROR('Raw FS'!B20,0)</f>
        <v>Plant Machinery</v>
      </c>
      <c r="C21" s="108"/>
      <c r="D21" s="108"/>
      <c r="E21" s="108"/>
      <c r="F21" s="108"/>
      <c r="G21" s="116">
        <f>IFERROR('Raw FS'!J20,0)</f>
        <v>6097</v>
      </c>
      <c r="H21" s="116">
        <f>IFERROR('Raw FS'!K20,0)</f>
        <v>6566</v>
      </c>
      <c r="I21" s="116">
        <f>IFERROR('Raw FS'!L20,0)</f>
        <v>7612</v>
      </c>
      <c r="J21" s="116">
        <f>IFERROR('Raw FS'!M20,0)</f>
        <v>8946</v>
      </c>
      <c r="K21" s="116">
        <f>IFERROR('Raw FS'!N20,0)</f>
        <v>9900</v>
      </c>
    </row>
    <row r="22" spans="1:11" x14ac:dyDescent="0.25">
      <c r="B22" s="108" t="str">
        <f>IFERROR('Raw FS'!B21,0)</f>
        <v>Equipments</v>
      </c>
      <c r="C22" s="108"/>
      <c r="D22" s="108"/>
      <c r="E22" s="108"/>
      <c r="F22" s="108"/>
      <c r="G22" s="116">
        <f>IFERROR('Raw FS'!J21,0)</f>
        <v>175</v>
      </c>
      <c r="H22" s="116">
        <f>IFERROR('Raw FS'!K21,0)</f>
        <v>181</v>
      </c>
      <c r="I22" s="116">
        <f>IFERROR('Raw FS'!L21,0)</f>
        <v>185</v>
      </c>
      <c r="J22" s="116">
        <f>IFERROR('Raw FS'!M21,0)</f>
        <v>206</v>
      </c>
      <c r="K22" s="116">
        <f>IFERROR('Raw FS'!N21,0)</f>
        <v>245</v>
      </c>
    </row>
    <row r="23" spans="1:11" x14ac:dyDescent="0.25">
      <c r="B23" s="108" t="str">
        <f>IFERROR('Raw FS'!B22,0)</f>
        <v>Furniture n fittings</v>
      </c>
      <c r="C23" s="108"/>
      <c r="D23" s="108"/>
      <c r="E23" s="108"/>
      <c r="F23" s="108"/>
      <c r="G23" s="116">
        <f>IFERROR('Raw FS'!J22,0)</f>
        <v>156</v>
      </c>
      <c r="H23" s="116">
        <f>IFERROR('Raw FS'!K22,0)</f>
        <v>152</v>
      </c>
      <c r="I23" s="116">
        <f>IFERROR('Raw FS'!L22,0)</f>
        <v>161</v>
      </c>
      <c r="J23" s="116">
        <f>IFERROR('Raw FS'!M22,0)</f>
        <v>165</v>
      </c>
      <c r="K23" s="116">
        <f>IFERROR('Raw FS'!N22,0)</f>
        <v>174</v>
      </c>
    </row>
    <row r="24" spans="1:11" x14ac:dyDescent="0.25">
      <c r="B24" s="108" t="str">
        <f>IFERROR('Raw FS'!B23,0)</f>
        <v>Railway sidings</v>
      </c>
      <c r="C24" s="108"/>
      <c r="D24" s="108"/>
      <c r="E24" s="108"/>
      <c r="F24" s="108"/>
      <c r="G24" s="116">
        <f>IFERROR('Raw FS'!J23,0)</f>
        <v>0</v>
      </c>
      <c r="H24" s="116">
        <f>IFERROR('Raw FS'!K23,0)</f>
        <v>0</v>
      </c>
      <c r="I24" s="116">
        <f>IFERROR('Raw FS'!L23,0)</f>
        <v>0</v>
      </c>
      <c r="J24" s="116">
        <f>IFERROR('Raw FS'!M23,0)</f>
        <v>0</v>
      </c>
      <c r="K24" s="116">
        <f>IFERROR('Raw FS'!N23,0)</f>
        <v>0</v>
      </c>
    </row>
    <row r="25" spans="1:11" x14ac:dyDescent="0.25">
      <c r="B25" s="108" t="str">
        <f>IFERROR('Raw FS'!B24,0)</f>
        <v>Vehicles</v>
      </c>
      <c r="C25" s="108"/>
      <c r="D25" s="108"/>
      <c r="E25" s="108"/>
      <c r="F25" s="108"/>
      <c r="G25" s="116">
        <f>IFERROR('Raw FS'!J24,0)</f>
        <v>0</v>
      </c>
      <c r="H25" s="116">
        <f>IFERROR('Raw FS'!K24,0)</f>
        <v>0</v>
      </c>
      <c r="I25" s="116">
        <f>IFERROR('Raw FS'!L24,0)</f>
        <v>33</v>
      </c>
      <c r="J25" s="116">
        <f>IFERROR('Raw FS'!M24,0)</f>
        <v>39</v>
      </c>
      <c r="K25" s="116">
        <f>IFERROR('Raw FS'!N24,0)</f>
        <v>102</v>
      </c>
    </row>
    <row r="26" spans="1:11" x14ac:dyDescent="0.25">
      <c r="B26" s="108" t="str">
        <f>IFERROR('Raw FS'!B25,0)</f>
        <v>Intangible Assets</v>
      </c>
      <c r="C26" s="108"/>
      <c r="D26" s="108"/>
      <c r="E26" s="108"/>
      <c r="F26" s="108"/>
      <c r="G26" s="116">
        <f>IFERROR('Raw FS'!J25,0)</f>
        <v>45262</v>
      </c>
      <c r="H26" s="116">
        <f>IFERROR('Raw FS'!K25,0)</f>
        <v>45262</v>
      </c>
      <c r="I26" s="116">
        <f>IFERROR('Raw FS'!L25,0)</f>
        <v>45692</v>
      </c>
      <c r="J26" s="116">
        <f>IFERROR('Raw FS'!M25,0)</f>
        <v>45692</v>
      </c>
      <c r="K26" s="116">
        <f>IFERROR('Raw FS'!N25,0)</f>
        <v>45692</v>
      </c>
    </row>
    <row r="27" spans="1:11" x14ac:dyDescent="0.25">
      <c r="B27" s="108" t="str">
        <f>IFERROR('Raw FS'!B26,0)</f>
        <v>Other fixed assets</v>
      </c>
      <c r="C27" s="108"/>
      <c r="D27" s="108"/>
      <c r="E27" s="108"/>
      <c r="F27" s="108"/>
      <c r="G27" s="116">
        <f>IFERROR('Raw FS'!J26,0)</f>
        <v>155</v>
      </c>
      <c r="H27" s="116">
        <f>IFERROR('Raw FS'!K26,0)</f>
        <v>152</v>
      </c>
      <c r="I27" s="116">
        <f>IFERROR('Raw FS'!L26,0)</f>
        <v>171</v>
      </c>
      <c r="J27" s="116">
        <f>IFERROR('Raw FS'!M26,0)</f>
        <v>180</v>
      </c>
      <c r="K27" s="116">
        <f>IFERROR('Raw FS'!N26,0)</f>
        <v>190</v>
      </c>
    </row>
    <row r="28" spans="1:11" x14ac:dyDescent="0.25">
      <c r="B28" s="106" t="s">
        <v>322</v>
      </c>
      <c r="C28" s="107"/>
      <c r="D28" s="107"/>
      <c r="E28" s="107"/>
      <c r="F28" s="107"/>
      <c r="G28" s="117">
        <f>IFERROR(SUM(G19:G27),0)</f>
        <v>54924</v>
      </c>
      <c r="H28" s="117">
        <f t="shared" ref="H28:K28" si="3">IFERROR(SUM(H19:H27),0)</f>
        <v>55578</v>
      </c>
      <c r="I28" s="117">
        <f t="shared" si="3"/>
        <v>57564</v>
      </c>
      <c r="J28" s="117">
        <f t="shared" si="3"/>
        <v>59451</v>
      </c>
      <c r="K28" s="117">
        <f t="shared" si="3"/>
        <v>60764</v>
      </c>
    </row>
    <row r="29" spans="1:11" x14ac:dyDescent="0.25">
      <c r="B29" t="s">
        <v>338</v>
      </c>
      <c r="G29" s="96">
        <f>IFERROR(-'Raw FS'!J28,0)</f>
        <v>-3481</v>
      </c>
      <c r="H29" s="96">
        <f>IFERROR(-'Raw FS'!K28,0)</f>
        <v>-4105</v>
      </c>
      <c r="I29" s="96">
        <f>IFERROR(-'Raw FS'!L28,0)</f>
        <v>-4886</v>
      </c>
      <c r="J29" s="96">
        <f>IFERROR(-'Raw FS'!M28,0)</f>
        <v>-5707</v>
      </c>
      <c r="K29" s="96">
        <f>IFERROR(-'Raw FS'!N28,0)</f>
        <v>-6429</v>
      </c>
    </row>
    <row r="30" spans="1:11" x14ac:dyDescent="0.25">
      <c r="A30" t="s">
        <v>267</v>
      </c>
      <c r="B30" s="94" t="s">
        <v>340</v>
      </c>
      <c r="C30" s="111"/>
      <c r="D30" s="111"/>
      <c r="E30" s="111"/>
      <c r="F30" s="111"/>
      <c r="G30" s="119">
        <f>IFERROR(SUM(G28:G29),0)</f>
        <v>51443</v>
      </c>
      <c r="H30" s="119">
        <f t="shared" ref="H30:K30" si="4">IFERROR(SUM(H28:H29),0)</f>
        <v>51473</v>
      </c>
      <c r="I30" s="119">
        <f t="shared" si="4"/>
        <v>52678</v>
      </c>
      <c r="J30" s="119">
        <f t="shared" si="4"/>
        <v>53744</v>
      </c>
      <c r="K30" s="119">
        <f t="shared" si="4"/>
        <v>54335</v>
      </c>
    </row>
    <row r="31" spans="1:11" x14ac:dyDescent="0.25">
      <c r="G31" s="96"/>
      <c r="H31" s="96"/>
      <c r="I31" s="96"/>
      <c r="J31" s="96"/>
      <c r="K31" s="96"/>
    </row>
    <row r="32" spans="1:11" x14ac:dyDescent="0.25">
      <c r="A32" t="s">
        <v>267</v>
      </c>
      <c r="B32" s="112" t="s">
        <v>341</v>
      </c>
      <c r="C32" s="1"/>
      <c r="D32" s="1"/>
      <c r="E32" s="1"/>
      <c r="F32" s="1"/>
      <c r="G32" s="97">
        <f>IFERROR(G30+G17,0)</f>
        <v>39769</v>
      </c>
      <c r="H32" s="97">
        <f t="shared" ref="H32:K32" si="5">IFERROR(H30+H17,0)</f>
        <v>41450</v>
      </c>
      <c r="I32" s="97">
        <f t="shared" si="5"/>
        <v>43049</v>
      </c>
      <c r="J32" s="97">
        <f t="shared" si="5"/>
        <v>39698</v>
      </c>
      <c r="K32" s="97">
        <f t="shared" si="5"/>
        <v>38884</v>
      </c>
    </row>
    <row r="33" spans="1:11" x14ac:dyDescent="0.25">
      <c r="B33" s="1" t="s">
        <v>342</v>
      </c>
      <c r="C33" s="1"/>
      <c r="D33" s="1"/>
      <c r="E33" s="1"/>
      <c r="F33" s="1"/>
      <c r="G33" s="97">
        <f>IFERROR('Historical FS'!H18-'Historical FS'!H24,0)</f>
        <v>10552</v>
      </c>
      <c r="H33" s="97">
        <f>IFERROR('Historical FS'!I18-'Historical FS'!I24,0)</f>
        <v>11766</v>
      </c>
      <c r="I33" s="97">
        <f>IFERROR('Historical FS'!J18-'Historical FS'!J24,0)</f>
        <v>13010</v>
      </c>
      <c r="J33" s="97">
        <f>IFERROR('Historical FS'!K18-'Historical FS'!K24,0)</f>
        <v>13443</v>
      </c>
      <c r="K33" s="97">
        <f>IFERROR('Historical FS'!L18-'Historical FS'!L24,0)</f>
        <v>13488</v>
      </c>
    </row>
    <row r="35" spans="1:11" x14ac:dyDescent="0.25">
      <c r="A35" t="s">
        <v>267</v>
      </c>
      <c r="B35" s="94" t="s">
        <v>343</v>
      </c>
      <c r="C35" s="111"/>
      <c r="D35" s="111"/>
      <c r="E35" s="111"/>
      <c r="F35" s="111"/>
      <c r="G35" s="113">
        <f>IFERROR(G33/G32,0)</f>
        <v>0.26533229399783753</v>
      </c>
      <c r="H35" s="113">
        <f t="shared" ref="H35:K35" si="6">IFERROR(H33/H32,0)</f>
        <v>0.28386007237635708</v>
      </c>
      <c r="I35" s="113">
        <f t="shared" si="6"/>
        <v>0.30221375641710607</v>
      </c>
      <c r="J35" s="113">
        <f t="shared" si="6"/>
        <v>0.33863166910171799</v>
      </c>
      <c r="K35" s="113">
        <f t="shared" si="6"/>
        <v>0.34687789322086204</v>
      </c>
    </row>
    <row r="38" spans="1:11" x14ac:dyDescent="0.25">
      <c r="A38" t="s">
        <v>267</v>
      </c>
      <c r="B38" s="104" t="s">
        <v>344</v>
      </c>
      <c r="C38" s="103"/>
      <c r="D38" s="103"/>
      <c r="E38" s="103"/>
      <c r="F38" s="103"/>
      <c r="G38" s="105">
        <f>IFERROR('Raw FS'!$J$2,0)</f>
        <v>44256</v>
      </c>
      <c r="H38" s="105">
        <f>IFERROR('Raw FS'!$K$2,0)</f>
        <v>44621</v>
      </c>
      <c r="I38" s="105">
        <f>IFERROR('Raw FS'!$L$2,0)</f>
        <v>44986</v>
      </c>
      <c r="J38" s="105">
        <f>IFERROR('Raw FS'!$M$2,0)</f>
        <v>45352</v>
      </c>
      <c r="K38" s="105">
        <f>IFERROR('Raw FS'!$N$2,0)</f>
        <v>45717</v>
      </c>
    </row>
    <row r="40" spans="1:11" x14ac:dyDescent="0.25">
      <c r="B40" s="108" t="s">
        <v>345</v>
      </c>
      <c r="C40" s="108"/>
      <c r="D40" s="108"/>
      <c r="E40" s="108"/>
      <c r="F40" s="108"/>
      <c r="G40" s="116">
        <f>IFERROR(-SUM('Raw FS'!J58:J59),0)</f>
        <v>4066</v>
      </c>
      <c r="H40" s="116">
        <f>IFERROR(-SUM('Raw FS'!K58:K59),0)</f>
        <v>1053</v>
      </c>
      <c r="I40" s="116">
        <f>IFERROR(-SUM('Raw FS'!L58:L59),0)</f>
        <v>1011</v>
      </c>
      <c r="J40" s="116">
        <f>IFERROR(-SUM('Raw FS'!M58:M59),0)</f>
        <v>1457</v>
      </c>
      <c r="K40" s="116">
        <f>IFERROR(-SUM('Raw FS'!N58:N59),0)</f>
        <v>1262</v>
      </c>
    </row>
    <row r="41" spans="1:11" x14ac:dyDescent="0.25">
      <c r="B41" s="108" t="s">
        <v>376</v>
      </c>
      <c r="C41" s="108"/>
      <c r="D41" s="108"/>
      <c r="E41" s="108"/>
      <c r="F41" s="108"/>
      <c r="G41" s="116"/>
      <c r="H41" s="116">
        <f>IFERROR(H17-G17,0)</f>
        <v>1651</v>
      </c>
      <c r="I41" s="116">
        <f t="shared" ref="I41:K41" si="7">IFERROR(I17-H17,0)</f>
        <v>394</v>
      </c>
      <c r="J41" s="116">
        <f t="shared" si="7"/>
        <v>-4417</v>
      </c>
      <c r="K41" s="116">
        <f t="shared" si="7"/>
        <v>-1405</v>
      </c>
    </row>
    <row r="42" spans="1:11" x14ac:dyDescent="0.25">
      <c r="B42" s="108"/>
      <c r="C42" s="108"/>
      <c r="D42" s="108"/>
      <c r="E42" s="108"/>
      <c r="F42" s="108"/>
      <c r="G42" s="116"/>
      <c r="H42" s="116"/>
      <c r="I42" s="116"/>
      <c r="J42" s="116"/>
      <c r="K42" s="116"/>
    </row>
    <row r="43" spans="1:11" x14ac:dyDescent="0.25">
      <c r="B43" s="108" t="s">
        <v>342</v>
      </c>
      <c r="C43" s="108"/>
      <c r="D43" s="108"/>
      <c r="E43" s="108"/>
      <c r="F43" s="108"/>
      <c r="G43" s="116">
        <f>IFERROR(G33,0)</f>
        <v>10552</v>
      </c>
      <c r="H43" s="116">
        <f t="shared" ref="H43:K43" si="8">IFERROR(H33,0)</f>
        <v>11766</v>
      </c>
      <c r="I43" s="116">
        <f t="shared" si="8"/>
        <v>13010</v>
      </c>
      <c r="J43" s="116">
        <f t="shared" si="8"/>
        <v>13443</v>
      </c>
      <c r="K43" s="116">
        <f t="shared" si="8"/>
        <v>13488</v>
      </c>
    </row>
    <row r="44" spans="1:11" x14ac:dyDescent="0.25">
      <c r="B44" s="108" t="s">
        <v>377</v>
      </c>
      <c r="C44" s="108"/>
      <c r="D44" s="108"/>
      <c r="E44" s="108"/>
      <c r="F44" s="108"/>
      <c r="G44" s="120">
        <v>0.25</v>
      </c>
      <c r="H44" s="120">
        <v>0.25</v>
      </c>
      <c r="I44" s="120">
        <v>0.25</v>
      </c>
      <c r="J44" s="120">
        <v>0.25</v>
      </c>
      <c r="K44" s="120">
        <v>0.25</v>
      </c>
    </row>
    <row r="45" spans="1:11" x14ac:dyDescent="0.25">
      <c r="B45" s="108" t="s">
        <v>380</v>
      </c>
      <c r="C45" s="108"/>
      <c r="D45" s="108"/>
      <c r="E45" s="108"/>
      <c r="F45" s="108"/>
      <c r="G45" s="116">
        <f>IFERROR(G43*(1-G44),0)</f>
        <v>7914</v>
      </c>
      <c r="H45" s="116">
        <f t="shared" ref="H45:K45" si="9">IFERROR(H43*(1-H44),0)</f>
        <v>8824.5</v>
      </c>
      <c r="I45" s="116">
        <f t="shared" si="9"/>
        <v>9757.5</v>
      </c>
      <c r="J45" s="116">
        <f t="shared" si="9"/>
        <v>10082.25</v>
      </c>
      <c r="K45" s="116">
        <f t="shared" si="9"/>
        <v>10116</v>
      </c>
    </row>
    <row r="46" spans="1:11" x14ac:dyDescent="0.25">
      <c r="B46" s="108"/>
      <c r="C46" s="108"/>
      <c r="D46" s="108"/>
      <c r="E46" s="108"/>
      <c r="F46" s="108"/>
      <c r="G46" s="116"/>
      <c r="H46" s="116"/>
      <c r="I46" s="116"/>
      <c r="J46" s="116"/>
      <c r="K46" s="116"/>
    </row>
    <row r="47" spans="1:11" x14ac:dyDescent="0.25">
      <c r="B47" s="108" t="s">
        <v>378</v>
      </c>
      <c r="C47" s="108"/>
      <c r="D47" s="108"/>
      <c r="E47" s="108"/>
      <c r="F47" s="108"/>
      <c r="G47" s="116"/>
      <c r="H47" s="116">
        <f>IFERROR(SUM(H40:H41),0)</f>
        <v>2704</v>
      </c>
      <c r="I47" s="116">
        <f t="shared" ref="I47:K47" si="10">IFERROR(SUM(I40:I41),0)</f>
        <v>1405</v>
      </c>
      <c r="J47" s="116">
        <f t="shared" si="10"/>
        <v>-2960</v>
      </c>
      <c r="K47" s="116">
        <f t="shared" si="10"/>
        <v>-143</v>
      </c>
    </row>
    <row r="49" spans="1:11" x14ac:dyDescent="0.25">
      <c r="B49" s="94" t="s">
        <v>379</v>
      </c>
      <c r="C49" s="94"/>
      <c r="D49" s="94"/>
      <c r="E49" s="94"/>
      <c r="F49" s="94"/>
      <c r="G49" s="94"/>
      <c r="H49" s="121">
        <f>IFERROR(H47/H45,0)</f>
        <v>0.30641962717434418</v>
      </c>
      <c r="I49" s="121">
        <f t="shared" ref="I49:K49" si="11">IFERROR(I47/I45,0)</f>
        <v>0.14399180117858057</v>
      </c>
      <c r="J49" s="121">
        <f t="shared" si="11"/>
        <v>-0.29358526122641276</v>
      </c>
      <c r="K49" s="121">
        <f t="shared" si="11"/>
        <v>-1.4136022143139582E-2</v>
      </c>
    </row>
    <row r="50" spans="1:11" x14ac:dyDescent="0.25">
      <c r="H50" s="23"/>
      <c r="I50" s="23"/>
      <c r="J50" s="23"/>
      <c r="K50" s="23"/>
    </row>
    <row r="51" spans="1:11" x14ac:dyDescent="0.25">
      <c r="J51" s="49" t="s">
        <v>381</v>
      </c>
      <c r="K51" s="122">
        <f>IFERROR(AVERAGE(H49:K49),0)</f>
        <v>3.5672536245843101E-2</v>
      </c>
    </row>
    <row r="52" spans="1:11" x14ac:dyDescent="0.25">
      <c r="J52" s="49" t="s">
        <v>382</v>
      </c>
      <c r="K52" s="122">
        <f>IFERROR(MEDIAN(H49:K49),0)</f>
        <v>6.4927889517720494E-2</v>
      </c>
    </row>
    <row r="54" spans="1:11" x14ac:dyDescent="0.25">
      <c r="A54" t="s">
        <v>267</v>
      </c>
      <c r="B54" s="104" t="s">
        <v>383</v>
      </c>
      <c r="C54" s="103"/>
      <c r="D54" s="103"/>
      <c r="E54" s="103"/>
      <c r="F54" s="103"/>
      <c r="G54" s="105">
        <f>IFERROR('Raw FS'!$J$2,0)</f>
        <v>44256</v>
      </c>
      <c r="H54" s="105">
        <f>IFERROR('Raw FS'!$K$2,0)</f>
        <v>44621</v>
      </c>
      <c r="I54" s="105">
        <f>IFERROR('Raw FS'!$L$2,0)</f>
        <v>44986</v>
      </c>
      <c r="J54" s="105">
        <f>IFERROR('Raw FS'!$M$2,0)</f>
        <v>45352</v>
      </c>
      <c r="K54" s="105">
        <f>IFERROR('Raw FS'!$N$2,0)</f>
        <v>45717</v>
      </c>
    </row>
    <row r="56" spans="1:11" x14ac:dyDescent="0.25">
      <c r="B56" s="123" t="s">
        <v>379</v>
      </c>
      <c r="C56" s="123"/>
      <c r="D56" s="123"/>
      <c r="E56" s="123"/>
      <c r="F56" s="123"/>
      <c r="G56" s="124"/>
      <c r="H56" s="124">
        <f>IFERROR(H49,0)</f>
        <v>0.30641962717434418</v>
      </c>
      <c r="I56" s="124">
        <f t="shared" ref="I56:K56" si="12">IFERROR(I49,0)</f>
        <v>0.14399180117858057</v>
      </c>
      <c r="J56" s="124">
        <f t="shared" si="12"/>
        <v>-0.29358526122641276</v>
      </c>
      <c r="K56" s="124">
        <f t="shared" si="12"/>
        <v>-1.4136022143139582E-2</v>
      </c>
    </row>
    <row r="57" spans="1:11" x14ac:dyDescent="0.25">
      <c r="B57" s="125" t="s">
        <v>343</v>
      </c>
      <c r="C57" s="125"/>
      <c r="D57" s="125"/>
      <c r="E57" s="125"/>
      <c r="F57" s="125"/>
      <c r="G57" s="126"/>
      <c r="H57" s="126">
        <f t="shared" ref="H57:K57" si="13">IFERROR(H35,0)</f>
        <v>0.28386007237635708</v>
      </c>
      <c r="I57" s="126">
        <f t="shared" si="13"/>
        <v>0.30221375641710607</v>
      </c>
      <c r="J57" s="126">
        <f t="shared" si="13"/>
        <v>0.33863166910171799</v>
      </c>
      <c r="K57" s="126">
        <f t="shared" si="13"/>
        <v>0.34687789322086204</v>
      </c>
    </row>
    <row r="59" spans="1:11" x14ac:dyDescent="0.25">
      <c r="B59" s="94" t="s">
        <v>384</v>
      </c>
      <c r="C59" s="111"/>
      <c r="D59" s="111"/>
      <c r="E59" s="111"/>
      <c r="F59" s="111"/>
      <c r="G59" s="111"/>
      <c r="H59" s="121">
        <f>IFERROR(H56*H57,0)</f>
        <v>8.6980297547245691E-2</v>
      </c>
      <c r="I59" s="121">
        <f t="shared" ref="I59:K59" si="14">IFERROR(I56*I57,0)</f>
        <v>4.3516303127443916E-2</v>
      </c>
      <c r="J59" s="121">
        <f t="shared" si="14"/>
        <v>-9.9417267032764045E-2</v>
      </c>
      <c r="K59" s="121">
        <f t="shared" si="14"/>
        <v>-4.903473579535713E-3</v>
      </c>
    </row>
    <row r="61" spans="1:11" x14ac:dyDescent="0.25">
      <c r="J61" s="49" t="s">
        <v>381</v>
      </c>
      <c r="K61" s="122">
        <f>IFERROR(AVERAGE(H59:K59),0)</f>
        <v>6.5439650155974605E-3</v>
      </c>
    </row>
    <row r="62" spans="1:11" x14ac:dyDescent="0.25">
      <c r="J62" s="49" t="s">
        <v>382</v>
      </c>
      <c r="K62" s="122">
        <f>IFERROR(MEDIAN(H59:K59),0)</f>
        <v>1.93064147739541E-2</v>
      </c>
    </row>
  </sheetData>
  <pageMargins left="0.7" right="0.7" top="0.75" bottom="0.75" header="0.3" footer="0.3"/>
  <ignoredErrors>
    <ignoredError sqref="G40:K4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1"/>
  <sheetViews>
    <sheetView showGridLines="0" tabSelected="1" workbookViewId="0">
      <selection activeCell="G21" sqref="G21"/>
    </sheetView>
  </sheetViews>
  <sheetFormatPr defaultRowHeight="15" x14ac:dyDescent="0.25"/>
  <cols>
    <col min="1" max="1" width="1.85546875" customWidth="1"/>
    <col min="2" max="2" width="34.42578125" bestFit="1" customWidth="1"/>
    <col min="4" max="4" width="9.5703125" bestFit="1" customWidth="1"/>
  </cols>
  <sheetData>
    <row r="3" spans="2:11" x14ac:dyDescent="0.25">
      <c r="B3" s="128" t="s">
        <v>385</v>
      </c>
      <c r="C3" s="127"/>
      <c r="D3" s="127"/>
      <c r="E3" s="127"/>
      <c r="F3" s="129">
        <f>IFERROR('Insintric Growth'!K2,0)</f>
        <v>45717</v>
      </c>
      <c r="G3" s="130">
        <f>IFERROR(F3+366,0)</f>
        <v>46083</v>
      </c>
      <c r="H3" s="130">
        <f t="shared" ref="H3:K3" si="0">IFERROR(G3+366,0)</f>
        <v>46449</v>
      </c>
      <c r="I3" s="130">
        <f t="shared" si="0"/>
        <v>46815</v>
      </c>
      <c r="J3" s="130">
        <f t="shared" si="0"/>
        <v>47181</v>
      </c>
      <c r="K3" s="130">
        <f t="shared" si="0"/>
        <v>47547</v>
      </c>
    </row>
    <row r="5" spans="2:11" x14ac:dyDescent="0.25">
      <c r="B5" s="108" t="s">
        <v>342</v>
      </c>
      <c r="C5" s="108"/>
      <c r="D5" s="108"/>
      <c r="E5" s="108"/>
      <c r="F5" s="136">
        <f>IFERROR('Historical FS'!L18-'Historical FS'!L24,0)</f>
        <v>13488</v>
      </c>
      <c r="G5" s="108">
        <f>IFERROR(F5*(1+$D$15),0)</f>
        <v>13748.404922471093</v>
      </c>
      <c r="H5" s="108">
        <f>IFERROR(G5*(1+$D$15),0)</f>
        <v>14013.837330384591</v>
      </c>
      <c r="I5" s="108">
        <f>IFERROR(H5*(1+$D$15),0)</f>
        <v>14284.394286459717</v>
      </c>
      <c r="J5" s="108">
        <f>IFERROR(I5*(1+$D$15),0)</f>
        <v>14560.174727348809</v>
      </c>
      <c r="K5" s="108">
        <f>IFERROR(J5*(1+$D$15),0)</f>
        <v>14841.27949981625</v>
      </c>
    </row>
    <row r="6" spans="2:11" x14ac:dyDescent="0.25">
      <c r="B6" s="108" t="s">
        <v>6</v>
      </c>
      <c r="C6" s="108"/>
      <c r="D6" s="108"/>
      <c r="E6" s="108"/>
      <c r="F6" s="137">
        <v>0.25</v>
      </c>
      <c r="G6" s="134">
        <f>IFERROR(F6,0)</f>
        <v>0.25</v>
      </c>
      <c r="H6" s="134">
        <f t="shared" ref="H6:K6" si="1">IFERROR(G6,0)</f>
        <v>0.25</v>
      </c>
      <c r="I6" s="134">
        <f t="shared" si="1"/>
        <v>0.25</v>
      </c>
      <c r="J6" s="134">
        <f t="shared" si="1"/>
        <v>0.25</v>
      </c>
      <c r="K6" s="134">
        <f t="shared" si="1"/>
        <v>0.25</v>
      </c>
    </row>
    <row r="7" spans="2:11" x14ac:dyDescent="0.25">
      <c r="B7" s="108" t="s">
        <v>386</v>
      </c>
      <c r="C7" s="108"/>
      <c r="D7" s="108"/>
      <c r="E7" s="108"/>
      <c r="F7" s="136">
        <f t="shared" ref="F7:K7" si="2">IFERROR(F5*(1-F6),0)</f>
        <v>10116</v>
      </c>
      <c r="G7" s="108">
        <f t="shared" si="2"/>
        <v>10311.30369185332</v>
      </c>
      <c r="H7" s="108">
        <f t="shared" si="2"/>
        <v>10510.377997788444</v>
      </c>
      <c r="I7" s="108">
        <f t="shared" si="2"/>
        <v>10713.295714844788</v>
      </c>
      <c r="J7" s="108">
        <f t="shared" si="2"/>
        <v>10920.131045511607</v>
      </c>
      <c r="K7" s="108">
        <f t="shared" si="2"/>
        <v>11130.959624862187</v>
      </c>
    </row>
    <row r="8" spans="2:11" x14ac:dyDescent="0.25">
      <c r="B8" s="108" t="s">
        <v>387</v>
      </c>
      <c r="C8" s="108"/>
      <c r="D8" s="108"/>
      <c r="E8" s="108"/>
      <c r="F8" s="138">
        <f>IFERROR('Insintric Growth'!K52,0)</f>
        <v>6.4927889517720494E-2</v>
      </c>
      <c r="G8" s="134">
        <f>IFERROR(F8,0)</f>
        <v>6.4927889517720494E-2</v>
      </c>
      <c r="H8" s="134">
        <f t="shared" ref="H8:K8" si="3">IFERROR(G8,0)</f>
        <v>6.4927889517720494E-2</v>
      </c>
      <c r="I8" s="134">
        <f t="shared" si="3"/>
        <v>6.4927889517720494E-2</v>
      </c>
      <c r="J8" s="134">
        <f t="shared" si="3"/>
        <v>6.4927889517720494E-2</v>
      </c>
      <c r="K8" s="134">
        <f t="shared" si="3"/>
        <v>6.4927889517720494E-2</v>
      </c>
    </row>
    <row r="9" spans="2:11" x14ac:dyDescent="0.25">
      <c r="B9" s="108" t="s">
        <v>388</v>
      </c>
      <c r="C9" s="108"/>
      <c r="D9" s="108"/>
      <c r="E9" s="108"/>
      <c r="F9" s="136">
        <f t="shared" ref="F9:K9" si="4">IFERROR(F7*(1-F8),0)</f>
        <v>9459.189469638739</v>
      </c>
      <c r="G9" s="108">
        <f t="shared" si="4"/>
        <v>9641.8125049650043</v>
      </c>
      <c r="H9" s="108">
        <f t="shared" si="4"/>
        <v>9827.9613363585559</v>
      </c>
      <c r="I9" s="108">
        <f t="shared" si="4"/>
        <v>10017.704034300676</v>
      </c>
      <c r="J9" s="108">
        <f t="shared" si="4"/>
        <v>10211.1099834696</v>
      </c>
      <c r="K9" s="108">
        <f t="shared" si="4"/>
        <v>10408.249908112926</v>
      </c>
    </row>
    <row r="10" spans="2:11" x14ac:dyDescent="0.25">
      <c r="B10" s="108" t="s">
        <v>389</v>
      </c>
      <c r="C10" s="108"/>
      <c r="D10" s="108"/>
      <c r="E10" s="108"/>
      <c r="F10" s="136"/>
      <c r="G10" s="135">
        <v>0.5</v>
      </c>
      <c r="H10" s="108">
        <f>IFERROR(G10+1,0)</f>
        <v>1.5</v>
      </c>
      <c r="I10" s="108">
        <f t="shared" ref="I10:K10" si="5">IFERROR(H10+1,0)</f>
        <v>2.5</v>
      </c>
      <c r="J10" s="108">
        <f t="shared" si="5"/>
        <v>3.5</v>
      </c>
      <c r="K10" s="108">
        <f t="shared" si="5"/>
        <v>4.5</v>
      </c>
    </row>
    <row r="11" spans="2:11" x14ac:dyDescent="0.25">
      <c r="B11" t="s">
        <v>390</v>
      </c>
      <c r="F11" s="132"/>
      <c r="G11" s="140">
        <f>IFERROR(1/(1+$D$17)^G10,0)</f>
        <v>0.94349220662235544</v>
      </c>
      <c r="H11" s="140">
        <f t="shared" ref="H11:K11" si="6">IFERROR(1/(1+$D$17)^H10,0)</f>
        <v>0.83987557523377332</v>
      </c>
      <c r="I11" s="140">
        <f t="shared" si="6"/>
        <v>0.74763837679117484</v>
      </c>
      <c r="J11" s="140">
        <f t="shared" si="6"/>
        <v>0.66553089402005705</v>
      </c>
      <c r="K11" s="140">
        <f t="shared" si="6"/>
        <v>0.5924406566663617</v>
      </c>
    </row>
    <row r="12" spans="2:11" ht="6" customHeight="1" x14ac:dyDescent="0.25">
      <c r="F12" s="132"/>
    </row>
    <row r="13" spans="2:11" ht="15.75" thickBot="1" x14ac:dyDescent="0.3">
      <c r="B13" s="131" t="s">
        <v>391</v>
      </c>
      <c r="C13" s="131"/>
      <c r="D13" s="131"/>
      <c r="E13" s="131"/>
      <c r="F13" s="139"/>
      <c r="G13" s="131">
        <f>IFERROR(G9*G11,0)</f>
        <v>9096.9749561484532</v>
      </c>
      <c r="H13" s="131">
        <f t="shared" ref="H13:K13" si="7">IFERROR(H9*H11,0)</f>
        <v>8254.2646807494257</v>
      </c>
      <c r="I13" s="131">
        <f t="shared" si="7"/>
        <v>7489.6199833789606</v>
      </c>
      <c r="J13" s="131">
        <f t="shared" si="7"/>
        <v>6795.8091562356531</v>
      </c>
      <c r="K13" s="131">
        <f t="shared" si="7"/>
        <v>6166.2704103100205</v>
      </c>
    </row>
    <row r="14" spans="2:11" ht="15.75" thickTop="1" x14ac:dyDescent="0.25"/>
    <row r="15" spans="2:11" x14ac:dyDescent="0.25">
      <c r="B15" s="132" t="s">
        <v>392</v>
      </c>
      <c r="C15" s="132"/>
      <c r="D15" s="14">
        <f>IFERROR('Insintric Growth'!K62,0)</f>
        <v>1.93064147739541E-2</v>
      </c>
    </row>
    <row r="16" spans="2:11" x14ac:dyDescent="0.25">
      <c r="B16" s="132" t="s">
        <v>393</v>
      </c>
      <c r="C16" s="132"/>
      <c r="D16" s="133">
        <v>0.04</v>
      </c>
    </row>
    <row r="17" spans="2:5" x14ac:dyDescent="0.25">
      <c r="B17" s="132" t="s">
        <v>394</v>
      </c>
      <c r="C17" s="132"/>
      <c r="D17" s="14">
        <f>IFERROR(WACC!K41,0)</f>
        <v>0.12337140696077663</v>
      </c>
    </row>
    <row r="19" spans="2:5" x14ac:dyDescent="0.25">
      <c r="B19" s="128" t="s">
        <v>396</v>
      </c>
      <c r="C19" s="127"/>
      <c r="D19" s="127"/>
      <c r="E19" s="141"/>
    </row>
    <row r="21" spans="2:5" x14ac:dyDescent="0.25">
      <c r="B21" t="s">
        <v>397</v>
      </c>
      <c r="D21">
        <f>IFERROR(K9*(1+D16),0)</f>
        <v>10824.579904437443</v>
      </c>
    </row>
    <row r="22" spans="2:5" x14ac:dyDescent="0.25">
      <c r="B22" t="s">
        <v>394</v>
      </c>
      <c r="D22" s="23">
        <f>IFERROR(D17,0)</f>
        <v>0.12337140696077663</v>
      </c>
    </row>
    <row r="23" spans="2:5" x14ac:dyDescent="0.25">
      <c r="B23" t="s">
        <v>399</v>
      </c>
      <c r="D23" s="23">
        <f>IFERROR(D16,0)</f>
        <v>0.04</v>
      </c>
    </row>
    <row r="24" spans="2:5" ht="6" customHeight="1" x14ac:dyDescent="0.25"/>
    <row r="25" spans="2:5" ht="15.75" thickBot="1" x14ac:dyDescent="0.3">
      <c r="B25" s="142" t="s">
        <v>398</v>
      </c>
      <c r="C25" s="142"/>
      <c r="D25" s="142">
        <f>IFERROR(D21/(D22-D23),0)</f>
        <v>129835.63908823123</v>
      </c>
    </row>
    <row r="26" spans="2:5" ht="15.75" thickTop="1" x14ac:dyDescent="0.25"/>
    <row r="27" spans="2:5" x14ac:dyDescent="0.25">
      <c r="B27" s="128" t="s">
        <v>404</v>
      </c>
      <c r="C27" s="127"/>
      <c r="D27" s="127"/>
    </row>
    <row r="29" spans="2:5" x14ac:dyDescent="0.25">
      <c r="B29" t="s">
        <v>391</v>
      </c>
      <c r="D29">
        <f>IFERROR(SUM(G13:K13),0)</f>
        <v>37802.939186822514</v>
      </c>
    </row>
    <row r="30" spans="2:5" x14ac:dyDescent="0.25">
      <c r="B30" t="s">
        <v>400</v>
      </c>
      <c r="D30" s="143">
        <f>IFERROR(D25*K11,0)</f>
        <v>76919.91128012845</v>
      </c>
    </row>
    <row r="31" spans="2:5" x14ac:dyDescent="0.25">
      <c r="B31" s="1" t="s">
        <v>401</v>
      </c>
      <c r="C31" s="1"/>
      <c r="D31" s="145">
        <f>IFERROR(SUM(D29:D30),0)</f>
        <v>114722.85046695097</v>
      </c>
    </row>
    <row r="32" spans="2:5" x14ac:dyDescent="0.25">
      <c r="D32" s="143"/>
    </row>
    <row r="33" spans="2:4" x14ac:dyDescent="0.25">
      <c r="B33" t="s">
        <v>402</v>
      </c>
      <c r="D33" s="143">
        <f>IFERROR('Data Sheet'!K69,0)</f>
        <v>7554</v>
      </c>
    </row>
    <row r="34" spans="2:4" x14ac:dyDescent="0.25">
      <c r="B34" t="s">
        <v>403</v>
      </c>
      <c r="D34">
        <f>IFERROR(SUM('Raw FS'!N7:N8),0)</f>
        <v>1</v>
      </c>
    </row>
    <row r="35" spans="2:4" x14ac:dyDescent="0.25">
      <c r="B35" s="1" t="s">
        <v>405</v>
      </c>
      <c r="D35" s="1">
        <f>IFERROR(D31+D33-D34,0)</f>
        <v>122275.85046695097</v>
      </c>
    </row>
    <row r="36" spans="2:4" x14ac:dyDescent="0.25">
      <c r="B36" s="38" t="s">
        <v>406</v>
      </c>
      <c r="D36" s="47">
        <f>IFERROR('Data Sheet'!B6,0)</f>
        <v>234.95912474622151</v>
      </c>
    </row>
    <row r="37" spans="2:4" s="26" customFormat="1" ht="6" customHeight="1" x14ac:dyDescent="0.25"/>
    <row r="38" spans="2:4" ht="15.75" thickBot="1" x14ac:dyDescent="0.3">
      <c r="B38" s="142" t="s">
        <v>407</v>
      </c>
      <c r="C38" s="142"/>
      <c r="D38" s="144">
        <f>IFERROR(D35/D36,0)</f>
        <v>520.41328720057447</v>
      </c>
    </row>
    <row r="39" spans="2:4" ht="15.75" thickTop="1" x14ac:dyDescent="0.25"/>
    <row r="40" spans="2:4" x14ac:dyDescent="0.25">
      <c r="B40" t="s">
        <v>408</v>
      </c>
      <c r="D40" s="12">
        <v>2633</v>
      </c>
    </row>
    <row r="41" spans="2:4" x14ac:dyDescent="0.25">
      <c r="B41" t="s">
        <v>410</v>
      </c>
      <c r="D41" s="146">
        <f>IFERROR(D40/D38-1,0)</f>
        <v>4.0594403808625383</v>
      </c>
    </row>
  </sheetData>
  <pageMargins left="0.7" right="0.7" top="0.75" bottom="0.75" header="0.3" footer="0.3"/>
  <pageSetup orientation="portrait" r:id="rId1"/>
  <ignoredErrors>
    <ignoredError sqref="D3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showGridLines="0" workbookViewId="0">
      <pane ySplit="3" topLeftCell="A4" activePane="bottomLeft" state="frozen"/>
      <selection pane="bottomLeft" activeCell="C24" sqref="C24"/>
    </sheetView>
  </sheetViews>
  <sheetFormatPr defaultRowHeight="15" x14ac:dyDescent="0.25"/>
  <cols>
    <col min="1" max="1" width="2" bestFit="1" customWidth="1"/>
    <col min="2" max="2" width="27.140625" customWidth="1"/>
    <col min="3" max="3" width="11" bestFit="1" customWidth="1"/>
    <col min="4" max="7" width="10.140625" bestFit="1" customWidth="1"/>
    <col min="8" max="13" width="11.140625" bestFit="1" customWidth="1"/>
  </cols>
  <sheetData>
    <row r="2" spans="1:13" x14ac:dyDescent="0.25">
      <c r="B2" s="149" t="str">
        <f>"Historical Financial Statement - "&amp;'Data Sheet'!B1</f>
        <v>Historical Financial Statement - HINDUSTAN UNILEVER LTD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x14ac:dyDescent="0.25">
      <c r="B3" s="84" t="s">
        <v>265</v>
      </c>
      <c r="C3" s="85">
        <f>'[1]Data Sheet'!B16</f>
        <v>42460</v>
      </c>
      <c r="D3" s="85">
        <f>'[1]Data Sheet'!C16</f>
        <v>42825</v>
      </c>
      <c r="E3" s="85">
        <f>'[1]Data Sheet'!D16</f>
        <v>43190</v>
      </c>
      <c r="F3" s="85">
        <f>'[1]Data Sheet'!E16</f>
        <v>43555</v>
      </c>
      <c r="G3" s="85">
        <f>'[1]Data Sheet'!F16</f>
        <v>43921</v>
      </c>
      <c r="H3" s="85">
        <f>'[1]Data Sheet'!G16</f>
        <v>44286</v>
      </c>
      <c r="I3" s="85">
        <f>'[1]Data Sheet'!H16</f>
        <v>44651</v>
      </c>
      <c r="J3" s="85">
        <f>'[1]Data Sheet'!I16</f>
        <v>45016</v>
      </c>
      <c r="K3" s="85">
        <f>'[1]Data Sheet'!J16</f>
        <v>45382</v>
      </c>
      <c r="L3" s="85">
        <f>'[1]Data Sheet'!K16</f>
        <v>45747</v>
      </c>
      <c r="M3" s="86" t="s">
        <v>266</v>
      </c>
    </row>
    <row r="4" spans="1:13" x14ac:dyDescent="0.25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</row>
    <row r="5" spans="1:13" x14ac:dyDescent="0.25">
      <c r="A5" s="87" t="s">
        <v>267</v>
      </c>
      <c r="B5" s="88" t="s">
        <v>268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5">
      <c r="B6" t="s">
        <v>224</v>
      </c>
      <c r="C6" s="76">
        <f>IFERROR('Data Sheet'!B17,0)</f>
        <v>32186</v>
      </c>
      <c r="D6" s="76">
        <f>IFERROR('Data Sheet'!C17,0)</f>
        <v>33162</v>
      </c>
      <c r="E6" s="76">
        <f>IFERROR('Data Sheet'!D17,0)</f>
        <v>35545</v>
      </c>
      <c r="F6" s="76">
        <f>IFERROR('Data Sheet'!E17,0)</f>
        <v>39310</v>
      </c>
      <c r="G6" s="76">
        <f>IFERROR('Data Sheet'!F17,0)</f>
        <v>39783</v>
      </c>
      <c r="H6" s="76">
        <f>IFERROR('Data Sheet'!G17,0)</f>
        <v>47028</v>
      </c>
      <c r="I6" s="76">
        <f>IFERROR('Data Sheet'!H17,0)</f>
        <v>52446</v>
      </c>
      <c r="J6" s="76">
        <f>IFERROR('Data Sheet'!I17,0)</f>
        <v>60580</v>
      </c>
      <c r="K6" s="76">
        <f>IFERROR('Data Sheet'!J17,0)</f>
        <v>61896</v>
      </c>
      <c r="L6" s="76">
        <f>IFERROR('Data Sheet'!K17,0)</f>
        <v>63121</v>
      </c>
      <c r="M6" s="76">
        <f>IFERROR(SUM('Data Sheet'!H42:K42),0)</f>
        <v>63928</v>
      </c>
    </row>
    <row r="7" spans="1:13" x14ac:dyDescent="0.25">
      <c r="B7" s="77" t="s">
        <v>269</v>
      </c>
      <c r="C7" s="78" t="s">
        <v>270</v>
      </c>
      <c r="D7" s="70">
        <f>IFERROR(D6/C6-1,0)</f>
        <v>3.03237432424035E-2</v>
      </c>
      <c r="E7" s="70">
        <f t="shared" ref="E7:M7" si="0">IFERROR(E6/D6-1,0)</f>
        <v>7.1859357095470644E-2</v>
      </c>
      <c r="F7" s="70">
        <f t="shared" si="0"/>
        <v>0.1059220706147137</v>
      </c>
      <c r="G7" s="70">
        <f t="shared" si="0"/>
        <v>1.2032561689137689E-2</v>
      </c>
      <c r="H7" s="70">
        <f t="shared" si="0"/>
        <v>0.18211296282331646</v>
      </c>
      <c r="I7" s="70">
        <f t="shared" si="0"/>
        <v>0.11520796121459553</v>
      </c>
      <c r="J7" s="70">
        <f t="shared" si="0"/>
        <v>0.15509285741524614</v>
      </c>
      <c r="K7" s="70">
        <f t="shared" si="0"/>
        <v>2.1723341036645749E-2</v>
      </c>
      <c r="L7" s="70">
        <f t="shared" si="0"/>
        <v>1.9791262763344974E-2</v>
      </c>
      <c r="M7" s="70">
        <f t="shared" si="0"/>
        <v>1.2784968552462805E-2</v>
      </c>
    </row>
    <row r="9" spans="1:13" x14ac:dyDescent="0.25">
      <c r="B9" t="s">
        <v>271</v>
      </c>
      <c r="C9" s="76">
        <f>IFERROR(SUM('Data Sheet'!B18,'Data Sheet'!B20:B22)-1*'Data Sheet'!B19,0)</f>
        <v>18222</v>
      </c>
      <c r="D9" s="76">
        <f>IFERROR(SUM('Data Sheet'!C18,'Data Sheet'!C20:C22)-1*'Data Sheet'!C19,0)</f>
        <v>18675</v>
      </c>
      <c r="E9" s="76">
        <f>IFERROR(SUM('Data Sheet'!D18,'Data Sheet'!D20:D22)-1*'Data Sheet'!D19,0)</f>
        <v>19314</v>
      </c>
      <c r="F9" s="76">
        <f>IFERROR(SUM('Data Sheet'!E18,'Data Sheet'!E20:E22)-1*'Data Sheet'!E19,0)</f>
        <v>21081</v>
      </c>
      <c r="G9" s="76">
        <f>IFERROR(SUM('Data Sheet'!F18,'Data Sheet'!F20:F22)-1*'Data Sheet'!F19,0)</f>
        <v>20614</v>
      </c>
      <c r="H9" s="76">
        <f>IFERROR(SUM('Data Sheet'!G18,'Data Sheet'!G20:G22)-1*'Data Sheet'!G19,0)</f>
        <v>25301</v>
      </c>
      <c r="I9" s="76">
        <f>IFERROR(SUM('Data Sheet'!H18,'Data Sheet'!H20:H22)-1*'Data Sheet'!H19,0)</f>
        <v>29066</v>
      </c>
      <c r="J9" s="76">
        <f>IFERROR(SUM('Data Sheet'!I18,'Data Sheet'!I20:I22)-1*'Data Sheet'!I19,0)</f>
        <v>35381</v>
      </c>
      <c r="K9" s="76">
        <f>IFERROR(SUM('Data Sheet'!J18,'Data Sheet'!J20:J22)-1*'Data Sheet'!J19,0)</f>
        <v>33651</v>
      </c>
      <c r="L9" s="76">
        <f>IFERROR(SUM('Data Sheet'!K18,'Data Sheet'!K20:K22)-1*'Data Sheet'!K19,0)</f>
        <v>34529</v>
      </c>
      <c r="M9" s="76">
        <f>IFERROR(SUM('Data Sheet'!H43:K43),0)</f>
        <v>49111</v>
      </c>
    </row>
    <row r="10" spans="1:13" x14ac:dyDescent="0.25">
      <c r="B10" s="70" t="s">
        <v>272</v>
      </c>
      <c r="C10" s="70">
        <f>IFERROR(C9/C6,0)</f>
        <v>0.56614677188839868</v>
      </c>
      <c r="D10" s="70">
        <f t="shared" ref="D10:M10" si="1">IFERROR(D9/D6,0)</f>
        <v>0.5631445630540981</v>
      </c>
      <c r="E10" s="70">
        <f t="shared" si="1"/>
        <v>0.54336756224504146</v>
      </c>
      <c r="F10" s="70">
        <f t="shared" si="1"/>
        <v>0.53627575680488426</v>
      </c>
      <c r="G10" s="70">
        <f t="shared" si="1"/>
        <v>0.51816102355277383</v>
      </c>
      <c r="H10" s="70">
        <f t="shared" si="1"/>
        <v>0.53799863910861612</v>
      </c>
      <c r="I10" s="70">
        <f t="shared" si="1"/>
        <v>0.55420813789421497</v>
      </c>
      <c r="J10" s="70">
        <f t="shared" si="1"/>
        <v>0.58403763618355897</v>
      </c>
      <c r="K10" s="70">
        <f t="shared" si="1"/>
        <v>0.54367002714230317</v>
      </c>
      <c r="L10" s="70">
        <f t="shared" si="1"/>
        <v>0.54702872261212587</v>
      </c>
      <c r="M10" s="70">
        <f t="shared" si="1"/>
        <v>0.7682236265799024</v>
      </c>
    </row>
    <row r="12" spans="1:13" x14ac:dyDescent="0.25">
      <c r="B12" s="79" t="s">
        <v>273</v>
      </c>
      <c r="C12" s="80">
        <f>IFERROR(C6-C9,0)</f>
        <v>13964</v>
      </c>
      <c r="D12" s="80">
        <f t="shared" ref="D12:M12" si="2">IFERROR(D6-D9,0)</f>
        <v>14487</v>
      </c>
      <c r="E12" s="80">
        <f t="shared" si="2"/>
        <v>16231</v>
      </c>
      <c r="F12" s="80">
        <f t="shared" si="2"/>
        <v>18229</v>
      </c>
      <c r="G12" s="80">
        <f t="shared" si="2"/>
        <v>19169</v>
      </c>
      <c r="H12" s="80">
        <f t="shared" si="2"/>
        <v>21727</v>
      </c>
      <c r="I12" s="80">
        <f t="shared" si="2"/>
        <v>23380</v>
      </c>
      <c r="J12" s="80">
        <f t="shared" si="2"/>
        <v>25199</v>
      </c>
      <c r="K12" s="80">
        <f t="shared" si="2"/>
        <v>28245</v>
      </c>
      <c r="L12" s="80">
        <f t="shared" si="2"/>
        <v>28592</v>
      </c>
      <c r="M12" s="80">
        <f t="shared" si="2"/>
        <v>14817</v>
      </c>
    </row>
    <row r="13" spans="1:13" x14ac:dyDescent="0.25">
      <c r="B13" s="70" t="s">
        <v>274</v>
      </c>
      <c r="C13" s="70">
        <f>IFERROR(C12/C6,0)</f>
        <v>0.43385322811160132</v>
      </c>
      <c r="D13" s="70">
        <f t="shared" ref="D13:M13" si="3">IFERROR(D12/D6,0)</f>
        <v>0.43685543694590195</v>
      </c>
      <c r="E13" s="70">
        <f t="shared" si="3"/>
        <v>0.45663243775495849</v>
      </c>
      <c r="F13" s="70">
        <f t="shared" si="3"/>
        <v>0.46372424319511574</v>
      </c>
      <c r="G13" s="70">
        <f t="shared" si="3"/>
        <v>0.48183897644722617</v>
      </c>
      <c r="H13" s="70">
        <f t="shared" si="3"/>
        <v>0.46200136089138388</v>
      </c>
      <c r="I13" s="70">
        <f t="shared" si="3"/>
        <v>0.44579186210578498</v>
      </c>
      <c r="J13" s="70">
        <f t="shared" si="3"/>
        <v>0.41596236381644108</v>
      </c>
      <c r="K13" s="70">
        <f t="shared" si="3"/>
        <v>0.45632997285769678</v>
      </c>
      <c r="L13" s="70">
        <f t="shared" si="3"/>
        <v>0.45297127738787407</v>
      </c>
      <c r="M13" s="70">
        <f t="shared" si="3"/>
        <v>0.2317763734200976</v>
      </c>
    </row>
    <row r="15" spans="1:13" x14ac:dyDescent="0.25">
      <c r="B15" t="s">
        <v>275</v>
      </c>
      <c r="C15" s="76">
        <f>IFERROR(SUM('Data Sheet'!B23:B24),0)</f>
        <v>8054</v>
      </c>
      <c r="D15" s="76">
        <f>IFERROR(SUM('Data Sheet'!C23:C24),0)</f>
        <v>8159</v>
      </c>
      <c r="E15" s="76">
        <f>IFERROR(SUM('Data Sheet'!D23:D24),0)</f>
        <v>8732</v>
      </c>
      <c r="F15" s="76">
        <f>IFERROR(SUM('Data Sheet'!E23:E24),0)</f>
        <v>9349</v>
      </c>
      <c r="G15" s="76">
        <f>IFERROR(SUM('Data Sheet'!F23:F24),0)</f>
        <v>9308</v>
      </c>
      <c r="H15" s="76">
        <f>IFERROR(SUM('Data Sheet'!G23:G24),0)</f>
        <v>10101</v>
      </c>
      <c r="I15" s="76">
        <f>IFERROR(SUM('Data Sheet'!H23:H24),0)</f>
        <v>10523</v>
      </c>
      <c r="J15" s="76">
        <f>IFERROR(SUM('Data Sheet'!I23:I24),0)</f>
        <v>11052</v>
      </c>
      <c r="K15" s="76">
        <f>IFERROR(SUM('Data Sheet'!J23:J24),0)</f>
        <v>13586</v>
      </c>
      <c r="L15" s="76">
        <f>IFERROR(SUM('Data Sheet'!K23:K24),0)</f>
        <v>13749</v>
      </c>
      <c r="M15" s="76"/>
    </row>
    <row r="16" spans="1:13" x14ac:dyDescent="0.25">
      <c r="B16" s="70" t="s">
        <v>276</v>
      </c>
      <c r="C16" s="70">
        <f>IFERROR(C15/C6,0)</f>
        <v>0.25023302056794877</v>
      </c>
      <c r="D16" s="70">
        <f t="shared" ref="D16:M16" si="4">IFERROR(D15/D6,0)</f>
        <v>0.24603461793619202</v>
      </c>
      <c r="E16" s="70">
        <f t="shared" si="4"/>
        <v>0.24566043044028696</v>
      </c>
      <c r="F16" s="70">
        <f t="shared" si="4"/>
        <v>0.23782752480284916</v>
      </c>
      <c r="G16" s="70">
        <f t="shared" si="4"/>
        <v>0.23396928336224015</v>
      </c>
      <c r="H16" s="70">
        <f t="shared" si="4"/>
        <v>0.21478693544271499</v>
      </c>
      <c r="I16" s="70">
        <f t="shared" si="4"/>
        <v>0.20064447240971667</v>
      </c>
      <c r="J16" s="70">
        <f t="shared" si="4"/>
        <v>0.18243644767249917</v>
      </c>
      <c r="K16" s="70">
        <f t="shared" si="4"/>
        <v>0.21949722114514669</v>
      </c>
      <c r="L16" s="70">
        <f t="shared" si="4"/>
        <v>0.21781974303322191</v>
      </c>
      <c r="M16" s="70">
        <f t="shared" si="4"/>
        <v>0</v>
      </c>
    </row>
    <row r="18" spans="2:13" x14ac:dyDescent="0.25">
      <c r="B18" s="79" t="s">
        <v>277</v>
      </c>
      <c r="C18" s="80">
        <f>IFERROR(C12-C15,0)</f>
        <v>5910</v>
      </c>
      <c r="D18" s="80">
        <f t="shared" ref="D18:L18" si="5">IFERROR(D12-D15,0)</f>
        <v>6328</v>
      </c>
      <c r="E18" s="80">
        <f t="shared" si="5"/>
        <v>7499</v>
      </c>
      <c r="F18" s="80">
        <f t="shared" si="5"/>
        <v>8880</v>
      </c>
      <c r="G18" s="80">
        <f t="shared" si="5"/>
        <v>9861</v>
      </c>
      <c r="H18" s="80">
        <f t="shared" si="5"/>
        <v>11626</v>
      </c>
      <c r="I18" s="80">
        <f t="shared" si="5"/>
        <v>12857</v>
      </c>
      <c r="J18" s="80">
        <f t="shared" si="5"/>
        <v>14147</v>
      </c>
      <c r="K18" s="80">
        <f t="shared" si="5"/>
        <v>14659</v>
      </c>
      <c r="L18" s="80">
        <f t="shared" si="5"/>
        <v>14843</v>
      </c>
      <c r="M18" s="81">
        <f>IFERROR(SUM('[1]Data Sheet'!H45:K47),0)</f>
        <v>16005</v>
      </c>
    </row>
    <row r="19" spans="2:13" x14ac:dyDescent="0.25">
      <c r="B19" s="70" t="s">
        <v>278</v>
      </c>
      <c r="C19" s="70">
        <f>IFERROR(C18/C6,0)</f>
        <v>0.18362020754365252</v>
      </c>
      <c r="D19" s="70">
        <f t="shared" ref="D19:M19" si="6">IFERROR(D18/D6,0)</f>
        <v>0.1908208190097099</v>
      </c>
      <c r="E19" s="70">
        <f t="shared" si="6"/>
        <v>0.21097200731467156</v>
      </c>
      <c r="F19" s="70">
        <f t="shared" si="6"/>
        <v>0.2258967183922666</v>
      </c>
      <c r="G19" s="70">
        <f t="shared" si="6"/>
        <v>0.24786969308498605</v>
      </c>
      <c r="H19" s="70">
        <f t="shared" si="6"/>
        <v>0.24721442544866887</v>
      </c>
      <c r="I19" s="70">
        <f t="shared" si="6"/>
        <v>0.24514738969606834</v>
      </c>
      <c r="J19" s="70">
        <f t="shared" si="6"/>
        <v>0.23352591614394189</v>
      </c>
      <c r="K19" s="70">
        <f t="shared" si="6"/>
        <v>0.23683275171255008</v>
      </c>
      <c r="L19" s="70">
        <f t="shared" si="6"/>
        <v>0.23515153435465216</v>
      </c>
      <c r="M19" s="70">
        <f t="shared" si="6"/>
        <v>0.25035977975222123</v>
      </c>
    </row>
    <row r="21" spans="2:13" x14ac:dyDescent="0.25">
      <c r="B21" t="s">
        <v>234</v>
      </c>
      <c r="C21" s="76">
        <f>IFERROR('Data Sheet'!B27,0)</f>
        <v>17</v>
      </c>
      <c r="D21" s="76">
        <f>IFERROR('Data Sheet'!C27,0)</f>
        <v>35</v>
      </c>
      <c r="E21" s="76">
        <f>IFERROR('Data Sheet'!D27,0)</f>
        <v>26</v>
      </c>
      <c r="F21" s="76">
        <f>IFERROR('Data Sheet'!E27,0)</f>
        <v>33</v>
      </c>
      <c r="G21" s="76">
        <f>IFERROR('Data Sheet'!F27,0)</f>
        <v>118</v>
      </c>
      <c r="H21" s="76">
        <f>IFERROR('Data Sheet'!G27,0)</f>
        <v>117</v>
      </c>
      <c r="I21" s="76">
        <f>IFERROR('Data Sheet'!H27,0)</f>
        <v>106</v>
      </c>
      <c r="J21" s="76">
        <f>IFERROR('Data Sheet'!I27,0)</f>
        <v>114</v>
      </c>
      <c r="K21" s="76">
        <f>IFERROR('Data Sheet'!J27,0)</f>
        <v>334</v>
      </c>
      <c r="L21" s="76">
        <f>IFERROR('Data Sheet'!K27,0)</f>
        <v>395</v>
      </c>
      <c r="M21" s="76">
        <f>IFERROR(SUM('Data Sheet'!H46:K46),0)</f>
        <v>429</v>
      </c>
    </row>
    <row r="22" spans="2:13" x14ac:dyDescent="0.25">
      <c r="B22" s="70" t="s">
        <v>279</v>
      </c>
      <c r="C22" s="70">
        <f>IFERROR(C21/C6,0)</f>
        <v>5.2817995401727462E-4</v>
      </c>
      <c r="D22" s="70">
        <f t="shared" ref="D22:M22" si="7">IFERROR(D21/D6,0)</f>
        <v>1.0554248839032628E-3</v>
      </c>
      <c r="E22" s="70">
        <f t="shared" si="7"/>
        <v>7.3146715431143621E-4</v>
      </c>
      <c r="F22" s="70">
        <f t="shared" si="7"/>
        <v>8.3948104807936915E-4</v>
      </c>
      <c r="G22" s="70">
        <f t="shared" si="7"/>
        <v>2.9660910439132291E-3</v>
      </c>
      <c r="H22" s="70">
        <f t="shared" si="7"/>
        <v>2.4878795611125285E-3</v>
      </c>
      <c r="I22" s="70">
        <f t="shared" si="7"/>
        <v>2.0211264920108303E-3</v>
      </c>
      <c r="J22" s="70">
        <f t="shared" si="7"/>
        <v>1.881809177946517E-3</v>
      </c>
      <c r="K22" s="70">
        <f t="shared" si="7"/>
        <v>5.3961483779242604E-3</v>
      </c>
      <c r="L22" s="70">
        <f t="shared" si="7"/>
        <v>6.2578222778473091E-3</v>
      </c>
      <c r="M22" s="70">
        <f t="shared" si="7"/>
        <v>6.710674508822425E-3</v>
      </c>
    </row>
    <row r="24" spans="2:13" x14ac:dyDescent="0.25">
      <c r="B24" t="s">
        <v>233</v>
      </c>
      <c r="C24" s="76">
        <f>IFERROR('Data Sheet'!B26,0)</f>
        <v>353</v>
      </c>
      <c r="D24" s="76">
        <f>IFERROR('Data Sheet'!C26,0)</f>
        <v>432</v>
      </c>
      <c r="E24" s="76">
        <f>IFERROR('Data Sheet'!D26,0)</f>
        <v>520</v>
      </c>
      <c r="F24" s="76">
        <f>IFERROR('Data Sheet'!E26,0)</f>
        <v>565</v>
      </c>
      <c r="G24" s="76">
        <f>IFERROR('Data Sheet'!F26,0)</f>
        <v>1002</v>
      </c>
      <c r="H24" s="76">
        <f>IFERROR('Data Sheet'!G26,0)</f>
        <v>1074</v>
      </c>
      <c r="I24" s="76">
        <f>IFERROR('Data Sheet'!H26,0)</f>
        <v>1091</v>
      </c>
      <c r="J24" s="76">
        <f>IFERROR('Data Sheet'!I26,0)</f>
        <v>1137</v>
      </c>
      <c r="K24" s="76">
        <f>IFERROR('Data Sheet'!J26,0)</f>
        <v>1216</v>
      </c>
      <c r="L24" s="76">
        <f>IFERROR('Data Sheet'!K26,0)</f>
        <v>1355</v>
      </c>
      <c r="M24" s="76">
        <f>IFERROR(SUM('Data Sheet'!H45:K45),0)</f>
        <v>1387</v>
      </c>
    </row>
    <row r="25" spans="2:13" x14ac:dyDescent="0.25">
      <c r="B25" s="70" t="s">
        <v>280</v>
      </c>
      <c r="C25" s="70">
        <f>IFERROR(C24/C6,0)</f>
        <v>1.0967501398123409E-2</v>
      </c>
      <c r="D25" s="70">
        <f t="shared" ref="D25:M25" si="8">IFERROR(D24/D6,0)</f>
        <v>1.3026958567034558E-2</v>
      </c>
      <c r="E25" s="70">
        <f t="shared" si="8"/>
        <v>1.4629343086228723E-2</v>
      </c>
      <c r="F25" s="70">
        <f t="shared" si="8"/>
        <v>1.437293309590435E-2</v>
      </c>
      <c r="G25" s="70">
        <f t="shared" si="8"/>
        <v>2.5186637508483524E-2</v>
      </c>
      <c r="H25" s="70">
        <f t="shared" si="8"/>
        <v>2.2837458535340648E-2</v>
      </c>
      <c r="I25" s="70">
        <f t="shared" si="8"/>
        <v>2.0802349082866187E-2</v>
      </c>
      <c r="J25" s="70">
        <f t="shared" si="8"/>
        <v>1.8768570485308684E-2</v>
      </c>
      <c r="K25" s="70">
        <f t="shared" si="8"/>
        <v>1.9645857567532635E-2</v>
      </c>
      <c r="L25" s="70">
        <f t="shared" si="8"/>
        <v>2.1466706801223048E-2</v>
      </c>
      <c r="M25" s="70">
        <f t="shared" si="8"/>
        <v>2.1696283318733574E-2</v>
      </c>
    </row>
    <row r="27" spans="2:13" x14ac:dyDescent="0.25">
      <c r="B27" s="79" t="s">
        <v>281</v>
      </c>
      <c r="C27" s="80">
        <f>IFERROR(C18-SUM(C21,C24),0)</f>
        <v>5540</v>
      </c>
      <c r="D27" s="80">
        <f t="shared" ref="D27:M27" si="9">IFERROR(D18-SUM(D21,D24),0)</f>
        <v>5861</v>
      </c>
      <c r="E27" s="80">
        <f t="shared" si="9"/>
        <v>6953</v>
      </c>
      <c r="F27" s="80">
        <f t="shared" si="9"/>
        <v>8282</v>
      </c>
      <c r="G27" s="80">
        <f t="shared" si="9"/>
        <v>8741</v>
      </c>
      <c r="H27" s="80">
        <f t="shared" si="9"/>
        <v>10435</v>
      </c>
      <c r="I27" s="80">
        <f t="shared" si="9"/>
        <v>11660</v>
      </c>
      <c r="J27" s="80">
        <f t="shared" si="9"/>
        <v>12896</v>
      </c>
      <c r="K27" s="80">
        <f t="shared" si="9"/>
        <v>13109</v>
      </c>
      <c r="L27" s="80">
        <f t="shared" si="9"/>
        <v>13093</v>
      </c>
      <c r="M27" s="80">
        <f t="shared" si="9"/>
        <v>14189</v>
      </c>
    </row>
    <row r="28" spans="2:13" x14ac:dyDescent="0.25">
      <c r="B28" s="70" t="s">
        <v>282</v>
      </c>
      <c r="C28" s="70">
        <f>IFERROR(C27/C6,0)</f>
        <v>0.17212452619151183</v>
      </c>
      <c r="D28" s="70">
        <f t="shared" ref="D28:M28" si="10">IFERROR(D27/D6,0)</f>
        <v>0.17673843555877208</v>
      </c>
      <c r="E28" s="70">
        <f t="shared" si="10"/>
        <v>0.19561119707413138</v>
      </c>
      <c r="F28" s="70">
        <f t="shared" si="10"/>
        <v>0.21068430424828288</v>
      </c>
      <c r="G28" s="70">
        <f t="shared" si="10"/>
        <v>0.21971696453258929</v>
      </c>
      <c r="H28" s="70">
        <f t="shared" si="10"/>
        <v>0.22188908735221571</v>
      </c>
      <c r="I28" s="70">
        <f t="shared" si="10"/>
        <v>0.22232391412119132</v>
      </c>
      <c r="J28" s="70">
        <f t="shared" si="10"/>
        <v>0.21287553648068669</v>
      </c>
      <c r="K28" s="70">
        <f t="shared" si="10"/>
        <v>0.2117907457670932</v>
      </c>
      <c r="L28" s="70">
        <f t="shared" si="10"/>
        <v>0.20742700527558183</v>
      </c>
      <c r="M28" s="70">
        <f t="shared" si="10"/>
        <v>0.22195282192466526</v>
      </c>
    </row>
    <row r="30" spans="2:13" x14ac:dyDescent="0.25">
      <c r="B30" t="s">
        <v>236</v>
      </c>
      <c r="C30" s="76">
        <f>IFERROR('Data Sheet'!B29,0)</f>
        <v>1875</v>
      </c>
      <c r="D30" s="76">
        <f>IFERROR('Data Sheet'!C29,0)</f>
        <v>1977</v>
      </c>
      <c r="E30" s="76">
        <f>IFERROR('Data Sheet'!D29,0)</f>
        <v>2079</v>
      </c>
      <c r="F30" s="76">
        <f>IFERROR('Data Sheet'!E29,0)</f>
        <v>2544</v>
      </c>
      <c r="G30" s="76">
        <f>IFERROR('Data Sheet'!F29,0)</f>
        <v>2409</v>
      </c>
      <c r="H30" s="76">
        <f>IFERROR('Data Sheet'!G29,0)</f>
        <v>2606</v>
      </c>
      <c r="I30" s="76">
        <f>IFERROR('Data Sheet'!H29,0)</f>
        <v>2987</v>
      </c>
      <c r="J30" s="76">
        <f>IFERROR('Data Sheet'!I29,0)</f>
        <v>3201</v>
      </c>
      <c r="K30" s="76">
        <f>IFERROR('Data Sheet'!J29,0)</f>
        <v>3644</v>
      </c>
      <c r="L30" s="76">
        <f>IFERROR('Data Sheet'!K29,0)</f>
        <v>3744</v>
      </c>
      <c r="M30" s="76">
        <f>IFERROR(SUM('Data Sheet'!H48:K48),0)</f>
        <v>3362</v>
      </c>
    </row>
    <row r="31" spans="2:13" x14ac:dyDescent="0.25">
      <c r="B31" s="70" t="s">
        <v>283</v>
      </c>
      <c r="C31" s="70">
        <f>IFERROR(C30/C27,0)</f>
        <v>0.33844765342960287</v>
      </c>
      <c r="D31" s="70">
        <f t="shared" ref="D31:M31" si="11">IFERROR(D30/D27,0)</f>
        <v>0.33731445145879541</v>
      </c>
      <c r="E31" s="70">
        <f t="shared" si="11"/>
        <v>0.29900762260894576</v>
      </c>
      <c r="F31" s="70">
        <f t="shared" si="11"/>
        <v>0.30717218063269741</v>
      </c>
      <c r="G31" s="70">
        <f t="shared" si="11"/>
        <v>0.27559775769362771</v>
      </c>
      <c r="H31" s="70">
        <f t="shared" si="11"/>
        <v>0.24973646382367035</v>
      </c>
      <c r="I31" s="70">
        <f t="shared" si="11"/>
        <v>0.25617495711835336</v>
      </c>
      <c r="J31" s="70">
        <f t="shared" si="11"/>
        <v>0.24821650124069478</v>
      </c>
      <c r="K31" s="70">
        <f t="shared" si="11"/>
        <v>0.27797696239224962</v>
      </c>
      <c r="L31" s="70">
        <f t="shared" si="11"/>
        <v>0.28595432673947913</v>
      </c>
      <c r="M31" s="70">
        <f t="shared" si="11"/>
        <v>0.2369441116357742</v>
      </c>
    </row>
    <row r="33" spans="1:13" x14ac:dyDescent="0.25">
      <c r="B33" s="79" t="s">
        <v>284</v>
      </c>
      <c r="C33" s="80">
        <f>IFERROR(C27-C30,0)</f>
        <v>3665</v>
      </c>
      <c r="D33" s="80">
        <f t="shared" ref="D33:M33" si="12">IFERROR(D27-D30,0)</f>
        <v>3884</v>
      </c>
      <c r="E33" s="80">
        <f t="shared" si="12"/>
        <v>4874</v>
      </c>
      <c r="F33" s="80">
        <f t="shared" si="12"/>
        <v>5738</v>
      </c>
      <c r="G33" s="80">
        <f t="shared" si="12"/>
        <v>6332</v>
      </c>
      <c r="H33" s="80">
        <f t="shared" si="12"/>
        <v>7829</v>
      </c>
      <c r="I33" s="80">
        <f t="shared" si="12"/>
        <v>8673</v>
      </c>
      <c r="J33" s="80">
        <f t="shared" si="12"/>
        <v>9695</v>
      </c>
      <c r="K33" s="80">
        <f t="shared" si="12"/>
        <v>9465</v>
      </c>
      <c r="L33" s="80">
        <f t="shared" si="12"/>
        <v>9349</v>
      </c>
      <c r="M33" s="80">
        <f t="shared" si="12"/>
        <v>10827</v>
      </c>
    </row>
    <row r="34" spans="1:13" x14ac:dyDescent="0.25">
      <c r="B34" s="70" t="s">
        <v>285</v>
      </c>
      <c r="C34" s="70">
        <f>IFERROR(C33/C6,0)</f>
        <v>0.11386938420431243</v>
      </c>
      <c r="D34" s="70">
        <f t="shared" ref="D34:M34" si="13">IFERROR(D33/D6,0)</f>
        <v>0.11712200711657922</v>
      </c>
      <c r="E34" s="70">
        <f t="shared" si="13"/>
        <v>0.1371219580813054</v>
      </c>
      <c r="F34" s="70">
        <f t="shared" si="13"/>
        <v>0.14596794708725516</v>
      </c>
      <c r="G34" s="70">
        <f t="shared" si="13"/>
        <v>0.15916346178015736</v>
      </c>
      <c r="H34" s="70">
        <f t="shared" si="13"/>
        <v>0.16647529131581185</v>
      </c>
      <c r="I34" s="70">
        <f t="shared" si="13"/>
        <v>0.16537009495481067</v>
      </c>
      <c r="J34" s="70">
        <f t="shared" si="13"/>
        <v>0.16003631561571477</v>
      </c>
      <c r="K34" s="70">
        <f t="shared" si="13"/>
        <v>0.15291779759596744</v>
      </c>
      <c r="L34" s="70">
        <f t="shared" si="13"/>
        <v>0.14811235563441644</v>
      </c>
      <c r="M34" s="70">
        <f t="shared" si="13"/>
        <v>0.16936240770867225</v>
      </c>
    </row>
    <row r="36" spans="1:13" x14ac:dyDescent="0.25">
      <c r="B36" t="s">
        <v>254</v>
      </c>
      <c r="C36">
        <f>IFERROR('Data Sheet'!B93,0)</f>
        <v>216.39</v>
      </c>
      <c r="D36">
        <f>IFERROR('Data Sheet'!C93,0)</f>
        <v>216.43</v>
      </c>
      <c r="E36">
        <f>IFERROR('Data Sheet'!D93,0)</f>
        <v>216.45</v>
      </c>
      <c r="F36">
        <f>IFERROR('Data Sheet'!E93,0)</f>
        <v>216.47</v>
      </c>
      <c r="G36">
        <f>IFERROR('Data Sheet'!F93,0)</f>
        <v>216.48</v>
      </c>
      <c r="H36">
        <f>IFERROR('Data Sheet'!G93,0)</f>
        <v>234.96</v>
      </c>
      <c r="I36">
        <f>IFERROR('Data Sheet'!H93,0)</f>
        <v>234.96</v>
      </c>
      <c r="J36">
        <f>IFERROR('Data Sheet'!I93,0)</f>
        <v>234.96</v>
      </c>
      <c r="K36">
        <f>IFERROR('Data Sheet'!J93,0)</f>
        <v>234.96</v>
      </c>
      <c r="L36">
        <f>IFERROR('Data Sheet'!K93,0)</f>
        <v>234.96</v>
      </c>
      <c r="M36">
        <f>IFERROR('Data Sheet'!L93,0)</f>
        <v>0</v>
      </c>
    </row>
    <row r="38" spans="1:13" x14ac:dyDescent="0.25">
      <c r="B38" t="s">
        <v>286</v>
      </c>
      <c r="C38" s="76">
        <f>IFERROR(C33/C36,0)</f>
        <v>16.937011876704101</v>
      </c>
      <c r="D38" s="76">
        <f t="shared" ref="D38:M38" si="14">IFERROR(D33/D36,0)</f>
        <v>17.945756133622879</v>
      </c>
      <c r="E38" s="76">
        <f t="shared" si="14"/>
        <v>22.51790251790252</v>
      </c>
      <c r="F38" s="76">
        <f t="shared" si="14"/>
        <v>26.507137247655564</v>
      </c>
      <c r="G38" s="76">
        <f t="shared" si="14"/>
        <v>29.249815225424982</v>
      </c>
      <c r="H38" s="76">
        <f t="shared" si="14"/>
        <v>33.320565202587673</v>
      </c>
      <c r="I38" s="76">
        <f t="shared" si="14"/>
        <v>36.912665985699689</v>
      </c>
      <c r="J38" s="76">
        <f t="shared" si="14"/>
        <v>41.262342526387471</v>
      </c>
      <c r="K38" s="76">
        <f t="shared" si="14"/>
        <v>40.283452502553622</v>
      </c>
      <c r="L38" s="76">
        <f t="shared" si="14"/>
        <v>39.789751447054819</v>
      </c>
      <c r="M38" s="76">
        <f t="shared" si="14"/>
        <v>0</v>
      </c>
    </row>
    <row r="39" spans="1:13" x14ac:dyDescent="0.25">
      <c r="B39" s="70" t="s">
        <v>287</v>
      </c>
      <c r="C39" s="71" t="s">
        <v>270</v>
      </c>
      <c r="D39" s="70">
        <f>IFERROR(D38/C38-1,0)</f>
        <v>5.9558572920778818E-2</v>
      </c>
      <c r="E39" s="70">
        <f t="shared" ref="E39:L39" si="15">IFERROR(E38/D38-1,0)</f>
        <v>0.25477591193348159</v>
      </c>
      <c r="F39" s="70">
        <f t="shared" si="15"/>
        <v>0.17715836217789205</v>
      </c>
      <c r="G39" s="70">
        <f t="shared" si="15"/>
        <v>0.10346941475213423</v>
      </c>
      <c r="H39" s="70">
        <f t="shared" si="15"/>
        <v>0.1391718185496178</v>
      </c>
      <c r="I39" s="70">
        <f t="shared" si="15"/>
        <v>0.10780431728190054</v>
      </c>
      <c r="J39" s="70">
        <f t="shared" si="15"/>
        <v>0.11783696529459253</v>
      </c>
      <c r="K39" s="70">
        <f t="shared" si="15"/>
        <v>-2.3723568849922771E-2</v>
      </c>
      <c r="L39" s="70">
        <f t="shared" si="15"/>
        <v>-1.2255678816692983E-2</v>
      </c>
      <c r="M39" s="71" t="s">
        <v>270</v>
      </c>
    </row>
    <row r="41" spans="1:13" x14ac:dyDescent="0.25">
      <c r="B41" t="s">
        <v>288</v>
      </c>
      <c r="C41" s="76">
        <f>IFERROR('Data Sheet'!B31/'Historical FS'!C36,0)</f>
        <v>15.971163177596008</v>
      </c>
      <c r="D41" s="76">
        <f>IFERROR('Data Sheet'!C31/'Historical FS'!D36,0)</f>
        <v>16.966224645381878</v>
      </c>
      <c r="E41" s="76">
        <f>IFERROR('Data Sheet'!D31/'Historical FS'!E36,0)</f>
        <v>19.95841995841996</v>
      </c>
      <c r="F41" s="76">
        <f>IFERROR('Data Sheet'!E31/'Historical FS'!F36,0)</f>
        <v>21.95223356585208</v>
      </c>
      <c r="G41" s="76">
        <f>IFERROR('Data Sheet'!F31/'Historical FS'!G36,0)</f>
        <v>24.944567627494457</v>
      </c>
      <c r="H41" s="76">
        <f>IFERROR('Data Sheet'!G31/'Historical FS'!H36,0)</f>
        <v>40.506894790602651</v>
      </c>
      <c r="I41" s="76">
        <f>IFERROR('Data Sheet'!H31/'Historical FS'!I36,0)</f>
        <v>34.005788219271366</v>
      </c>
      <c r="J41" s="76">
        <f>IFERROR('Data Sheet'!I31/'Historical FS'!J36,0)</f>
        <v>39.006639427987743</v>
      </c>
      <c r="K41" s="76">
        <f>IFERROR('Data Sheet'!J31/'Historical FS'!K36,0)</f>
        <v>42.007150153217566</v>
      </c>
      <c r="L41" s="76">
        <f>IFERROR('Data Sheet'!K31/'Historical FS'!L36,0)</f>
        <v>53.009022812393596</v>
      </c>
      <c r="M41" s="76">
        <f>IFERROR('Data Sheet'!L31/'Historical FS'!M36,0)</f>
        <v>0</v>
      </c>
    </row>
    <row r="42" spans="1:13" x14ac:dyDescent="0.25">
      <c r="B42" s="70" t="s">
        <v>289</v>
      </c>
      <c r="C42" s="70">
        <f>IFERROR(C41/C38,0)</f>
        <v>0.94297407912687581</v>
      </c>
      <c r="D42" s="70">
        <f t="shared" ref="D42:M42" si="16">IFERROR(D41/D38,0)</f>
        <v>0.94541709577754895</v>
      </c>
      <c r="E42" s="70">
        <f t="shared" si="16"/>
        <v>0.88633565859663521</v>
      </c>
      <c r="F42" s="70">
        <f t="shared" si="16"/>
        <v>0.82816312303938655</v>
      </c>
      <c r="G42" s="70">
        <f t="shared" si="16"/>
        <v>0.85281111813013266</v>
      </c>
      <c r="H42" s="70">
        <f t="shared" si="16"/>
        <v>1.2156724996806743</v>
      </c>
      <c r="I42" s="70">
        <f t="shared" si="16"/>
        <v>0.92124985587455333</v>
      </c>
      <c r="J42" s="70">
        <f t="shared" si="16"/>
        <v>0.94533264569365649</v>
      </c>
      <c r="K42" s="70">
        <f t="shared" si="16"/>
        <v>1.0427892234548337</v>
      </c>
      <c r="L42" s="70">
        <f t="shared" si="16"/>
        <v>1.3322280457802973</v>
      </c>
      <c r="M42" s="70">
        <f t="shared" si="16"/>
        <v>0</v>
      </c>
    </row>
    <row r="44" spans="1:13" x14ac:dyDescent="0.25">
      <c r="B44" t="s">
        <v>290</v>
      </c>
      <c r="C44" s="72">
        <f>IFERROR(IF(C38&gt;C41,1-C42,0),0)</f>
        <v>5.7025920873124192E-2</v>
      </c>
      <c r="D44" s="72">
        <f t="shared" ref="D44:M44" si="17">IFERROR(IF(D38&gt;D41,1-D42,0),0)</f>
        <v>5.4582904222451045E-2</v>
      </c>
      <c r="E44" s="72">
        <f t="shared" si="17"/>
        <v>0.11366434140336479</v>
      </c>
      <c r="F44" s="72">
        <f t="shared" si="17"/>
        <v>0.17183687696061345</v>
      </c>
      <c r="G44" s="72">
        <f t="shared" si="17"/>
        <v>0.14718888186986734</v>
      </c>
      <c r="H44" s="72">
        <f t="shared" si="17"/>
        <v>0</v>
      </c>
      <c r="I44" s="72">
        <f t="shared" si="17"/>
        <v>7.8750144125446675E-2</v>
      </c>
      <c r="J44" s="72">
        <f t="shared" si="17"/>
        <v>5.4667354306343507E-2</v>
      </c>
      <c r="K44" s="72">
        <f t="shared" si="17"/>
        <v>0</v>
      </c>
      <c r="L44" s="72">
        <f t="shared" si="17"/>
        <v>0</v>
      </c>
      <c r="M44" s="72">
        <f t="shared" si="17"/>
        <v>0</v>
      </c>
    </row>
    <row r="46" spans="1:13" x14ac:dyDescent="0.25">
      <c r="A46" s="87" t="s">
        <v>267</v>
      </c>
      <c r="B46" s="88" t="s">
        <v>291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</row>
    <row r="47" spans="1:13" x14ac:dyDescent="0.25">
      <c r="B47" t="str">
        <f>IFERROR('[1]Data Sheet'!A57,0)</f>
        <v>Equity Share Capital</v>
      </c>
      <c r="C47" s="76">
        <f>IFERROR('Data Sheet'!B57,0)</f>
        <v>216</v>
      </c>
      <c r="D47" s="76">
        <f>IFERROR('Data Sheet'!C57,0)</f>
        <v>216</v>
      </c>
      <c r="E47" s="76">
        <f>IFERROR('Data Sheet'!D57,0)</f>
        <v>216</v>
      </c>
      <c r="F47" s="76">
        <f>IFERROR('Data Sheet'!E57,0)</f>
        <v>216</v>
      </c>
      <c r="G47" s="76">
        <f>IFERROR('Data Sheet'!F57,0)</f>
        <v>216</v>
      </c>
      <c r="H47" s="76">
        <f>IFERROR('Data Sheet'!G57,0)</f>
        <v>235</v>
      </c>
      <c r="I47" s="76">
        <f>IFERROR('Data Sheet'!H57,0)</f>
        <v>235</v>
      </c>
      <c r="J47" s="76">
        <f>IFERROR('Data Sheet'!I57,0)</f>
        <v>235</v>
      </c>
      <c r="K47" s="76">
        <f>IFERROR('Data Sheet'!J57,0)</f>
        <v>235</v>
      </c>
      <c r="L47" s="76">
        <f>IFERROR('Data Sheet'!K57,0)</f>
        <v>235</v>
      </c>
    </row>
    <row r="48" spans="1:13" x14ac:dyDescent="0.25">
      <c r="B48" t="str">
        <f>IFERROR('[1]Data Sheet'!A58,0)</f>
        <v>Reserves</v>
      </c>
      <c r="C48" s="76">
        <f>IFERROR('Data Sheet'!B58,0)</f>
        <v>6357</v>
      </c>
      <c r="D48" s="76">
        <f>IFERROR('Data Sheet'!C58,0)</f>
        <v>6528</v>
      </c>
      <c r="E48" s="76">
        <f>IFERROR('Data Sheet'!D58,0)</f>
        <v>7065</v>
      </c>
      <c r="F48" s="76">
        <f>IFERROR('Data Sheet'!E58,0)</f>
        <v>7651</v>
      </c>
      <c r="G48" s="76">
        <f>IFERROR('Data Sheet'!F58,0)</f>
        <v>8013</v>
      </c>
      <c r="H48" s="76">
        <f>IFERROR('Data Sheet'!G58,0)</f>
        <v>47439</v>
      </c>
      <c r="I48" s="76">
        <f>IFERROR('Data Sheet'!H58,0)</f>
        <v>48826</v>
      </c>
      <c r="J48" s="76">
        <f>IFERROR('Data Sheet'!I58,0)</f>
        <v>50069</v>
      </c>
      <c r="K48" s="76">
        <f>IFERROR('Data Sheet'!J58,0)</f>
        <v>50983</v>
      </c>
      <c r="L48" s="76">
        <f>IFERROR('Data Sheet'!K58,0)</f>
        <v>49167</v>
      </c>
    </row>
    <row r="49" spans="2:12" x14ac:dyDescent="0.25">
      <c r="B49" t="str">
        <f>IFERROR('[1]Data Sheet'!A59,0)</f>
        <v>Borrowings</v>
      </c>
      <c r="C49" s="76">
        <f>IFERROR('Data Sheet'!B59,0)</f>
        <v>177</v>
      </c>
      <c r="D49" s="76">
        <f>IFERROR('Data Sheet'!C59,0)</f>
        <v>277</v>
      </c>
      <c r="E49" s="76">
        <f>IFERROR('Data Sheet'!D59,0)</f>
        <v>0</v>
      </c>
      <c r="F49" s="76">
        <f>IFERROR('Data Sheet'!E59,0)</f>
        <v>99</v>
      </c>
      <c r="G49" s="76">
        <f>IFERROR('Data Sheet'!F59,0)</f>
        <v>0</v>
      </c>
      <c r="H49" s="76">
        <f>IFERROR('Data Sheet'!G59,0)</f>
        <v>0</v>
      </c>
      <c r="I49" s="76">
        <f>IFERROR('Data Sheet'!H59,0)</f>
        <v>1043</v>
      </c>
      <c r="J49" s="76">
        <f>IFERROR('Data Sheet'!I59,0)</f>
        <v>1219</v>
      </c>
      <c r="K49" s="76">
        <f>IFERROR('Data Sheet'!J59,0)</f>
        <v>1484</v>
      </c>
      <c r="L49" s="76">
        <f>IFERROR('Data Sheet'!K59,0)</f>
        <v>1648</v>
      </c>
    </row>
    <row r="50" spans="2:12" x14ac:dyDescent="0.25">
      <c r="B50" t="str">
        <f>IFERROR('[1]Data Sheet'!A60,0)</f>
        <v>Other Liabilities</v>
      </c>
      <c r="C50" s="76">
        <f>IFERROR('Data Sheet'!B60,0)</f>
        <v>8043</v>
      </c>
      <c r="D50" s="76">
        <f>IFERROR('Data Sheet'!C60,0)</f>
        <v>8685</v>
      </c>
      <c r="E50" s="76">
        <f>IFERROR('Data Sheet'!D60,0)</f>
        <v>10581</v>
      </c>
      <c r="F50" s="76">
        <f>IFERROR('Data Sheet'!E60,0)</f>
        <v>10663</v>
      </c>
      <c r="G50" s="76">
        <f>IFERROR('Data Sheet'!F60,0)</f>
        <v>11924</v>
      </c>
      <c r="H50" s="76">
        <f>IFERROR('Data Sheet'!G60,0)</f>
        <v>21066</v>
      </c>
      <c r="I50" s="76">
        <f>IFERROR('Data Sheet'!H60,0)</f>
        <v>20402</v>
      </c>
      <c r="J50" s="76">
        <f>IFERROR('Data Sheet'!I60,0)</f>
        <v>21554</v>
      </c>
      <c r="K50" s="76">
        <f>IFERROR('Data Sheet'!J60,0)</f>
        <v>25787</v>
      </c>
      <c r="L50" s="76">
        <f>IFERROR('Data Sheet'!K60,0)</f>
        <v>28813</v>
      </c>
    </row>
    <row r="51" spans="2:12" x14ac:dyDescent="0.25">
      <c r="B51" s="82" t="s">
        <v>292</v>
      </c>
      <c r="C51" s="83">
        <f>IFERROR('Data Sheet'!B61,0)</f>
        <v>14793</v>
      </c>
      <c r="D51" s="83">
        <f>IFERROR('Data Sheet'!C61,0)</f>
        <v>15706</v>
      </c>
      <c r="E51" s="83">
        <f>IFERROR('Data Sheet'!D61,0)</f>
        <v>17862</v>
      </c>
      <c r="F51" s="83">
        <f>IFERROR('Data Sheet'!E61,0)</f>
        <v>18629</v>
      </c>
      <c r="G51" s="83">
        <f>IFERROR('Data Sheet'!F61,0)</f>
        <v>20153</v>
      </c>
      <c r="H51" s="83">
        <f>IFERROR('Data Sheet'!G61,0)</f>
        <v>68740</v>
      </c>
      <c r="I51" s="83">
        <f>IFERROR('Data Sheet'!H61,0)</f>
        <v>70506</v>
      </c>
      <c r="J51" s="83">
        <f>IFERROR('Data Sheet'!I61,0)</f>
        <v>73077</v>
      </c>
      <c r="K51" s="83">
        <f>IFERROR('Data Sheet'!J61,0)</f>
        <v>78489</v>
      </c>
      <c r="L51" s="83">
        <f>IFERROR('Data Sheet'!K61,0)</f>
        <v>79863</v>
      </c>
    </row>
    <row r="53" spans="2:12" x14ac:dyDescent="0.25">
      <c r="B53" t="s">
        <v>293</v>
      </c>
      <c r="C53" s="76">
        <f>IFERROR('Data Sheet'!B62,0)</f>
        <v>3258</v>
      </c>
      <c r="D53" s="76">
        <f>IFERROR('Data Sheet'!C62,0)</f>
        <v>4419</v>
      </c>
      <c r="E53" s="76">
        <f>IFERROR('Data Sheet'!D62,0)</f>
        <v>4528</v>
      </c>
      <c r="F53" s="76">
        <f>IFERROR('Data Sheet'!E62,0)</f>
        <v>4715</v>
      </c>
      <c r="G53" s="76">
        <f>IFERROR('Data Sheet'!F62,0)</f>
        <v>5479</v>
      </c>
      <c r="H53" s="76">
        <f>IFERROR('Data Sheet'!G62,0)</f>
        <v>51443</v>
      </c>
      <c r="I53" s="76">
        <f>IFERROR('Data Sheet'!H62,0)</f>
        <v>51473</v>
      </c>
      <c r="J53" s="76">
        <f>IFERROR('Data Sheet'!I62,0)</f>
        <v>52678</v>
      </c>
      <c r="K53" s="76">
        <f>IFERROR('Data Sheet'!J62,0)</f>
        <v>53744</v>
      </c>
      <c r="L53" s="76">
        <f>IFERROR('Data Sheet'!K62,0)</f>
        <v>54335</v>
      </c>
    </row>
    <row r="54" spans="2:12" x14ac:dyDescent="0.25">
      <c r="B54" t="str">
        <f>IFERROR('[1]Data Sheet'!A63,)</f>
        <v>Capital Work in Progress</v>
      </c>
      <c r="C54" s="76">
        <f>IFERROR('Data Sheet'!B63,0)</f>
        <v>408</v>
      </c>
      <c r="D54" s="76">
        <f>IFERROR('Data Sheet'!C63,0)</f>
        <v>229</v>
      </c>
      <c r="E54" s="76">
        <f>IFERROR('Data Sheet'!D63,0)</f>
        <v>461</v>
      </c>
      <c r="F54" s="76">
        <f>IFERROR('Data Sheet'!E63,0)</f>
        <v>406</v>
      </c>
      <c r="G54" s="76">
        <f>IFERROR('Data Sheet'!F63,0)</f>
        <v>597</v>
      </c>
      <c r="H54" s="76">
        <f>IFERROR('Data Sheet'!G63,0)</f>
        <v>745</v>
      </c>
      <c r="I54" s="76">
        <f>IFERROR('Data Sheet'!H63,0)</f>
        <v>1313</v>
      </c>
      <c r="J54" s="76">
        <f>IFERROR('Data Sheet'!I63,0)</f>
        <v>1132</v>
      </c>
      <c r="K54" s="76">
        <f>IFERROR('Data Sheet'!J63,0)</f>
        <v>1025</v>
      </c>
      <c r="L54" s="76">
        <f>IFERROR('Data Sheet'!K63,0)</f>
        <v>1009</v>
      </c>
    </row>
    <row r="55" spans="2:12" x14ac:dyDescent="0.25">
      <c r="B55" t="str">
        <f>IFERROR('[1]Data Sheet'!A64,)</f>
        <v>Investments</v>
      </c>
      <c r="C55" s="76">
        <f>IFERROR('Data Sheet'!B64,0)</f>
        <v>2592</v>
      </c>
      <c r="D55" s="76">
        <f>IFERROR('Data Sheet'!C64,0)</f>
        <v>3794</v>
      </c>
      <c r="E55" s="76">
        <f>IFERROR('Data Sheet'!D64,0)</f>
        <v>2873</v>
      </c>
      <c r="F55" s="76">
        <f>IFERROR('Data Sheet'!E64,0)</f>
        <v>2716</v>
      </c>
      <c r="G55" s="76">
        <f>IFERROR('Data Sheet'!F64,0)</f>
        <v>1255</v>
      </c>
      <c r="H55" s="76">
        <f>IFERROR('Data Sheet'!G64,0)</f>
        <v>2709</v>
      </c>
      <c r="I55" s="76">
        <f>IFERROR('Data Sheet'!H64,0)</f>
        <v>3521</v>
      </c>
      <c r="J55" s="76">
        <f>IFERROR('Data Sheet'!I64,0)</f>
        <v>2882</v>
      </c>
      <c r="K55" s="76">
        <f>IFERROR('Data Sheet'!J64,0)</f>
        <v>4625</v>
      </c>
      <c r="L55" s="76">
        <f>IFERROR('Data Sheet'!K64,0)</f>
        <v>3810</v>
      </c>
    </row>
    <row r="56" spans="2:12" x14ac:dyDescent="0.25">
      <c r="B56" t="str">
        <f>IFERROR('[1]Data Sheet'!A65,)</f>
        <v>Other Assets</v>
      </c>
      <c r="C56" s="76">
        <f>IFERROR('Data Sheet'!B65-SUM('Data Sheet'!B67:B69),0)</f>
        <v>1536</v>
      </c>
      <c r="D56" s="76">
        <f>IFERROR('Data Sheet'!C65-SUM('Data Sheet'!C67:C69),0)</f>
        <v>1810</v>
      </c>
      <c r="E56" s="76">
        <f>IFERROR('Data Sheet'!D65-SUM('Data Sheet'!D67:D69),0)</f>
        <v>2692</v>
      </c>
      <c r="F56" s="76">
        <f>IFERROR('Data Sheet'!E65-SUM('Data Sheet'!E67:E69),0)</f>
        <v>2645</v>
      </c>
      <c r="G56" s="76">
        <f>IFERROR('Data Sheet'!F65-SUM('Data Sheet'!F67:F69),0)</f>
        <v>3793</v>
      </c>
      <c r="H56" s="76">
        <f>IFERROR('Data Sheet'!G65-SUM('Data Sheet'!G67:G69),0)</f>
        <v>4035</v>
      </c>
      <c r="I56" s="76">
        <f>IFERROR('Data Sheet'!H65-SUM('Data Sheet'!H67:H69),0)</f>
        <v>4021</v>
      </c>
      <c r="J56" s="76">
        <f>IFERROR('Data Sheet'!I65-SUM('Data Sheet'!I67:I69),0)</f>
        <v>4377</v>
      </c>
      <c r="K56" s="76">
        <f>IFERROR('Data Sheet'!J65-SUM('Data Sheet'!J67:J69),0)</f>
        <v>4517</v>
      </c>
      <c r="L56" s="76">
        <f>IFERROR('Data Sheet'!K65-SUM('Data Sheet'!K67:K69),0)</f>
        <v>4921</v>
      </c>
    </row>
    <row r="57" spans="2:12" x14ac:dyDescent="0.25">
      <c r="B57" s="82" t="s">
        <v>294</v>
      </c>
      <c r="C57" s="83">
        <f>IFERROR(SUM(C53:C56),0)</f>
        <v>7794</v>
      </c>
      <c r="D57" s="83">
        <f t="shared" ref="D57:L57" si="18">IFERROR(SUM(D53:D56),0)</f>
        <v>10252</v>
      </c>
      <c r="E57" s="83">
        <f t="shared" si="18"/>
        <v>10554</v>
      </c>
      <c r="F57" s="83">
        <f t="shared" si="18"/>
        <v>10482</v>
      </c>
      <c r="G57" s="83">
        <f t="shared" si="18"/>
        <v>11124</v>
      </c>
      <c r="H57" s="83">
        <f t="shared" si="18"/>
        <v>58932</v>
      </c>
      <c r="I57" s="83">
        <f t="shared" si="18"/>
        <v>60328</v>
      </c>
      <c r="J57" s="83">
        <f t="shared" si="18"/>
        <v>61069</v>
      </c>
      <c r="K57" s="83">
        <f t="shared" si="18"/>
        <v>63911</v>
      </c>
      <c r="L57" s="83">
        <f t="shared" si="18"/>
        <v>64075</v>
      </c>
    </row>
    <row r="59" spans="2:12" x14ac:dyDescent="0.25">
      <c r="B59" t="str">
        <f>IFERROR('[1]Data Sheet'!A67,0)</f>
        <v>Receivables</v>
      </c>
      <c r="C59" s="76">
        <f>IFERROR('Data Sheet'!B67,0)</f>
        <v>1264</v>
      </c>
      <c r="D59" s="76">
        <f>IFERROR('Data Sheet'!C67,0)</f>
        <v>1085</v>
      </c>
      <c r="E59" s="76">
        <f>IFERROR('Data Sheet'!D67,0)</f>
        <v>1310</v>
      </c>
      <c r="F59" s="76">
        <f>IFERROR('Data Sheet'!E67,0)</f>
        <v>1816</v>
      </c>
      <c r="G59" s="76">
        <f>IFERROR('Data Sheet'!F67,0)</f>
        <v>1149</v>
      </c>
      <c r="H59" s="76">
        <f>IFERROR('Data Sheet'!G67,0)</f>
        <v>1758</v>
      </c>
      <c r="I59" s="76">
        <f>IFERROR('Data Sheet'!H67,0)</f>
        <v>2236</v>
      </c>
      <c r="J59" s="76">
        <f>IFERROR('Data Sheet'!I67,0)</f>
        <v>3079</v>
      </c>
      <c r="K59" s="76">
        <f>IFERROR('Data Sheet'!J67,0)</f>
        <v>2997</v>
      </c>
      <c r="L59" s="76">
        <f>IFERROR('Data Sheet'!K67,0)</f>
        <v>3819</v>
      </c>
    </row>
    <row r="60" spans="2:12" x14ac:dyDescent="0.25">
      <c r="B60" t="str">
        <f>IFERROR('[1]Data Sheet'!A68,0)</f>
        <v>Inventory</v>
      </c>
      <c r="C60" s="76">
        <f>IFERROR('Data Sheet'!B68,0)</f>
        <v>2726</v>
      </c>
      <c r="D60" s="76">
        <f>IFERROR('Data Sheet'!C68,0)</f>
        <v>2541</v>
      </c>
      <c r="E60" s="76">
        <f>IFERROR('Data Sheet'!D68,0)</f>
        <v>2513</v>
      </c>
      <c r="F60" s="76">
        <f>IFERROR('Data Sheet'!E68,0)</f>
        <v>2574</v>
      </c>
      <c r="G60" s="76">
        <f>IFERROR('Data Sheet'!F68,0)</f>
        <v>2767</v>
      </c>
      <c r="H60" s="76">
        <f>IFERROR('Data Sheet'!G68,0)</f>
        <v>3579</v>
      </c>
      <c r="I60" s="76">
        <f>IFERROR('Data Sheet'!H68,0)</f>
        <v>4096</v>
      </c>
      <c r="J60" s="76">
        <f>IFERROR('Data Sheet'!I68,0)</f>
        <v>4251</v>
      </c>
      <c r="K60" s="76">
        <f>IFERROR('Data Sheet'!J68,0)</f>
        <v>4022</v>
      </c>
      <c r="L60" s="76">
        <f>IFERROR('Data Sheet'!K68,0)</f>
        <v>4415</v>
      </c>
    </row>
    <row r="61" spans="2:12" x14ac:dyDescent="0.25">
      <c r="B61" t="str">
        <f>IFERROR('[1]Data Sheet'!A69,0)</f>
        <v>Cash &amp; Bank</v>
      </c>
      <c r="C61" s="76">
        <f>IFERROR('Data Sheet'!B69,0)</f>
        <v>3009</v>
      </c>
      <c r="D61" s="76">
        <f>IFERROR('Data Sheet'!C69,0)</f>
        <v>1828</v>
      </c>
      <c r="E61" s="76">
        <f>IFERROR('Data Sheet'!D69,0)</f>
        <v>3485</v>
      </c>
      <c r="F61" s="76">
        <f>IFERROR('Data Sheet'!E69,0)</f>
        <v>3757</v>
      </c>
      <c r="G61" s="76">
        <f>IFERROR('Data Sheet'!F69,0)</f>
        <v>5113</v>
      </c>
      <c r="H61" s="76">
        <f>IFERROR('Data Sheet'!G69,0)</f>
        <v>4471</v>
      </c>
      <c r="I61" s="76">
        <f>IFERROR('Data Sheet'!H69,0)</f>
        <v>3846</v>
      </c>
      <c r="J61" s="76">
        <f>IFERROR('Data Sheet'!I69,0)</f>
        <v>4678</v>
      </c>
      <c r="K61" s="76">
        <f>IFERROR('Data Sheet'!J69,0)</f>
        <v>7559</v>
      </c>
      <c r="L61" s="76">
        <f>IFERROR('Data Sheet'!K69,0)</f>
        <v>7554</v>
      </c>
    </row>
    <row r="62" spans="2:12" x14ac:dyDescent="0.25">
      <c r="B62" s="82" t="s">
        <v>295</v>
      </c>
      <c r="C62" s="83">
        <f>IFERROR(SUM(C59:C61),0)</f>
        <v>6999</v>
      </c>
      <c r="D62" s="83">
        <f t="shared" ref="D62:L62" si="19">IFERROR(SUM(D59:D61),0)</f>
        <v>5454</v>
      </c>
      <c r="E62" s="83">
        <f t="shared" si="19"/>
        <v>7308</v>
      </c>
      <c r="F62" s="83">
        <f t="shared" si="19"/>
        <v>8147</v>
      </c>
      <c r="G62" s="83">
        <f t="shared" si="19"/>
        <v>9029</v>
      </c>
      <c r="H62" s="83">
        <f t="shared" si="19"/>
        <v>9808</v>
      </c>
      <c r="I62" s="83">
        <f t="shared" si="19"/>
        <v>10178</v>
      </c>
      <c r="J62" s="83">
        <f t="shared" si="19"/>
        <v>12008</v>
      </c>
      <c r="K62" s="83">
        <f t="shared" si="19"/>
        <v>14578</v>
      </c>
      <c r="L62" s="83">
        <f t="shared" si="19"/>
        <v>15788</v>
      </c>
    </row>
    <row r="64" spans="2:12" x14ac:dyDescent="0.25">
      <c r="B64" s="82" t="s">
        <v>296</v>
      </c>
      <c r="C64" s="83">
        <f>IFERROR(SUM(C57,C62),0)</f>
        <v>14793</v>
      </c>
      <c r="D64" s="83">
        <f t="shared" ref="D64:L64" si="20">IFERROR(SUM(D57,D62),0)</f>
        <v>15706</v>
      </c>
      <c r="E64" s="83">
        <f t="shared" si="20"/>
        <v>17862</v>
      </c>
      <c r="F64" s="83">
        <f t="shared" si="20"/>
        <v>18629</v>
      </c>
      <c r="G64" s="83">
        <f t="shared" si="20"/>
        <v>20153</v>
      </c>
      <c r="H64" s="83">
        <f t="shared" si="20"/>
        <v>68740</v>
      </c>
      <c r="I64" s="83">
        <f t="shared" si="20"/>
        <v>70506</v>
      </c>
      <c r="J64" s="83">
        <f t="shared" si="20"/>
        <v>73077</v>
      </c>
      <c r="K64" s="83">
        <f t="shared" si="20"/>
        <v>78489</v>
      </c>
      <c r="L64" s="83">
        <f t="shared" si="20"/>
        <v>79863</v>
      </c>
    </row>
    <row r="66" spans="1:13" x14ac:dyDescent="0.25">
      <c r="B66" s="70" t="s">
        <v>297</v>
      </c>
      <c r="C66" s="70" t="b">
        <f>C64=C51</f>
        <v>1</v>
      </c>
      <c r="D66" s="70" t="b">
        <f t="shared" ref="D66:L66" si="21">D64=D51</f>
        <v>1</v>
      </c>
      <c r="E66" s="70" t="b">
        <f t="shared" si="21"/>
        <v>1</v>
      </c>
      <c r="F66" s="70" t="b">
        <f t="shared" si="21"/>
        <v>1</v>
      </c>
      <c r="G66" s="70" t="b">
        <f t="shared" si="21"/>
        <v>1</v>
      </c>
      <c r="H66" s="70" t="b">
        <f t="shared" si="21"/>
        <v>1</v>
      </c>
      <c r="I66" s="70" t="b">
        <f t="shared" si="21"/>
        <v>1</v>
      </c>
      <c r="J66" s="70" t="b">
        <f t="shared" si="21"/>
        <v>1</v>
      </c>
      <c r="K66" s="70" t="b">
        <f t="shared" si="21"/>
        <v>1</v>
      </c>
      <c r="L66" s="70" t="b">
        <f t="shared" si="21"/>
        <v>1</v>
      </c>
      <c r="M66" s="70"/>
    </row>
    <row r="68" spans="1:13" x14ac:dyDescent="0.25">
      <c r="A68" s="87" t="s">
        <v>267</v>
      </c>
      <c r="B68" s="88" t="s">
        <v>298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</row>
    <row r="70" spans="1:13" x14ac:dyDescent="0.25">
      <c r="B70" t="str">
        <f>IFERROR('[1]Data Sheet'!A82,0)</f>
        <v>Cash from Operating Activity</v>
      </c>
      <c r="C70" s="76">
        <f>IFERROR('Data Sheet'!B82,0)</f>
        <v>4171</v>
      </c>
      <c r="D70" s="76">
        <f>IFERROR('Data Sheet'!C82,0)</f>
        <v>5185</v>
      </c>
      <c r="E70" s="76">
        <f>IFERROR('Data Sheet'!D82,0)</f>
        <v>6059</v>
      </c>
      <c r="F70" s="76">
        <f>IFERROR('Data Sheet'!E82,0)</f>
        <v>5800</v>
      </c>
      <c r="G70" s="76">
        <f>IFERROR('Data Sheet'!F82,0)</f>
        <v>7623</v>
      </c>
      <c r="H70" s="76">
        <f>IFERROR('Data Sheet'!G82,0)</f>
        <v>9163</v>
      </c>
      <c r="I70" s="76">
        <f>IFERROR('Data Sheet'!H82,0)</f>
        <v>9048</v>
      </c>
      <c r="J70" s="76">
        <f>IFERROR('Data Sheet'!I82,0)</f>
        <v>9991</v>
      </c>
      <c r="K70" s="76">
        <f>IFERROR('Data Sheet'!J82,0)</f>
        <v>15469</v>
      </c>
      <c r="L70" s="76">
        <f>IFERROR('Data Sheet'!K82,0)</f>
        <v>11886</v>
      </c>
    </row>
    <row r="71" spans="1:13" x14ac:dyDescent="0.25">
      <c r="C71" s="76"/>
      <c r="D71" s="76"/>
      <c r="E71" s="76"/>
      <c r="F71" s="76"/>
      <c r="G71" s="76"/>
      <c r="H71" s="76"/>
      <c r="I71" s="76"/>
      <c r="J71" s="76"/>
      <c r="K71" s="76"/>
      <c r="L71" s="76"/>
    </row>
    <row r="72" spans="1:13" x14ac:dyDescent="0.25">
      <c r="B72" t="str">
        <f>IFERROR('[1]Data Sheet'!A83,0)</f>
        <v>Cash from Investing Activity</v>
      </c>
      <c r="C72" s="76">
        <f>IFERROR('Data Sheet'!B83,0)</f>
        <v>-282</v>
      </c>
      <c r="D72" s="76">
        <f>IFERROR('Data Sheet'!C83,0)</f>
        <v>-1173</v>
      </c>
      <c r="E72" s="76">
        <f>IFERROR('Data Sheet'!D83,0)</f>
        <v>-1063</v>
      </c>
      <c r="F72" s="76">
        <f>IFERROR('Data Sheet'!E83,0)</f>
        <v>-438</v>
      </c>
      <c r="G72" s="76">
        <f>IFERROR('Data Sheet'!F83,0)</f>
        <v>1791</v>
      </c>
      <c r="H72" s="76">
        <f>IFERROR('Data Sheet'!G83,0)</f>
        <v>-1228</v>
      </c>
      <c r="I72" s="76">
        <f>IFERROR('Data Sheet'!H83,0)</f>
        <v>-1728</v>
      </c>
      <c r="J72" s="76">
        <f>IFERROR('Data Sheet'!I83,0)</f>
        <v>-1484</v>
      </c>
      <c r="K72" s="76">
        <f>IFERROR('Data Sheet'!J83,0)</f>
        <v>-5324</v>
      </c>
      <c r="L72" s="76">
        <f>IFERROR('Data Sheet'!K83,0)</f>
        <v>6473</v>
      </c>
    </row>
    <row r="73" spans="1:13" x14ac:dyDescent="0.25">
      <c r="C73" s="76"/>
      <c r="D73" s="76"/>
      <c r="E73" s="76"/>
      <c r="F73" s="76"/>
      <c r="G73" s="76"/>
      <c r="H73" s="76"/>
      <c r="I73" s="76"/>
      <c r="J73" s="76"/>
      <c r="K73" s="76"/>
      <c r="L73" s="76"/>
    </row>
    <row r="74" spans="1:13" x14ac:dyDescent="0.25">
      <c r="B74" t="str">
        <f>IFERROR('[1]Data Sheet'!A84,0)</f>
        <v>Cash from Financing Activity</v>
      </c>
      <c r="C74" s="76">
        <f>IFERROR('Data Sheet'!B84,0)</f>
        <v>-3864</v>
      </c>
      <c r="D74" s="76">
        <f>IFERROR('Data Sheet'!C84,0)</f>
        <v>-4214</v>
      </c>
      <c r="E74" s="76">
        <f>IFERROR('Data Sheet'!D84,0)</f>
        <v>-4975</v>
      </c>
      <c r="F74" s="76">
        <f>IFERROR('Data Sheet'!E84,0)</f>
        <v>-5390</v>
      </c>
      <c r="G74" s="76">
        <f>IFERROR('Data Sheet'!F84,0)</f>
        <v>-6819</v>
      </c>
      <c r="H74" s="76">
        <f>IFERROR('Data Sheet'!G84,0)</f>
        <v>-9309</v>
      </c>
      <c r="I74" s="76">
        <f>IFERROR('Data Sheet'!H84,0)</f>
        <v>-8015</v>
      </c>
      <c r="J74" s="76">
        <f>IFERROR('Data Sheet'!I84,0)</f>
        <v>-8953</v>
      </c>
      <c r="K74" s="76">
        <f>IFERROR('Data Sheet'!J84,0)</f>
        <v>-10034</v>
      </c>
      <c r="L74" s="76">
        <f>IFERROR('Data Sheet'!K84,0)</f>
        <v>-13101</v>
      </c>
    </row>
    <row r="76" spans="1:13" x14ac:dyDescent="0.25">
      <c r="B76" s="79" t="s">
        <v>261</v>
      </c>
      <c r="C76" s="80">
        <f>IFERROR(SUM(C70,C72,C74),0)</f>
        <v>25</v>
      </c>
      <c r="D76" s="80">
        <f t="shared" ref="D76:L76" si="22">IFERROR(SUM(D70,D72,D74),0)</f>
        <v>-202</v>
      </c>
      <c r="E76" s="80">
        <f t="shared" si="22"/>
        <v>21</v>
      </c>
      <c r="F76" s="80">
        <f t="shared" si="22"/>
        <v>-28</v>
      </c>
      <c r="G76" s="80">
        <f t="shared" si="22"/>
        <v>2595</v>
      </c>
      <c r="H76" s="80">
        <f t="shared" si="22"/>
        <v>-1374</v>
      </c>
      <c r="I76" s="80">
        <f t="shared" si="22"/>
        <v>-695</v>
      </c>
      <c r="J76" s="80">
        <f t="shared" si="22"/>
        <v>-446</v>
      </c>
      <c r="K76" s="80">
        <f t="shared" si="22"/>
        <v>111</v>
      </c>
      <c r="L76" s="80">
        <f t="shared" si="22"/>
        <v>5258</v>
      </c>
    </row>
  </sheetData>
  <mergeCells count="1">
    <mergeCell ref="B2:M2"/>
  </mergeCells>
  <pageMargins left="0.7" right="0.7" top="0.75" bottom="0.75" header="0.3" footer="0.3"/>
  <ignoredErrors>
    <ignoredError sqref="M6 M9 C15:L15 M24 M21 M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DCF&gt;</vt:lpstr>
      <vt:lpstr>WACC</vt:lpstr>
      <vt:lpstr>DATA&gt;</vt:lpstr>
      <vt:lpstr>Beta Regression</vt:lpstr>
      <vt:lpstr>Beta Comps</vt:lpstr>
      <vt:lpstr>Rm</vt:lpstr>
      <vt:lpstr>Insintric Growth</vt:lpstr>
      <vt:lpstr>DCF</vt:lpstr>
      <vt:lpstr>Historical FS</vt:lpstr>
      <vt:lpstr>Data Room&gt;</vt:lpstr>
      <vt:lpstr>Data Sheet</vt:lpstr>
      <vt:lpstr>Raw FS</vt:lpstr>
      <vt:lpstr>NOTES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Divit Lamba</dc:creator>
  <cp:lastModifiedBy>Divit Lamba</cp:lastModifiedBy>
  <cp:lastPrinted>2025-09-06T14:25:34Z</cp:lastPrinted>
  <dcterms:created xsi:type="dcterms:W3CDTF">2025-09-01T15:00:26Z</dcterms:created>
  <dcterms:modified xsi:type="dcterms:W3CDTF">2025-09-06T15:18:46Z</dcterms:modified>
</cp:coreProperties>
</file>