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eenerway-my.sharepoint.com/personal/divya_verma_greenerway_no/Documents/Desktop/"/>
    </mc:Choice>
  </mc:AlternateContent>
  <xr:revisionPtr revIDLastSave="24" documentId="8_{B41D80CA-7BB0-457F-934E-31784810C048}" xr6:coauthVersionLast="47" xr6:coauthVersionMax="47" xr10:uidLastSave="{1B140A46-51D5-4DFC-945A-8C470BF04C51}"/>
  <bookViews>
    <workbookView xWindow="-110" yWindow="-110" windowWidth="19420" windowHeight="10300" firstSheet="2" activeTab="2" xr2:uid="{4EF2790C-3B23-4E25-A1D7-37F6BAA99AE5}"/>
  </bookViews>
  <sheets>
    <sheet name="Oppsummering Alnabru" sheetId="2" r:id="rId1"/>
    <sheet name="Månedlig kontantstrøm" sheetId="4" r:id="rId2"/>
    <sheet name="Peak Shave" sheetId="1" r:id="rId3"/>
    <sheet name="Markedsdeltakelse - Plan 1" sheetId="3" r:id="rId4"/>
    <sheet name="Markedsdeltakelse - Plan 2" sheetId="6" r:id="rId5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" l="1"/>
  <c r="E35" i="1"/>
  <c r="E33" i="1"/>
  <c r="F14" i="1"/>
  <c r="E4" i="2" l="1"/>
  <c r="E9" i="2"/>
  <c r="E8" i="2"/>
  <c r="E7" i="2"/>
  <c r="P8" i="4" l="1"/>
  <c r="L30" i="3"/>
  <c r="J30" i="3"/>
  <c r="O26" i="6"/>
  <c r="N26" i="6"/>
  <c r="M26" i="6"/>
  <c r="L26" i="6"/>
  <c r="K26" i="6"/>
  <c r="J26" i="6"/>
  <c r="I26" i="6"/>
  <c r="H26" i="6"/>
  <c r="G26" i="6"/>
  <c r="F26" i="6"/>
  <c r="E26" i="6"/>
  <c r="D26" i="6"/>
  <c r="O23" i="6"/>
  <c r="O31" i="6" s="1"/>
  <c r="O11" i="4" s="1"/>
  <c r="N23" i="6"/>
  <c r="N31" i="6" s="1"/>
  <c r="N11" i="4" s="1"/>
  <c r="M23" i="6"/>
  <c r="M31" i="6" s="1"/>
  <c r="M11" i="4" s="1"/>
  <c r="L23" i="6"/>
  <c r="L31" i="6" s="1"/>
  <c r="L11" i="4" s="1"/>
  <c r="K23" i="6"/>
  <c r="K31" i="6" s="1"/>
  <c r="K11" i="4" s="1"/>
  <c r="J23" i="6"/>
  <c r="J31" i="6" s="1"/>
  <c r="J11" i="4" s="1"/>
  <c r="I23" i="6"/>
  <c r="I31" i="6" s="1"/>
  <c r="I11" i="4" s="1"/>
  <c r="H23" i="6"/>
  <c r="H31" i="6" s="1"/>
  <c r="H11" i="4" s="1"/>
  <c r="G23" i="6"/>
  <c r="G31" i="6" s="1"/>
  <c r="G11" i="4" s="1"/>
  <c r="F23" i="6"/>
  <c r="F31" i="6" s="1"/>
  <c r="F11" i="4" s="1"/>
  <c r="E23" i="6"/>
  <c r="E31" i="6" s="1"/>
  <c r="E11" i="4" s="1"/>
  <c r="D23" i="6"/>
  <c r="D31" i="6" s="1"/>
  <c r="O22" i="6"/>
  <c r="N22" i="6"/>
  <c r="M22" i="6"/>
  <c r="L22" i="6"/>
  <c r="K22" i="6"/>
  <c r="J22" i="6"/>
  <c r="I22" i="6"/>
  <c r="H22" i="6"/>
  <c r="G22" i="6"/>
  <c r="F22" i="6"/>
  <c r="E22" i="6"/>
  <c r="D22" i="6"/>
  <c r="F14" i="6"/>
  <c r="G14" i="6" s="1"/>
  <c r="H14" i="6" s="1"/>
  <c r="M14" i="6" s="1"/>
  <c r="N14" i="6" s="1"/>
  <c r="O14" i="6" s="1"/>
  <c r="E14" i="6"/>
  <c r="E10" i="6"/>
  <c r="F10" i="6" s="1"/>
  <c r="D6" i="6"/>
  <c r="D4" i="6"/>
  <c r="D5" i="6" s="1"/>
  <c r="P3" i="6"/>
  <c r="P3" i="3"/>
  <c r="E10" i="3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E14" i="3"/>
  <c r="F14" i="3" s="1"/>
  <c r="G14" i="3" s="1"/>
  <c r="H14" i="3" s="1"/>
  <c r="I14" i="3" s="1"/>
  <c r="J14" i="3" s="1"/>
  <c r="K14" i="3" s="1"/>
  <c r="L14" i="3" s="1"/>
  <c r="M14" i="3" s="1"/>
  <c r="N14" i="3" s="1"/>
  <c r="O14" i="3" s="1"/>
  <c r="L26" i="3"/>
  <c r="K26" i="3"/>
  <c r="J26" i="3"/>
  <c r="I26" i="3"/>
  <c r="H26" i="3"/>
  <c r="G26" i="3"/>
  <c r="O26" i="3"/>
  <c r="N26" i="3"/>
  <c r="M26" i="3"/>
  <c r="F26" i="3"/>
  <c r="E26" i="3"/>
  <c r="D26" i="3"/>
  <c r="O22" i="3"/>
  <c r="O30" i="3" s="1"/>
  <c r="N22" i="3"/>
  <c r="N30" i="3" s="1"/>
  <c r="N32" i="3" s="1"/>
  <c r="M22" i="3"/>
  <c r="M30" i="3" s="1"/>
  <c r="L22" i="3"/>
  <c r="K22" i="3"/>
  <c r="K30" i="3" s="1"/>
  <c r="K32" i="3" s="1"/>
  <c r="J22" i="3"/>
  <c r="I22" i="3"/>
  <c r="I30" i="3" s="1"/>
  <c r="H22" i="3"/>
  <c r="H30" i="3" s="1"/>
  <c r="H32" i="3" s="1"/>
  <c r="G22" i="3"/>
  <c r="G30" i="3" s="1"/>
  <c r="G32" i="3" s="1"/>
  <c r="F22" i="3"/>
  <c r="F30" i="3" s="1"/>
  <c r="E22" i="3"/>
  <c r="E30" i="3" s="1"/>
  <c r="D22" i="3"/>
  <c r="D30" i="3" s="1"/>
  <c r="O23" i="3"/>
  <c r="O31" i="3" s="1"/>
  <c r="N23" i="3"/>
  <c r="N31" i="3" s="1"/>
  <c r="M23" i="3"/>
  <c r="M31" i="3" s="1"/>
  <c r="L23" i="3"/>
  <c r="L31" i="3" s="1"/>
  <c r="K23" i="3"/>
  <c r="K31" i="3" s="1"/>
  <c r="J23" i="3"/>
  <c r="J31" i="3" s="1"/>
  <c r="I23" i="3"/>
  <c r="I31" i="3" s="1"/>
  <c r="H23" i="3"/>
  <c r="H31" i="3" s="1"/>
  <c r="G23" i="3"/>
  <c r="G31" i="3" s="1"/>
  <c r="F23" i="3"/>
  <c r="F31" i="3" s="1"/>
  <c r="E23" i="3"/>
  <c r="E31" i="3" s="1"/>
  <c r="D23" i="3"/>
  <c r="D31" i="3" s="1"/>
  <c r="D4" i="3"/>
  <c r="D6" i="3" s="1"/>
  <c r="N45" i="1"/>
  <c r="N32" i="1"/>
  <c r="I32" i="1"/>
  <c r="Q32" i="1" s="1"/>
  <c r="G31" i="1"/>
  <c r="O29" i="1"/>
  <c r="F17" i="1"/>
  <c r="F5" i="1"/>
  <c r="M32" i="3" l="1"/>
  <c r="J32" i="3"/>
  <c r="I32" i="3"/>
  <c r="P30" i="3"/>
  <c r="D32" i="3"/>
  <c r="E32" i="3"/>
  <c r="F32" i="3"/>
  <c r="P31" i="6"/>
  <c r="D11" i="4"/>
  <c r="P11" i="4" s="1"/>
  <c r="E6" i="2" s="1"/>
  <c r="O32" i="3"/>
  <c r="J32" i="1"/>
  <c r="I33" i="1" s="1"/>
  <c r="J33" i="1" s="1"/>
  <c r="L32" i="3"/>
  <c r="R32" i="1"/>
  <c r="S32" i="1"/>
  <c r="P31" i="3"/>
  <c r="P32" i="3" s="1"/>
  <c r="G10" i="6"/>
  <c r="D7" i="6"/>
  <c r="D19" i="6" s="1"/>
  <c r="E3" i="6"/>
  <c r="D5" i="3"/>
  <c r="D7" i="3" s="1"/>
  <c r="D18" i="3" s="1"/>
  <c r="E3" i="3"/>
  <c r="H31" i="1"/>
  <c r="O32" i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F7" i="1"/>
  <c r="H10" i="6" l="1"/>
  <c r="D18" i="6"/>
  <c r="E4" i="6"/>
  <c r="D19" i="3"/>
  <c r="E4" i="3"/>
  <c r="E6" i="3" s="1"/>
  <c r="R33" i="1"/>
  <c r="Q33" i="1"/>
  <c r="S33" i="1" s="1"/>
  <c r="D32" i="1"/>
  <c r="H32" i="1" s="1"/>
  <c r="I34" i="1"/>
  <c r="E5" i="6" l="1"/>
  <c r="F3" i="6"/>
  <c r="D30" i="6"/>
  <c r="E6" i="6"/>
  <c r="E5" i="3"/>
  <c r="F3" i="3"/>
  <c r="R34" i="1"/>
  <c r="Q34" i="1"/>
  <c r="S34" i="1" s="1"/>
  <c r="J34" i="1"/>
  <c r="F32" i="1"/>
  <c r="M32" i="1"/>
  <c r="D33" i="1"/>
  <c r="D10" i="4" l="1"/>
  <c r="D32" i="6"/>
  <c r="E7" i="6"/>
  <c r="E19" i="6"/>
  <c r="E18" i="6"/>
  <c r="F4" i="6"/>
  <c r="F6" i="6" s="1"/>
  <c r="E7" i="3"/>
  <c r="F4" i="3"/>
  <c r="M33" i="1"/>
  <c r="G32" i="1"/>
  <c r="L32" i="1"/>
  <c r="I35" i="1"/>
  <c r="J35" i="1" s="1"/>
  <c r="D15" i="4" l="1"/>
  <c r="F5" i="6"/>
  <c r="G3" i="6"/>
  <c r="E30" i="6"/>
  <c r="E19" i="3"/>
  <c r="E18" i="3"/>
  <c r="G3" i="3"/>
  <c r="F5" i="3"/>
  <c r="F6" i="3"/>
  <c r="I36" i="1"/>
  <c r="R35" i="1"/>
  <c r="Q35" i="1"/>
  <c r="E32" i="6" l="1"/>
  <c r="E10" i="4"/>
  <c r="S35" i="1"/>
  <c r="G4" i="6"/>
  <c r="G6" i="6" s="1"/>
  <c r="F7" i="6"/>
  <c r="F7" i="3"/>
  <c r="F18" i="3" s="1"/>
  <c r="G4" i="3"/>
  <c r="R36" i="1"/>
  <c r="Q36" i="1"/>
  <c r="S36" i="1" s="1"/>
  <c r="J36" i="1"/>
  <c r="E15" i="4" l="1"/>
  <c r="F18" i="6"/>
  <c r="F19" i="6"/>
  <c r="G5" i="6"/>
  <c r="H3" i="6"/>
  <c r="M10" i="6"/>
  <c r="F19" i="3"/>
  <c r="H3" i="3"/>
  <c r="G5" i="3"/>
  <c r="G6" i="3"/>
  <c r="I37" i="1"/>
  <c r="H4" i="6" l="1"/>
  <c r="H6" i="6"/>
  <c r="G7" i="6"/>
  <c r="N10" i="6"/>
  <c r="F30" i="6"/>
  <c r="G7" i="3"/>
  <c r="G18" i="3" s="1"/>
  <c r="H4" i="3"/>
  <c r="R37" i="1"/>
  <c r="Q37" i="1"/>
  <c r="S37" i="1" s="1"/>
  <c r="J37" i="1"/>
  <c r="F10" i="4" l="1"/>
  <c r="F32" i="6"/>
  <c r="O10" i="6"/>
  <c r="H5" i="6"/>
  <c r="I3" i="6"/>
  <c r="G19" i="6"/>
  <c r="G18" i="6"/>
  <c r="G19" i="3"/>
  <c r="I3" i="3"/>
  <c r="H5" i="3"/>
  <c r="H6" i="3"/>
  <c r="I38" i="1"/>
  <c r="J38" i="1" s="1"/>
  <c r="F15" i="4" l="1"/>
  <c r="H7" i="6"/>
  <c r="I6" i="6"/>
  <c r="I4" i="6"/>
  <c r="G30" i="6"/>
  <c r="H7" i="3"/>
  <c r="H19" i="3" s="1"/>
  <c r="I4" i="3"/>
  <c r="I39" i="1"/>
  <c r="R38" i="1"/>
  <c r="Q38" i="1"/>
  <c r="G32" i="6" l="1"/>
  <c r="G10" i="4"/>
  <c r="H19" i="6"/>
  <c r="H18" i="6"/>
  <c r="J3" i="6"/>
  <c r="I5" i="6"/>
  <c r="I7" i="6" s="1"/>
  <c r="I18" i="6" s="1"/>
  <c r="I30" i="6" s="1"/>
  <c r="H18" i="3"/>
  <c r="J3" i="3"/>
  <c r="I5" i="3"/>
  <c r="I6" i="3"/>
  <c r="S38" i="1"/>
  <c r="R39" i="1" s="1"/>
  <c r="Q39" i="1"/>
  <c r="J39" i="1"/>
  <c r="I32" i="6" l="1"/>
  <c r="I10" i="4"/>
  <c r="I15" i="4" s="1"/>
  <c r="G15" i="4"/>
  <c r="H30" i="6"/>
  <c r="I19" i="6"/>
  <c r="J4" i="6"/>
  <c r="J6" i="6" s="1"/>
  <c r="I7" i="3"/>
  <c r="I19" i="3" s="1"/>
  <c r="J4" i="3"/>
  <c r="I40" i="1"/>
  <c r="S39" i="1"/>
  <c r="H10" i="4" l="1"/>
  <c r="H32" i="6"/>
  <c r="K3" i="6"/>
  <c r="J5" i="6"/>
  <c r="J7" i="6" s="1"/>
  <c r="J19" i="6" s="1"/>
  <c r="I18" i="3"/>
  <c r="K3" i="3"/>
  <c r="J5" i="3"/>
  <c r="J6" i="3"/>
  <c r="R40" i="1"/>
  <c r="Q40" i="1"/>
  <c r="J40" i="1"/>
  <c r="S40" i="1" l="1"/>
  <c r="H15" i="4"/>
  <c r="K4" i="6"/>
  <c r="J18" i="6"/>
  <c r="J30" i="6" s="1"/>
  <c r="J7" i="3"/>
  <c r="J19" i="3" s="1"/>
  <c r="K4" i="3"/>
  <c r="I41" i="1"/>
  <c r="J10" i="4" l="1"/>
  <c r="J15" i="4" s="1"/>
  <c r="J32" i="6"/>
  <c r="L3" i="6"/>
  <c r="K5" i="6"/>
  <c r="K6" i="6"/>
  <c r="J18" i="3"/>
  <c r="L3" i="3"/>
  <c r="K5" i="3"/>
  <c r="K6" i="3"/>
  <c r="R41" i="1"/>
  <c r="Q41" i="1"/>
  <c r="J41" i="1"/>
  <c r="S41" i="1" l="1"/>
  <c r="K18" i="6"/>
  <c r="K30" i="6" s="1"/>
  <c r="K7" i="6"/>
  <c r="K19" i="6" s="1"/>
  <c r="L4" i="6"/>
  <c r="L6" i="6"/>
  <c r="L4" i="3"/>
  <c r="L6" i="3" s="1"/>
  <c r="K7" i="3"/>
  <c r="K19" i="3" s="1"/>
  <c r="I42" i="1"/>
  <c r="K32" i="6" l="1"/>
  <c r="K10" i="4"/>
  <c r="K15" i="4" s="1"/>
  <c r="L5" i="6"/>
  <c r="L7" i="6" s="1"/>
  <c r="M3" i="6"/>
  <c r="L19" i="6"/>
  <c r="L18" i="6"/>
  <c r="L30" i="6" s="1"/>
  <c r="K18" i="3"/>
  <c r="M3" i="3"/>
  <c r="L5" i="3"/>
  <c r="L7" i="3" s="1"/>
  <c r="L19" i="3" s="1"/>
  <c r="R42" i="1"/>
  <c r="Q42" i="1"/>
  <c r="J42" i="1"/>
  <c r="L32" i="6" l="1"/>
  <c r="L10" i="4"/>
  <c r="L15" i="4" s="1"/>
  <c r="M4" i="6"/>
  <c r="M6" i="6"/>
  <c r="L18" i="3"/>
  <c r="M4" i="3"/>
  <c r="M6" i="3" s="1"/>
  <c r="I43" i="1"/>
  <c r="S42" i="1"/>
  <c r="N3" i="6" l="1"/>
  <c r="M5" i="6"/>
  <c r="M7" i="6" s="1"/>
  <c r="M19" i="6" s="1"/>
  <c r="N3" i="3"/>
  <c r="M5" i="3"/>
  <c r="M7" i="3" s="1"/>
  <c r="M19" i="3" s="1"/>
  <c r="R43" i="1"/>
  <c r="Q43" i="1"/>
  <c r="S43" i="1" s="1"/>
  <c r="J43" i="1"/>
  <c r="N4" i="6" l="1"/>
  <c r="M18" i="6"/>
  <c r="M30" i="6" s="1"/>
  <c r="M18" i="3"/>
  <c r="N4" i="3"/>
  <c r="N6" i="3" s="1"/>
  <c r="I44" i="1"/>
  <c r="M32" i="6" l="1"/>
  <c r="M10" i="4"/>
  <c r="M15" i="4" s="1"/>
  <c r="N5" i="6"/>
  <c r="O3" i="6"/>
  <c r="N6" i="6"/>
  <c r="O3" i="3"/>
  <c r="N5" i="3"/>
  <c r="N7" i="3" s="1"/>
  <c r="N19" i="3" s="1"/>
  <c r="R44" i="1"/>
  <c r="Q44" i="1"/>
  <c r="J44" i="1"/>
  <c r="S44" i="1" l="1"/>
  <c r="O4" i="6"/>
  <c r="O6" i="6"/>
  <c r="N7" i="6"/>
  <c r="N18" i="6" s="1"/>
  <c r="N30" i="6" s="1"/>
  <c r="N18" i="3"/>
  <c r="O4" i="3"/>
  <c r="I45" i="1"/>
  <c r="N32" i="6" l="1"/>
  <c r="N10" i="4"/>
  <c r="N15" i="4" s="1"/>
  <c r="N19" i="6"/>
  <c r="P6" i="6"/>
  <c r="O5" i="6"/>
  <c r="P4" i="6"/>
  <c r="O5" i="3"/>
  <c r="P5" i="3" s="1"/>
  <c r="P4" i="3"/>
  <c r="O6" i="3"/>
  <c r="R45" i="1"/>
  <c r="Q45" i="1"/>
  <c r="J45" i="1"/>
  <c r="F18" i="1" s="1"/>
  <c r="O7" i="6" l="1"/>
  <c r="P5" i="6"/>
  <c r="O7" i="3"/>
  <c r="P7" i="3" s="1"/>
  <c r="P6" i="3"/>
  <c r="N33" i="1"/>
  <c r="H33" i="1"/>
  <c r="F33" i="1"/>
  <c r="S45" i="1"/>
  <c r="P7" i="6" l="1"/>
  <c r="O19" i="6"/>
  <c r="P19" i="6" s="1"/>
  <c r="O18" i="6"/>
  <c r="O18" i="3"/>
  <c r="O19" i="3"/>
  <c r="P19" i="3" s="1"/>
  <c r="L33" i="1"/>
  <c r="G33" i="1"/>
  <c r="D34" i="1"/>
  <c r="E34" i="1" s="1"/>
  <c r="O30" i="6" l="1"/>
  <c r="O10" i="4" s="1"/>
  <c r="P18" i="6"/>
  <c r="P18" i="3"/>
  <c r="N34" i="1"/>
  <c r="H34" i="1"/>
  <c r="F34" i="1"/>
  <c r="M34" i="1"/>
  <c r="O15" i="4" l="1"/>
  <c r="P15" i="4" s="1"/>
  <c r="P10" i="4"/>
  <c r="E5" i="2" s="1"/>
  <c r="P30" i="6"/>
  <c r="P32" i="6" s="1"/>
  <c r="O32" i="6"/>
  <c r="L34" i="1"/>
  <c r="G34" i="1"/>
  <c r="D35" i="1"/>
  <c r="F35" i="1" l="1"/>
  <c r="M35" i="1"/>
  <c r="N35" i="1"/>
  <c r="H35" i="1"/>
  <c r="G35" i="1" l="1"/>
  <c r="L35" i="1"/>
  <c r="D36" i="1"/>
  <c r="E36" i="1" s="1"/>
  <c r="N36" i="1" l="1"/>
  <c r="F36" i="1"/>
  <c r="M36" i="1"/>
  <c r="H36" i="1"/>
  <c r="G36" i="1" l="1"/>
  <c r="L36" i="1"/>
  <c r="D37" i="1"/>
  <c r="E37" i="1"/>
  <c r="H37" i="1" s="1"/>
  <c r="D38" i="1" l="1"/>
  <c r="M37" i="1"/>
  <c r="F37" i="1"/>
  <c r="N37" i="1"/>
  <c r="L37" i="1" l="1"/>
  <c r="G37" i="1"/>
  <c r="E38" i="1"/>
  <c r="N38" i="1" s="1"/>
  <c r="M38" i="1"/>
  <c r="F38" i="1" l="1"/>
  <c r="H38" i="1"/>
  <c r="D39" i="1" l="1"/>
  <c r="E39" i="1" s="1"/>
  <c r="N39" i="1" s="1"/>
  <c r="L38" i="1"/>
  <c r="G38" i="1"/>
  <c r="F39" i="1" l="1"/>
  <c r="M39" i="1"/>
  <c r="H39" i="1"/>
  <c r="D40" i="1" l="1"/>
  <c r="N40" i="1" s="1"/>
  <c r="G39" i="1"/>
  <c r="L39" i="1"/>
  <c r="F40" i="1" l="1"/>
  <c r="M40" i="1"/>
  <c r="H40" i="1"/>
  <c r="D41" i="1" l="1"/>
  <c r="G40" i="1"/>
  <c r="L40" i="1"/>
  <c r="E41" i="1" l="1"/>
  <c r="N41" i="1" s="1"/>
  <c r="M41" i="1"/>
  <c r="H41" i="1" l="1"/>
  <c r="F41" i="1"/>
  <c r="L41" i="1" l="1"/>
  <c r="G41" i="1"/>
  <c r="D42" i="1"/>
  <c r="E42" i="1" l="1"/>
  <c r="N42" i="1" s="1"/>
  <c r="M42" i="1"/>
  <c r="F42" i="1" l="1"/>
  <c r="H42" i="1"/>
  <c r="D43" i="1" l="1"/>
  <c r="E43" i="1" s="1"/>
  <c r="N43" i="1" s="1"/>
  <c r="L42" i="1"/>
  <c r="G42" i="1"/>
  <c r="F43" i="1" l="1"/>
  <c r="M43" i="1"/>
  <c r="H43" i="1"/>
  <c r="D44" i="1" l="1"/>
  <c r="E44" i="1" s="1"/>
  <c r="N44" i="1" s="1"/>
  <c r="G43" i="1"/>
  <c r="L43" i="1"/>
  <c r="F44" i="1" l="1"/>
  <c r="M44" i="1"/>
  <c r="H44" i="1"/>
  <c r="D45" i="1" l="1"/>
  <c r="H45" i="1" s="1"/>
  <c r="G44" i="1"/>
  <c r="L44" i="1"/>
  <c r="E46" i="1" l="1"/>
  <c r="M45" i="1"/>
  <c r="F45" i="1"/>
  <c r="G45" i="1" s="1"/>
  <c r="F21" i="1"/>
  <c r="L45" i="1" l="1"/>
  <c r="F8" i="1"/>
  <c r="F46" i="1"/>
  <c r="G46" i="1" s="1"/>
  <c r="F22" i="1"/>
  <c r="F23" i="1" s="1"/>
  <c r="F25" i="1" s="1"/>
  <c r="H46" i="1"/>
  <c r="F10" i="1" l="1"/>
  <c r="F9" i="1"/>
  <c r="D5" i="4" l="1"/>
  <c r="D6" i="4" s="1"/>
  <c r="J5" i="4"/>
  <c r="J6" i="4" s="1"/>
  <c r="J17" i="4" s="1"/>
  <c r="H5" i="4"/>
  <c r="H6" i="4" s="1"/>
  <c r="H17" i="4" s="1"/>
  <c r="E5" i="4"/>
  <c r="E6" i="4" s="1"/>
  <c r="E17" i="4" s="1"/>
  <c r="O5" i="4"/>
  <c r="O6" i="4" s="1"/>
  <c r="O17" i="4" s="1"/>
  <c r="N5" i="4"/>
  <c r="N6" i="4" s="1"/>
  <c r="N17" i="4" s="1"/>
  <c r="M5" i="4"/>
  <c r="M6" i="4" s="1"/>
  <c r="M17" i="4" s="1"/>
  <c r="I5" i="4"/>
  <c r="I6" i="4" s="1"/>
  <c r="I17" i="4" s="1"/>
  <c r="G5" i="4"/>
  <c r="G6" i="4" s="1"/>
  <c r="G17" i="4" s="1"/>
  <c r="F5" i="4"/>
  <c r="F6" i="4" s="1"/>
  <c r="F17" i="4" s="1"/>
  <c r="L5" i="4"/>
  <c r="L6" i="4" s="1"/>
  <c r="L17" i="4" s="1"/>
  <c r="K5" i="4"/>
  <c r="K6" i="4" s="1"/>
  <c r="K17" i="4" s="1"/>
  <c r="P6" i="4" l="1"/>
  <c r="E3" i="2" s="1"/>
  <c r="E10" i="2" s="1"/>
  <c r="D17" i="4"/>
  <c r="P17" i="4" s="1"/>
</calcChain>
</file>

<file path=xl/sharedStrings.xml><?xml version="1.0" encoding="utf-8"?>
<sst xmlns="http://schemas.openxmlformats.org/spreadsheetml/2006/main" count="292" uniqueCount="147">
  <si>
    <t>Forbruksprofil og batteriinstallasjon 1</t>
  </si>
  <si>
    <t>Peak shave</t>
  </si>
  <si>
    <t>kW</t>
  </si>
  <si>
    <t>"</t>
  </si>
  <si>
    <t>Peak shave med valgt batteri</t>
  </si>
  <si>
    <t>Tap av underdimensjonert batteri</t>
  </si>
  <si>
    <t>Batteristørrelse</t>
  </si>
  <si>
    <t>kWt</t>
  </si>
  <si>
    <t>%</t>
  </si>
  <si>
    <t>80% konservativ default</t>
  </si>
  <si>
    <t>Ladeskluser og garantiperiode</t>
  </si>
  <si>
    <t>Sum peak shave</t>
  </si>
  <si>
    <t>Sum BESS charge</t>
  </si>
  <si>
    <t>x</t>
  </si>
  <si>
    <t>Ladesykluser i garanti</t>
  </si>
  <si>
    <t>Antall år garantiperiode</t>
  </si>
  <si>
    <t>år</t>
  </si>
  <si>
    <t>Garantert batterikapasitet*</t>
  </si>
  <si>
    <t>* Andel tilgjengeliggjort kapasitet antas økt gradvis med batteriets degradering</t>
  </si>
  <si>
    <t>Tidspunkt</t>
  </si>
  <si>
    <t>Forbruk</t>
  </si>
  <si>
    <t>BESS charge</t>
  </si>
  <si>
    <t>Grid import</t>
  </si>
  <si>
    <t>Kontroll</t>
  </si>
  <si>
    <t>Batterikapasitet</t>
  </si>
  <si>
    <t>Maks bruk/opplading</t>
  </si>
  <si>
    <t>Akkumulert</t>
  </si>
  <si>
    <t>BESS charge (negativ verdi)</t>
  </si>
  <si>
    <t>Målsatt peak shave</t>
  </si>
  <si>
    <t>Målsatt oppladning</t>
  </si>
  <si>
    <t>Oppstart kl 06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</si>
  <si>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</si>
  <si>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</si>
  <si>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</si>
  <si>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</si>
  <si>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</si>
  <si>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</si>
  <si>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</si>
  <si>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</si>
  <si>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</si>
  <si>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</si>
  <si>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</si>
  <si>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</si>
  <si>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</si>
  <si>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</si>
  <si>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Natt kl. 20-06**</t>
  </si>
  <si>
    <t>**Batteriet antas ladet opp gjennom natten på tidspunktene som er mest gunstig prismessig (eget kalkulasjonsark)</t>
  </si>
  <si>
    <t>Ukedag</t>
  </si>
  <si>
    <t>Aktivt</t>
  </si>
  <si>
    <t>Mandag</t>
  </si>
  <si>
    <t>0/1</t>
  </si>
  <si>
    <t>Tirsdag</t>
  </si>
  <si>
    <t>Onsdag</t>
  </si>
  <si>
    <t>Torsdag</t>
  </si>
  <si>
    <t>Fredag</t>
  </si>
  <si>
    <t>Lørdag</t>
  </si>
  <si>
    <t>Søndag</t>
  </si>
  <si>
    <t>Marked</t>
  </si>
  <si>
    <t>Sesong</t>
  </si>
  <si>
    <t>Antakelser</t>
  </si>
  <si>
    <t>FFR Profil</t>
  </si>
  <si>
    <t>25 Mai-1 Sept</t>
  </si>
  <si>
    <t>Rask respons max 30sek full effekt ved frekvensfall. Står "armert" fra kl 2200 til 0700 Hverdager, og alle timer helg. Totalt 1350 timer</t>
  </si>
  <si>
    <t>FFR Flex</t>
  </si>
  <si>
    <t xml:space="preserve">27 April-27 Okt </t>
  </si>
  <si>
    <t>Rask respons Max 30 Sek. Utvalgte timer bestilles for armering i uken, Avregnes av en "pott" på 400 timer</t>
  </si>
  <si>
    <t>EuroFlex</t>
  </si>
  <si>
    <t>Okt-Mar</t>
  </si>
  <si>
    <t xml:space="preserve">Leveranse av Energi i DSO (Elvia) nett i flaskehalsområder . Markedsplatform «Nodes». Kapasitet/Longflex eller aktivering/shortflex. 3-4 timer på morgen og 3-4 timer på ettermiddag (høylasttimene) Gjelder for utvalgte nettstasjonsområder. </t>
  </si>
  <si>
    <t>Pilot, Testing tilgjengelig</t>
  </si>
  <si>
    <t>FCR-D opp</t>
  </si>
  <si>
    <t>Mai-Sept</t>
  </si>
  <si>
    <t>Stegvis effekterspons 0-100% ved frekvensfall. Dagsmarked (D-1/D-2). Nytt marked fra Mai 2024. Mulig overgang til helårsmarked</t>
  </si>
  <si>
    <t>FCR-N</t>
  </si>
  <si>
    <t>Hele Året</t>
  </si>
  <si>
    <t xml:space="preserve"> Effektrespons lading/utladning rundt 50Hz </t>
  </si>
  <si>
    <t>Peakshave</t>
  </si>
  <si>
    <t>Pris</t>
  </si>
  <si>
    <t>Jan</t>
  </si>
  <si>
    <t>Feb</t>
  </si>
  <si>
    <t>Mar</t>
  </si>
  <si>
    <t>Apr</t>
  </si>
  <si>
    <t>Mai</t>
  </si>
  <si>
    <t>Jun</t>
  </si>
  <si>
    <t>Jul</t>
  </si>
  <si>
    <t>Aug</t>
  </si>
  <si>
    <t>Sep</t>
  </si>
  <si>
    <t>Okt</t>
  </si>
  <si>
    <t>Nov</t>
  </si>
  <si>
    <t>Des</t>
  </si>
  <si>
    <t>Start</t>
  </si>
  <si>
    <t>Slutt</t>
  </si>
  <si>
    <t>Antall dager</t>
  </si>
  <si>
    <t>Antall ukedager</t>
  </si>
  <si>
    <t>Antall helgedager</t>
  </si>
  <si>
    <t>Effekt deltakelse</t>
  </si>
  <si>
    <t>Timer deltakelse</t>
  </si>
  <si>
    <t>Kommentar</t>
  </si>
  <si>
    <t>Sum 2024</t>
  </si>
  <si>
    <t>Timer deltakelse dagtid</t>
  </si>
  <si>
    <t>Timer deltakelse helg</t>
  </si>
  <si>
    <t>Inntekt</t>
  </si>
  <si>
    <t>NOK/MW/time</t>
  </si>
  <si>
    <t>NOK</t>
  </si>
  <si>
    <t>Sum</t>
  </si>
  <si>
    <t>Markedsdeltakelse - Plan 1</t>
  </si>
  <si>
    <t>Markedsdeltakelse - Plan 2</t>
  </si>
  <si>
    <t>Årets kontraktpris i FFR Profil markedet</t>
  </si>
  <si>
    <t>Maks effekt ihht PCS størrelse</t>
  </si>
  <si>
    <t>Minste av (i) maks effekt ihht PCS størrelse, og (ii) halvparten av batteriets totale kapasitet</t>
  </si>
  <si>
    <t>Regulering 1 time opp eller ned, halvparten av timene deltakelse, halvparten for å tilbakestille batteriet</t>
  </si>
  <si>
    <t>Gjennomsnitt for aktuelle timer basert på siste 12 måneder (okt 23-okt24)</t>
  </si>
  <si>
    <t xml:space="preserve">Deltakelse fra kl 23-06 i hverdager og hele helger. Rask respons, maks 30 sek om gangen. </t>
  </si>
  <si>
    <t>FFR Profil aktivt mellom kl 23 - 07. Unngår kl 06-07 hvor batteriet reserveres til Peak Shave</t>
  </si>
  <si>
    <t>Unngår kl 06-20 hvor batteriet reserveres til Peak Shave</t>
  </si>
  <si>
    <t>Effekttariff</t>
  </si>
  <si>
    <t>NOK/KWh</t>
  </si>
  <si>
    <t>KWh</t>
  </si>
  <si>
    <t>Peak Shave kostnadsbesparelse</t>
  </si>
  <si>
    <t>Prisarbitrage</t>
  </si>
  <si>
    <t>Sum markedsdeltakelse</t>
  </si>
  <si>
    <t>Sum inntjening fra batteri</t>
  </si>
  <si>
    <t>Månedlig kontantstrøm</t>
  </si>
  <si>
    <t>Sommer og Vinter</t>
  </si>
  <si>
    <t>Effekttoppreduksjon (vinter 104 NOK/KWh, sommer 44 NOK/KWh)</t>
  </si>
  <si>
    <t>Beskrivelse</t>
  </si>
  <si>
    <t>Pris arbitrage</t>
  </si>
  <si>
    <t>Batteriet prioriteres til peak shave mellom kl 0600 - 2000</t>
  </si>
  <si>
    <t xml:space="preserve">Beregnet i egen modell basert på Peak Shave profil og timespriser fra Thema (2025). Oppladning under billigste timer hver ukedag mellom kl 2000 og 0600. </t>
  </si>
  <si>
    <t>Årlig inntjening (NOK)</t>
  </si>
  <si>
    <t xml:space="preserve">Markedsresultat 2024 - sesongavtale. Deltakelse hver time fra kl 2200 - 0600 hverdag og alle timer helg. </t>
  </si>
  <si>
    <t xml:space="preserve">Ved 50% deltakelse i timene mellom 20:00 - 06:00. Priser basert på gjennomsnitt for okt23-okt24. </t>
  </si>
  <si>
    <t>Prisvariasjon gjennom døgnet gir positivt bidrag fra peak shave (lader i gjennomsnitt når billig og bruker kapasitet når dyrt).</t>
  </si>
  <si>
    <t xml:space="preserve">Nytt Marked 2024 Norge. </t>
  </si>
  <si>
    <t>Effekttopp (peak power)uten BESS</t>
  </si>
  <si>
    <t>Peak shave målsetning(goal setting)</t>
  </si>
  <si>
    <t>Målsatt (targeted) maksimal grid import</t>
  </si>
  <si>
    <t>Effekttopp(peak power) med valgt batteri</t>
  </si>
  <si>
    <t>loss of undersizing)</t>
  </si>
  <si>
    <t>Batterieffekt / PCS(battery power)</t>
  </si>
  <si>
    <t>Optimal batterikapasitet(battery capacity)</t>
  </si>
  <si>
    <t>Valgt batteriinstallasjon(chosen battery installation)</t>
  </si>
  <si>
    <t>Andel tilgjengeliggjort for bruk*(share made available for use)</t>
  </si>
  <si>
    <t>Valgt netto batterikapasitet(chosen net battery capacity)</t>
  </si>
  <si>
    <t>Over/under-kapasitet(over-under capacity)</t>
  </si>
  <si>
    <t>Kapasitet nødvendig(emergency) for å oppnå(achieve) målsatt(targeted) peak shave</t>
  </si>
  <si>
    <t>Ladesykluser(charge cycles) per 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</si>
</sst>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_-* #,##0_-;\-\ #,##0_-;_-* &quot;-&quot;??_-;_-@_-"/>
    <numFmt numFmtId="166" formatCode="0.00\x"/>
    <numFmt numFmtId="167" formatCode="_-* #,##0.0_-;\-\ #,##0.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name val="Calibri"/>
      <family val="2"/>
      <scheme val="minor"/>
    </font>
    <font>
      <i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112102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lightUp">
        <fgColor auto="1"/>
      </patternFill>
    </fill>
    <fill>
      <patternFill patternType="solid">
        <fgColor rgb="FFFFBDB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lightUp">
        <fgColor theme="1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2" fillId="2" borderId="0" xfId="0" applyFont="1" applyFill="1"/>
    <xf numFmtId="0" fontId="3" fillId="0" borderId="0" xfId="0" applyFon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3" fillId="0" borderId="0" xfId="0" applyFont="1" applyAlignment="1">
      <alignment vertical="top"/>
    </xf>
    <xf numFmtId="0" fontId="3" fillId="0" borderId="4" xfId="0" applyFont="1" applyBorder="1"/>
    <xf numFmtId="0" fontId="3" fillId="0" borderId="5" xfId="0" applyFont="1" applyBorder="1"/>
    <xf numFmtId="0" fontId="4" fillId="0" borderId="5" xfId="0" applyFont="1" applyBorder="1" applyAlignment="1">
      <alignment horizontal="center"/>
    </xf>
    <xf numFmtId="164" fontId="3" fillId="0" borderId="6" xfId="0" applyNumberFormat="1" applyFont="1" applyBorder="1"/>
    <xf numFmtId="0" fontId="3" fillId="0" borderId="7" xfId="0" applyFont="1" applyBorder="1"/>
    <xf numFmtId="0" fontId="4" fillId="0" borderId="0" xfId="0" applyFont="1" applyAlignment="1">
      <alignment horizontal="center"/>
    </xf>
    <xf numFmtId="164" fontId="5" fillId="4" borderId="8" xfId="1" applyNumberFormat="1" applyFont="1" applyFill="1" applyBorder="1"/>
    <xf numFmtId="0" fontId="3" fillId="0" borderId="9" xfId="0" applyFont="1" applyBorder="1"/>
    <xf numFmtId="0" fontId="3" fillId="0" borderId="10" xfId="0" applyFont="1" applyBorder="1"/>
    <xf numFmtId="0" fontId="4" fillId="0" borderId="10" xfId="0" applyFont="1" applyBorder="1" applyAlignment="1">
      <alignment horizontal="center"/>
    </xf>
    <xf numFmtId="165" fontId="3" fillId="0" borderId="11" xfId="0" applyNumberFormat="1" applyFont="1" applyBorder="1"/>
    <xf numFmtId="165" fontId="3" fillId="0" borderId="8" xfId="0" applyNumberFormat="1" applyFont="1" applyBorder="1"/>
    <xf numFmtId="165" fontId="3" fillId="0" borderId="0" xfId="0" applyNumberFormat="1" applyFont="1"/>
    <xf numFmtId="164" fontId="6" fillId="0" borderId="8" xfId="1" applyNumberFormat="1" applyFont="1" applyFill="1" applyBorder="1"/>
    <xf numFmtId="0" fontId="4" fillId="0" borderId="0" xfId="0" applyFont="1" applyAlignment="1">
      <alignment vertical="top"/>
    </xf>
    <xf numFmtId="9" fontId="5" fillId="4" borderId="8" xfId="2" applyFont="1" applyFill="1" applyBorder="1"/>
    <xf numFmtId="166" fontId="3" fillId="0" borderId="11" xfId="0" applyNumberFormat="1" applyFont="1" applyBorder="1"/>
    <xf numFmtId="164" fontId="5" fillId="0" borderId="6" xfId="1" applyNumberFormat="1" applyFont="1" applyFill="1" applyBorder="1"/>
    <xf numFmtId="167" fontId="3" fillId="0" borderId="8" xfId="0" applyNumberFormat="1" applyFont="1" applyBorder="1"/>
    <xf numFmtId="9" fontId="3" fillId="0" borderId="11" xfId="2" applyFont="1" applyBorder="1"/>
    <xf numFmtId="0" fontId="4" fillId="0" borderId="0" xfId="0" applyFont="1"/>
    <xf numFmtId="0" fontId="2" fillId="3" borderId="4" xfId="0" applyFont="1" applyFill="1" applyBorder="1"/>
    <xf numFmtId="0" fontId="2" fillId="3" borderId="5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0" fontId="7" fillId="3" borderId="9" xfId="0" applyFont="1" applyFill="1" applyBorder="1"/>
    <xf numFmtId="0" fontId="7" fillId="3" borderId="10" xfId="0" applyFont="1" applyFill="1" applyBorder="1" applyAlignment="1">
      <alignment horizontal="right"/>
    </xf>
    <xf numFmtId="0" fontId="7" fillId="3" borderId="11" xfId="0" applyFont="1" applyFill="1" applyBorder="1" applyAlignment="1">
      <alignment horizontal="right"/>
    </xf>
    <xf numFmtId="0" fontId="7" fillId="3" borderId="9" xfId="0" applyFont="1" applyFill="1" applyBorder="1" applyAlignment="1">
      <alignment horizontal="right"/>
    </xf>
    <xf numFmtId="0" fontId="7" fillId="3" borderId="0" xfId="0" applyFont="1" applyFill="1" applyAlignment="1">
      <alignment horizontal="right"/>
    </xf>
    <xf numFmtId="0" fontId="7" fillId="3" borderId="7" xfId="0" applyFont="1" applyFill="1" applyBorder="1" applyAlignment="1">
      <alignment horizontal="right"/>
    </xf>
    <xf numFmtId="0" fontId="7" fillId="3" borderId="8" xfId="0" applyFont="1" applyFill="1" applyBorder="1" applyAlignment="1">
      <alignment horizontal="right"/>
    </xf>
    <xf numFmtId="1" fontId="3" fillId="0" borderId="9" xfId="0" applyNumberFormat="1" applyFont="1" applyBorder="1" applyAlignment="1">
      <alignment horizontal="left"/>
    </xf>
    <xf numFmtId="165" fontId="3" fillId="5" borderId="10" xfId="0" applyNumberFormat="1" applyFont="1" applyFill="1" applyBorder="1"/>
    <xf numFmtId="165" fontId="8" fillId="0" borderId="10" xfId="0" applyNumberFormat="1" applyFont="1" applyBorder="1"/>
    <xf numFmtId="165" fontId="3" fillId="5" borderId="1" xfId="0" applyNumberFormat="1" applyFont="1" applyFill="1" applyBorder="1"/>
    <xf numFmtId="165" fontId="3" fillId="5" borderId="3" xfId="0" applyNumberFormat="1" applyFont="1" applyFill="1" applyBorder="1"/>
    <xf numFmtId="165" fontId="3" fillId="5" borderId="9" xfId="0" applyNumberFormat="1" applyFont="1" applyFill="1" applyBorder="1"/>
    <xf numFmtId="165" fontId="3" fillId="5" borderId="11" xfId="0" applyNumberFormat="1" applyFont="1" applyFill="1" applyBorder="1"/>
    <xf numFmtId="1" fontId="3" fillId="0" borderId="7" xfId="0" applyNumberFormat="1" applyFont="1" applyBorder="1" applyAlignment="1">
      <alignment horizontal="left"/>
    </xf>
    <xf numFmtId="164" fontId="5" fillId="4" borderId="0" xfId="1" applyNumberFormat="1" applyFont="1" applyFill="1" applyBorder="1"/>
    <xf numFmtId="165" fontId="3" fillId="5" borderId="0" xfId="0" applyNumberFormat="1" applyFont="1" applyFill="1"/>
    <xf numFmtId="165" fontId="8" fillId="0" borderId="0" xfId="0" applyNumberFormat="1" applyFont="1"/>
    <xf numFmtId="165" fontId="3" fillId="0" borderId="7" xfId="0" applyNumberFormat="1" applyFont="1" applyBorder="1"/>
    <xf numFmtId="164" fontId="3" fillId="0" borderId="0" xfId="0" applyNumberFormat="1" applyFont="1"/>
    <xf numFmtId="164" fontId="5" fillId="4" borderId="10" xfId="1" applyNumberFormat="1" applyFont="1" applyFill="1" applyBorder="1"/>
    <xf numFmtId="165" fontId="3" fillId="0" borderId="10" xfId="0" applyNumberFormat="1" applyFont="1" applyBorder="1"/>
    <xf numFmtId="165" fontId="3" fillId="0" borderId="9" xfId="0" applyNumberFormat="1" applyFont="1" applyBorder="1"/>
    <xf numFmtId="1" fontId="3" fillId="0" borderId="1" xfId="0" quotePrefix="1" applyNumberFormat="1" applyFont="1" applyBorder="1" applyAlignment="1">
      <alignment horizontal="left"/>
    </xf>
    <xf numFmtId="165" fontId="3" fillId="5" borderId="2" xfId="0" applyNumberFormat="1" applyFont="1" applyFill="1" applyBorder="1"/>
    <xf numFmtId="165" fontId="3" fillId="0" borderId="2" xfId="0" applyNumberFormat="1" applyFont="1" applyBorder="1"/>
    <xf numFmtId="165" fontId="8" fillId="0" borderId="2" xfId="0" applyNumberFormat="1" applyFont="1" applyBorder="1"/>
    <xf numFmtId="165" fontId="3" fillId="0" borderId="3" xfId="0" applyNumberFormat="1" applyFont="1" applyBorder="1"/>
    <xf numFmtId="0" fontId="4" fillId="0" borderId="5" xfId="0" applyFont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right"/>
    </xf>
    <xf numFmtId="164" fontId="5" fillId="6" borderId="8" xfId="1" applyNumberFormat="1" applyFont="1" applyFill="1" applyBorder="1"/>
    <xf numFmtId="164" fontId="5" fillId="6" borderId="11" xfId="1" applyNumberFormat="1" applyFont="1" applyFill="1" applyBorder="1"/>
    <xf numFmtId="0" fontId="10" fillId="0" borderId="0" xfId="0" applyFont="1"/>
    <xf numFmtId="0" fontId="11" fillId="0" borderId="0" xfId="0" applyFont="1"/>
    <xf numFmtId="0" fontId="2" fillId="3" borderId="13" xfId="0" applyFont="1" applyFill="1" applyBorder="1" applyAlignment="1">
      <alignment horizontal="right"/>
    </xf>
    <xf numFmtId="0" fontId="2" fillId="3" borderId="14" xfId="0" applyFont="1" applyFill="1" applyBorder="1" applyAlignment="1">
      <alignment horizontal="right"/>
    </xf>
    <xf numFmtId="0" fontId="3" fillId="0" borderId="15" xfId="0" applyFont="1" applyBorder="1"/>
    <xf numFmtId="165" fontId="3" fillId="0" borderId="15" xfId="0" applyNumberFormat="1" applyFont="1" applyBorder="1"/>
    <xf numFmtId="0" fontId="4" fillId="7" borderId="0" xfId="0" applyFont="1" applyFill="1"/>
    <xf numFmtId="0" fontId="12" fillId="3" borderId="13" xfId="0" applyFont="1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2" fillId="3" borderId="13" xfId="0" applyFont="1" applyFill="1" applyBorder="1" applyAlignment="1">
      <alignment horizontal="left"/>
    </xf>
    <xf numFmtId="14" fontId="4" fillId="7" borderId="0" xfId="0" applyNumberFormat="1" applyFont="1" applyFill="1"/>
    <xf numFmtId="14" fontId="4" fillId="7" borderId="15" xfId="0" applyNumberFormat="1" applyFont="1" applyFill="1" applyBorder="1"/>
    <xf numFmtId="1" fontId="4" fillId="7" borderId="0" xfId="0" applyNumberFormat="1" applyFont="1" applyFill="1"/>
    <xf numFmtId="0" fontId="4" fillId="7" borderId="15" xfId="0" applyFont="1" applyFill="1" applyBorder="1"/>
    <xf numFmtId="165" fontId="5" fillId="4" borderId="18" xfId="0" applyNumberFormat="1" applyFont="1" applyFill="1" applyBorder="1"/>
    <xf numFmtId="165" fontId="5" fillId="4" borderId="19" xfId="0" applyNumberFormat="1" applyFont="1" applyFill="1" applyBorder="1"/>
    <xf numFmtId="165" fontId="3" fillId="8" borderId="0" xfId="0" applyNumberFormat="1" applyFont="1" applyFill="1"/>
    <xf numFmtId="165" fontId="3" fillId="0" borderId="12" xfId="0" applyNumberFormat="1" applyFont="1" applyBorder="1"/>
    <xf numFmtId="0" fontId="13" fillId="0" borderId="2" xfId="0" applyFont="1" applyBorder="1" applyAlignment="1">
      <alignment horizontal="center"/>
    </xf>
    <xf numFmtId="165" fontId="10" fillId="0" borderId="2" xfId="0" applyNumberFormat="1" applyFont="1" applyBorder="1"/>
    <xf numFmtId="165" fontId="10" fillId="0" borderId="12" xfId="0" applyNumberFormat="1" applyFont="1" applyBorder="1"/>
    <xf numFmtId="0" fontId="10" fillId="7" borderId="1" xfId="0" applyFont="1" applyFill="1" applyBorder="1"/>
    <xf numFmtId="0" fontId="13" fillId="7" borderId="2" xfId="0" applyFont="1" applyFill="1" applyBorder="1" applyAlignment="1">
      <alignment horizontal="center"/>
    </xf>
    <xf numFmtId="165" fontId="10" fillId="7" borderId="2" xfId="0" applyNumberFormat="1" applyFont="1" applyFill="1" applyBorder="1"/>
    <xf numFmtId="165" fontId="10" fillId="7" borderId="12" xfId="0" applyNumberFormat="1" applyFont="1" applyFill="1" applyBorder="1"/>
    <xf numFmtId="165" fontId="3" fillId="0" borderId="5" xfId="0" applyNumberFormat="1" applyFont="1" applyBorder="1"/>
    <xf numFmtId="165" fontId="3" fillId="0" borderId="17" xfId="0" applyNumberFormat="1" applyFont="1" applyBorder="1"/>
    <xf numFmtId="165" fontId="3" fillId="0" borderId="16" xfId="0" applyNumberFormat="1" applyFont="1" applyBorder="1"/>
    <xf numFmtId="0" fontId="13" fillId="0" borderId="0" xfId="0" applyFont="1"/>
    <xf numFmtId="0" fontId="10" fillId="0" borderId="2" xfId="0" applyFont="1" applyBorder="1"/>
    <xf numFmtId="0" fontId="10" fillId="7" borderId="2" xfId="0" applyFont="1" applyFill="1" applyBorder="1"/>
    <xf numFmtId="165" fontId="14" fillId="0" borderId="2" xfId="0" applyNumberFormat="1" applyFont="1" applyBorder="1"/>
    <xf numFmtId="0" fontId="3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0" fillId="0" borderId="12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10" fillId="7" borderId="12" xfId="0" applyFont="1" applyFill="1" applyBorder="1" applyAlignment="1">
      <alignment wrapText="1"/>
    </xf>
    <xf numFmtId="0" fontId="3" fillId="7" borderId="12" xfId="0" applyFont="1" applyFill="1" applyBorder="1" applyAlignment="1">
      <alignment wrapText="1"/>
    </xf>
    <xf numFmtId="0" fontId="2" fillId="3" borderId="12" xfId="0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2" fillId="3" borderId="12" xfId="0" applyFont="1" applyFill="1" applyBorder="1" applyAlignment="1">
      <alignment horizontal="right" wrapText="1"/>
    </xf>
  </cellXfs>
  <cellStyles count="3">
    <cellStyle name="Comma" xfId="1" builtinId="3"/>
    <cellStyle name="Normal" xfId="0" builtinId="0"/>
    <cellStyle name="Percent" xfId="2" builtinId="5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Forbruksprofil</a:t>
            </a:r>
            <a:r>
              <a:rPr lang="en-GB" b="1" baseline="0"/>
              <a:t> og utnyttelse av valgt batteriinstallasjon</a:t>
            </a:r>
          </a:p>
          <a:p>
            <a:pPr algn="l">
              <a:defRPr/>
            </a:pPr>
            <a:r>
              <a:rPr lang="en-GB" baseline="0"/>
              <a:t>kWt</a:t>
            </a:r>
            <a:endParaRPr lang="en-GB"/>
          </a:p>
        </c:rich>
      </c:tx>
      <c:layout>
        <c:manualLayout>
          <c:xMode val="edge"/>
          <c:yMode val="edge"/>
          <c:x val="2.0794470321116178E-2"/>
          <c:y val="1.6981964017625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7.8491865225644442E-2"/>
          <c:y val="0.23465242740769415"/>
          <c:w val="0.90092589154852132"/>
          <c:h val="0.5795237186365956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'Peak Shave'!$L$29</c:f>
              <c:strCache>
                <c:ptCount val="1"/>
                <c:pt idx="0">
                  <c:v>Grid import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cat>
            <c:strRef>
              <c:f>'Peak Shave'!$B$32:$B$45</c:f>
              <c:strCache>
                <c:ptCount val="14"/>
                <c:pt idx="0">
                  <c:v>6-7</c:v>
                </c:pt>
                <c:pt idx="1">
                  <c:v>7-8</c:v>
                </c:pt>
                <c:pt idx="2">
                  <c:v>8-9</c:v>
                </c:pt>
                <c:pt idx="3">
                  <c:v>9-10</c:v>
                </c:pt>
                <c:pt idx="4">
                  <c:v>10-11</c:v>
                </c:pt>
                <c:pt idx="5">
                  <c:v>11-12</c:v>
                </c:pt>
                <c:pt idx="6">
                  <c:v>12-13</c:v>
                </c:pt>
                <c:pt idx="7">
                  <c:v>13-14</c:v>
                </c:pt>
                <c:pt idx="8">
                  <c:v>14-15</c:v>
                </c:pt>
                <c:pt idx="9">
                  <c:v>15-16</c:v>
                </c:pt>
                <c:pt idx="10">
                  <c:v>16-17</c:v>
                </c:pt>
                <c:pt idx="11">
                  <c:v>17-18</c:v>
                </c:pt>
                <c:pt idx="12">
                  <c:v>18-19</c:v>
                </c:pt>
                <c:pt idx="13">
                  <c:v>19-20</c:v>
                </c:pt>
              </c:strCache>
            </c:strRef>
          </c:cat>
          <c:val>
            <c:numRef>
              <c:f>'Peak Shave'!$L$32:$L$45</c:f>
              <c:numCache>
                <c:formatCode>_-* #\ ##0_-;\-\ #\ ##0_-;_-* "-"??_-;_-@_-</c:formatCode>
                <c:ptCount val="14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1000</c:v>
                </c:pt>
                <c:pt idx="8">
                  <c:v>680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0</c:v>
                </c:pt>
                <c:pt idx="13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9-4FFF-A172-4A8216D41441}"/>
            </c:ext>
          </c:extLst>
        </c:ser>
        <c:ser>
          <c:idx val="2"/>
          <c:order val="1"/>
          <c:tx>
            <c:strRef>
              <c:f>'Peak Shave'!$M$29</c:f>
              <c:strCache>
                <c:ptCount val="1"/>
                <c:pt idx="0">
                  <c:v>Peak shave</c:v>
                </c:pt>
              </c:strCache>
            </c:strRef>
          </c:tx>
          <c:spPr>
            <a:pattFill prst="ltUpDiag">
              <a:fgClr>
                <a:srgbClr val="70AD47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'Peak Shave'!$B$32:$B$45</c:f>
              <c:strCache>
                <c:ptCount val="14"/>
                <c:pt idx="0">
                  <c:v>6-7</c:v>
                </c:pt>
                <c:pt idx="1">
                  <c:v>7-8</c:v>
                </c:pt>
                <c:pt idx="2">
                  <c:v>8-9</c:v>
                </c:pt>
                <c:pt idx="3">
                  <c:v>9-10</c:v>
                </c:pt>
                <c:pt idx="4">
                  <c:v>10-11</c:v>
                </c:pt>
                <c:pt idx="5">
                  <c:v>11-12</c:v>
                </c:pt>
                <c:pt idx="6">
                  <c:v>12-13</c:v>
                </c:pt>
                <c:pt idx="7">
                  <c:v>13-14</c:v>
                </c:pt>
                <c:pt idx="8">
                  <c:v>14-15</c:v>
                </c:pt>
                <c:pt idx="9">
                  <c:v>15-16</c:v>
                </c:pt>
                <c:pt idx="10">
                  <c:v>16-17</c:v>
                </c:pt>
                <c:pt idx="11">
                  <c:v>17-18</c:v>
                </c:pt>
                <c:pt idx="12">
                  <c:v>18-19</c:v>
                </c:pt>
                <c:pt idx="13">
                  <c:v>19-20</c:v>
                </c:pt>
              </c:strCache>
            </c:strRef>
          </c:cat>
          <c:val>
            <c:numRef>
              <c:f>'Peak Shave'!$M$32:$M$45</c:f>
              <c:numCache>
                <c:formatCode>_-* #\ ##0_-;\-\ #\ ##0_-;_-* "-"??_-;_-@_-</c:formatCode>
                <c:ptCount val="14"/>
                <c:pt idx="0">
                  <c:v>600</c:v>
                </c:pt>
                <c:pt idx="1">
                  <c:v>300</c:v>
                </c:pt>
                <c:pt idx="2">
                  <c:v>400</c:v>
                </c:pt>
                <c:pt idx="3">
                  <c:v>0</c:v>
                </c:pt>
                <c:pt idx="4">
                  <c:v>400</c:v>
                </c:pt>
                <c:pt idx="5">
                  <c:v>400</c:v>
                </c:pt>
                <c:pt idx="6">
                  <c:v>300</c:v>
                </c:pt>
                <c:pt idx="7">
                  <c:v>0</c:v>
                </c:pt>
                <c:pt idx="8">
                  <c:v>0</c:v>
                </c:pt>
                <c:pt idx="9">
                  <c:v>600</c:v>
                </c:pt>
                <c:pt idx="10">
                  <c:v>500</c:v>
                </c:pt>
                <c:pt idx="11">
                  <c:v>300</c:v>
                </c:pt>
                <c:pt idx="12">
                  <c:v>0</c:v>
                </c:pt>
                <c:pt idx="1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A9-4FFF-A172-4A8216D41441}"/>
            </c:ext>
          </c:extLst>
        </c:ser>
        <c:ser>
          <c:idx val="3"/>
          <c:order val="2"/>
          <c:tx>
            <c:strRef>
              <c:f>'Peak Shave'!$N$29</c:f>
              <c:strCache>
                <c:ptCount val="1"/>
                <c:pt idx="0">
                  <c:v>BESS charge (negativ verdi)</c:v>
                </c:pt>
              </c:strCache>
            </c:strRef>
          </c:tx>
          <c:spPr>
            <a:pattFill prst="ltUpDiag">
              <a:fgClr>
                <a:schemeClr val="accent5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'Peak Shave'!$B$32:$B$45</c:f>
              <c:strCache>
                <c:ptCount val="14"/>
                <c:pt idx="0">
                  <c:v>6-7</c:v>
                </c:pt>
                <c:pt idx="1">
                  <c:v>7-8</c:v>
                </c:pt>
                <c:pt idx="2">
                  <c:v>8-9</c:v>
                </c:pt>
                <c:pt idx="3">
                  <c:v>9-10</c:v>
                </c:pt>
                <c:pt idx="4">
                  <c:v>10-11</c:v>
                </c:pt>
                <c:pt idx="5">
                  <c:v>11-12</c:v>
                </c:pt>
                <c:pt idx="6">
                  <c:v>12-13</c:v>
                </c:pt>
                <c:pt idx="7">
                  <c:v>13-14</c:v>
                </c:pt>
                <c:pt idx="8">
                  <c:v>14-15</c:v>
                </c:pt>
                <c:pt idx="9">
                  <c:v>15-16</c:v>
                </c:pt>
                <c:pt idx="10">
                  <c:v>16-17</c:v>
                </c:pt>
                <c:pt idx="11">
                  <c:v>17-18</c:v>
                </c:pt>
                <c:pt idx="12">
                  <c:v>18-19</c:v>
                </c:pt>
                <c:pt idx="13">
                  <c:v>19-20</c:v>
                </c:pt>
              </c:strCache>
            </c:strRef>
          </c:cat>
          <c:val>
            <c:numRef>
              <c:f>'Peak Shave'!$N$32:$N$45</c:f>
              <c:numCache>
                <c:formatCode>_-* #\ ##0_-;\-\ #\ ##0_-;_-*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-700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-1000</c:v>
                </c:pt>
                <c:pt idx="8">
                  <c:v>-680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A9-4FFF-A172-4A8216D41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989169119"/>
        <c:axId val="989168287"/>
      </c:barChart>
      <c:lineChart>
        <c:grouping val="standard"/>
        <c:varyColors val="0"/>
        <c:ser>
          <c:idx val="0"/>
          <c:order val="3"/>
          <c:tx>
            <c:strRef>
              <c:f>'Peak Shave'!$C$29</c:f>
              <c:strCache>
                <c:ptCount val="1"/>
                <c:pt idx="0">
                  <c:v>Forbruk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'Peak Shave'!$C$32:$C$45</c:f>
              <c:numCache>
                <c:formatCode>_-* #\ ##0_-;\-* #\ ##0_-;_-* "-"??_-;_-@_-</c:formatCode>
                <c:ptCount val="14"/>
                <c:pt idx="0">
                  <c:v>1800</c:v>
                </c:pt>
                <c:pt idx="1">
                  <c:v>1500</c:v>
                </c:pt>
                <c:pt idx="2">
                  <c:v>1600</c:v>
                </c:pt>
                <c:pt idx="3">
                  <c:v>500</c:v>
                </c:pt>
                <c:pt idx="4">
                  <c:v>1600</c:v>
                </c:pt>
                <c:pt idx="5">
                  <c:v>1600</c:v>
                </c:pt>
                <c:pt idx="6">
                  <c:v>1500</c:v>
                </c:pt>
                <c:pt idx="7">
                  <c:v>0</c:v>
                </c:pt>
                <c:pt idx="8">
                  <c:v>0</c:v>
                </c:pt>
                <c:pt idx="9">
                  <c:v>1800</c:v>
                </c:pt>
                <c:pt idx="10">
                  <c:v>1700</c:v>
                </c:pt>
                <c:pt idx="11">
                  <c:v>1500</c:v>
                </c:pt>
                <c:pt idx="12">
                  <c:v>0</c:v>
                </c:pt>
                <c:pt idx="13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A9-4FFF-A172-4A8216D41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169119"/>
        <c:axId val="989168287"/>
      </c:lineChart>
      <c:catAx>
        <c:axId val="98916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89168287"/>
        <c:crosses val="autoZero"/>
        <c:auto val="1"/>
        <c:lblAlgn val="ctr"/>
        <c:lblOffset val="100"/>
        <c:noMultiLvlLbl val="0"/>
      </c:catAx>
      <c:valAx>
        <c:axId val="98916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\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8916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Målsatt (maksimal) batteribruk vs</a:t>
            </a:r>
            <a:r>
              <a:rPr lang="en-GB" b="1" baseline="0"/>
              <a:t> valgt batteristørrelse</a:t>
            </a:r>
          </a:p>
          <a:p>
            <a:pPr algn="l">
              <a:defRPr/>
            </a:pPr>
            <a:r>
              <a:rPr lang="en-GB" baseline="0"/>
              <a:t>kWt</a:t>
            </a:r>
            <a:endParaRPr lang="en-GB"/>
          </a:p>
        </c:rich>
      </c:tx>
      <c:layout>
        <c:manualLayout>
          <c:xMode val="edge"/>
          <c:yMode val="edge"/>
          <c:x val="1.7279575373849491E-2"/>
          <c:y val="2.58841045024284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7.0902081551345808E-2"/>
          <c:y val="0.24998097252080728"/>
          <c:w val="0.90919900833062106"/>
          <c:h val="0.57038088915117546"/>
        </c:manualLayout>
      </c:layout>
      <c:barChart>
        <c:barDir val="col"/>
        <c:grouping val="stacked"/>
        <c:varyColors val="0"/>
        <c:ser>
          <c:idx val="2"/>
          <c:order val="2"/>
          <c:tx>
            <c:v>Målsatt peak shave</c:v>
          </c:tx>
          <c:spPr>
            <a:pattFill prst="ltUpDiag">
              <a:fgClr>
                <a:srgbClr val="70AD47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'Peak Shave'!$Q$32:$Q$45</c:f>
              <c:numCache>
                <c:formatCode>_-* #\ ##0_-;\-\ #\ ##0_-;_-* "-"??_-;_-@_-</c:formatCode>
                <c:ptCount val="14"/>
                <c:pt idx="0">
                  <c:v>600</c:v>
                </c:pt>
                <c:pt idx="1">
                  <c:v>300</c:v>
                </c:pt>
                <c:pt idx="2">
                  <c:v>400</c:v>
                </c:pt>
                <c:pt idx="3">
                  <c:v>0</c:v>
                </c:pt>
                <c:pt idx="4">
                  <c:v>400</c:v>
                </c:pt>
                <c:pt idx="5">
                  <c:v>400</c:v>
                </c:pt>
                <c:pt idx="6">
                  <c:v>300</c:v>
                </c:pt>
                <c:pt idx="7">
                  <c:v>0</c:v>
                </c:pt>
                <c:pt idx="8">
                  <c:v>0</c:v>
                </c:pt>
                <c:pt idx="9">
                  <c:v>600</c:v>
                </c:pt>
                <c:pt idx="10">
                  <c:v>500</c:v>
                </c:pt>
                <c:pt idx="11">
                  <c:v>300</c:v>
                </c:pt>
                <c:pt idx="12">
                  <c:v>0</c:v>
                </c:pt>
                <c:pt idx="1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E-444D-B127-9EF23CC923A2}"/>
            </c:ext>
          </c:extLst>
        </c:ser>
        <c:ser>
          <c:idx val="3"/>
          <c:order val="3"/>
          <c:tx>
            <c:v>Maksimal oppladning</c:v>
          </c:tx>
          <c:spPr>
            <a:pattFill prst="ltUpDiag">
              <a:fgClr>
                <a:schemeClr val="accent5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'Peak Shave'!$R$32:$R$45</c:f>
              <c:numCache>
                <c:formatCode>_-* #\ ##0_-;\-\ #\ ##0_-;_-*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-700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-1000</c:v>
                </c:pt>
                <c:pt idx="8">
                  <c:v>-700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-1000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FE-444D-B127-9EF23CC92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23916095"/>
        <c:axId val="623908607"/>
      </c:barChart>
      <c:lineChart>
        <c:grouping val="standard"/>
        <c:varyColors val="0"/>
        <c:ser>
          <c:idx val="0"/>
          <c:order val="0"/>
          <c:tx>
            <c:v>Målsatt batteribruk (akkumulert)</c:v>
          </c:tx>
          <c:spPr>
            <a:ln w="28575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noFill/>
              </a:ln>
              <a:effectLst/>
            </c:spPr>
          </c:marker>
          <c:cat>
            <c:strRef>
              <c:f>'Peak Shave'!$B$32:$B$45</c:f>
              <c:strCache>
                <c:ptCount val="14"/>
                <c:pt idx="0">
                  <c:v>6-7</c:v>
                </c:pt>
                <c:pt idx="1">
                  <c:v>7-8</c:v>
                </c:pt>
                <c:pt idx="2">
                  <c:v>8-9</c:v>
                </c:pt>
                <c:pt idx="3">
                  <c:v>9-10</c:v>
                </c:pt>
                <c:pt idx="4">
                  <c:v>10-11</c:v>
                </c:pt>
                <c:pt idx="5">
                  <c:v>11-12</c:v>
                </c:pt>
                <c:pt idx="6">
                  <c:v>12-13</c:v>
                </c:pt>
                <c:pt idx="7">
                  <c:v>13-14</c:v>
                </c:pt>
                <c:pt idx="8">
                  <c:v>14-15</c:v>
                </c:pt>
                <c:pt idx="9">
                  <c:v>15-16</c:v>
                </c:pt>
                <c:pt idx="10">
                  <c:v>16-17</c:v>
                </c:pt>
                <c:pt idx="11">
                  <c:v>17-18</c:v>
                </c:pt>
                <c:pt idx="12">
                  <c:v>18-19</c:v>
                </c:pt>
                <c:pt idx="13">
                  <c:v>19-20</c:v>
                </c:pt>
              </c:strCache>
            </c:strRef>
          </c:cat>
          <c:val>
            <c:numRef>
              <c:f>'Peak Shave'!$J$32:$J$45</c:f>
              <c:numCache>
                <c:formatCode>_-* #\ ##0_-;\-\ #\ ##0_-;_-* "-"??_-;_-@_-</c:formatCode>
                <c:ptCount val="14"/>
                <c:pt idx="0">
                  <c:v>600</c:v>
                </c:pt>
                <c:pt idx="1">
                  <c:v>900</c:v>
                </c:pt>
                <c:pt idx="2">
                  <c:v>1300</c:v>
                </c:pt>
                <c:pt idx="3">
                  <c:v>600</c:v>
                </c:pt>
                <c:pt idx="4">
                  <c:v>1000</c:v>
                </c:pt>
                <c:pt idx="5">
                  <c:v>1400</c:v>
                </c:pt>
                <c:pt idx="6">
                  <c:v>1700</c:v>
                </c:pt>
                <c:pt idx="7">
                  <c:v>700</c:v>
                </c:pt>
                <c:pt idx="8">
                  <c:v>0</c:v>
                </c:pt>
                <c:pt idx="9">
                  <c:v>600</c:v>
                </c:pt>
                <c:pt idx="10">
                  <c:v>1100</c:v>
                </c:pt>
                <c:pt idx="11">
                  <c:v>1400</c:v>
                </c:pt>
                <c:pt idx="12">
                  <c:v>400</c:v>
                </c:pt>
                <c:pt idx="1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FE-444D-B127-9EF23CC923A2}"/>
            </c:ext>
          </c:extLst>
        </c:ser>
        <c:ser>
          <c:idx val="1"/>
          <c:order val="1"/>
          <c:tx>
            <c:v>Valgt netto batterikapasitet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'Peak Shave'!$B$32:$B$45</c:f>
              <c:strCache>
                <c:ptCount val="14"/>
                <c:pt idx="0">
                  <c:v>6-7</c:v>
                </c:pt>
                <c:pt idx="1">
                  <c:v>7-8</c:v>
                </c:pt>
                <c:pt idx="2">
                  <c:v>8-9</c:v>
                </c:pt>
                <c:pt idx="3">
                  <c:v>9-10</c:v>
                </c:pt>
                <c:pt idx="4">
                  <c:v>10-11</c:v>
                </c:pt>
                <c:pt idx="5">
                  <c:v>11-12</c:v>
                </c:pt>
                <c:pt idx="6">
                  <c:v>12-13</c:v>
                </c:pt>
                <c:pt idx="7">
                  <c:v>13-14</c:v>
                </c:pt>
                <c:pt idx="8">
                  <c:v>14-15</c:v>
                </c:pt>
                <c:pt idx="9">
                  <c:v>15-16</c:v>
                </c:pt>
                <c:pt idx="10">
                  <c:v>16-17</c:v>
                </c:pt>
                <c:pt idx="11">
                  <c:v>17-18</c:v>
                </c:pt>
                <c:pt idx="12">
                  <c:v>18-19</c:v>
                </c:pt>
                <c:pt idx="13">
                  <c:v>19-20</c:v>
                </c:pt>
              </c:strCache>
            </c:strRef>
          </c:cat>
          <c:val>
            <c:numRef>
              <c:f>'Peak Shave'!$O$32:$O$45</c:f>
              <c:numCache>
                <c:formatCode>_-* #\ ##0_-;\-* #\ ##0_-;_-* "-"??_-;_-@_-</c:formatCode>
                <c:ptCount val="14"/>
                <c:pt idx="0">
                  <c:v>1720</c:v>
                </c:pt>
                <c:pt idx="1">
                  <c:v>1720</c:v>
                </c:pt>
                <c:pt idx="2">
                  <c:v>1720</c:v>
                </c:pt>
                <c:pt idx="3">
                  <c:v>1720</c:v>
                </c:pt>
                <c:pt idx="4">
                  <c:v>1720</c:v>
                </c:pt>
                <c:pt idx="5">
                  <c:v>1720</c:v>
                </c:pt>
                <c:pt idx="6">
                  <c:v>1720</c:v>
                </c:pt>
                <c:pt idx="7">
                  <c:v>1720</c:v>
                </c:pt>
                <c:pt idx="8">
                  <c:v>1720</c:v>
                </c:pt>
                <c:pt idx="9">
                  <c:v>1720</c:v>
                </c:pt>
                <c:pt idx="10">
                  <c:v>1720</c:v>
                </c:pt>
                <c:pt idx="11">
                  <c:v>1720</c:v>
                </c:pt>
                <c:pt idx="12">
                  <c:v>1720</c:v>
                </c:pt>
                <c:pt idx="13">
                  <c:v>1720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FE-444D-B127-9EF23CC92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916095"/>
        <c:axId val="623908607"/>
      </c:lineChart>
      <c:catAx>
        <c:axId val="62391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23908607"/>
        <c:crosses val="autoZero"/>
        <c:auto val="1"/>
        <c:lblAlgn val="ctr"/>
        <c:lblOffset val="100"/>
        <c:noMultiLvlLbl val="0"/>
      </c:catAx>
      <c:valAx>
        <c:axId val="62390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2391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254375</xdr:colOff>
      <xdr:row>27</xdr:row>
      <xdr:rowOff>142875</xdr:rowOff>
    </xdr:from>
    <xdr:to>
      <xdr:col>22</xdr:col>
      <xdr:colOff>590550</xdr:colOff>
      <xdr:row>45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4F682A-CAC0-45B1-89C2-09C5981E1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268941</xdr:colOff>
      <xdr:row>2</xdr:row>
      <xdr:rowOff>140072</xdr:rowOff>
    </xdr:from>
    <xdr:to>
      <xdr:col>22</xdr:col>
      <xdr:colOff>571500</xdr:colOff>
      <xdr:row>26</xdr:row>
      <xdr:rowOff>238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EA4702-188E-4B95-9915-821F6F885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62E20-2363-4D69-AA1E-812FC4A8EC8D}">
  <dimension ref="B1:F10"/>
  <sheetViews>
    <sheetView topLeftCell="D1" zoomScale="115" zoomScaleNormal="115" workbookViewId="0">
      <selection activeCell="D3" sqref="D3"/>
    </sheetView>
  </sheetViews>
  <sheetFormatPr defaultColWidth="11.42578125" defaultRowHeight="12.75" x14ac:dyDescent="0.2"/>
  <cols>
    <col min="1" max="1" width="3.5703125" style="2" customWidth="1"/>
    <col min="2" max="2" width="12.5703125" style="98" customWidth="1"/>
    <col min="3" max="3" width="15.42578125" style="98" customWidth="1"/>
    <col min="4" max="4" width="61.42578125" style="98" customWidth="1"/>
    <col min="5" max="5" width="18.28515625" style="98" bestFit="1" customWidth="1"/>
    <col min="6" max="6" width="52.85546875" style="98" customWidth="1"/>
    <col min="7" max="16384" width="11.42578125" style="2"/>
  </cols>
  <sheetData>
    <row r="1" spans="2:6" x14ac:dyDescent="0.2">
      <c r="E1" s="99"/>
    </row>
    <row r="2" spans="2:6" x14ac:dyDescent="0.2">
      <c r="B2" s="104" t="s">
        <v>57</v>
      </c>
      <c r="C2" s="104" t="s">
        <v>58</v>
      </c>
      <c r="D2" s="104" t="s">
        <v>125</v>
      </c>
      <c r="E2" s="106" t="s">
        <v>129</v>
      </c>
      <c r="F2" s="104" t="s">
        <v>59</v>
      </c>
    </row>
    <row r="3" spans="2:6" x14ac:dyDescent="0.2">
      <c r="B3" s="100" t="s">
        <v>76</v>
      </c>
      <c r="C3" s="101" t="s">
        <v>123</v>
      </c>
      <c r="D3" s="101" t="s">
        <v>124</v>
      </c>
      <c r="E3" s="83">
        <f>+'Månedlig kontantstrøm'!P6</f>
        <v>532800</v>
      </c>
      <c r="F3" s="105" t="s">
        <v>127</v>
      </c>
    </row>
    <row r="4" spans="2:6" ht="38.25" x14ac:dyDescent="0.2">
      <c r="B4" s="100" t="s">
        <v>126</v>
      </c>
      <c r="C4" s="101" t="s">
        <v>74</v>
      </c>
      <c r="D4" s="101" t="s">
        <v>132</v>
      </c>
      <c r="E4" s="83">
        <f>+'Månedlig kontantstrøm'!P8</f>
        <v>74006.15812776002</v>
      </c>
      <c r="F4" s="105" t="s">
        <v>128</v>
      </c>
    </row>
    <row r="5" spans="2:6" ht="25.5" x14ac:dyDescent="0.2">
      <c r="B5" s="100" t="s">
        <v>73</v>
      </c>
      <c r="C5" s="101" t="s">
        <v>74</v>
      </c>
      <c r="D5" s="101" t="s">
        <v>75</v>
      </c>
      <c r="E5" s="83">
        <f>+'Månedlig kontantstrøm'!P10</f>
        <v>417335</v>
      </c>
      <c r="F5" s="105" t="s">
        <v>131</v>
      </c>
    </row>
    <row r="6" spans="2:6" ht="41.25" customHeight="1" x14ac:dyDescent="0.2">
      <c r="B6" s="100" t="s">
        <v>60</v>
      </c>
      <c r="C6" s="101" t="s">
        <v>61</v>
      </c>
      <c r="D6" s="101" t="s">
        <v>62</v>
      </c>
      <c r="E6" s="83">
        <f>+'Månedlig kontantstrøm'!P11</f>
        <v>134320</v>
      </c>
      <c r="F6" s="105" t="s">
        <v>130</v>
      </c>
    </row>
    <row r="7" spans="2:6" ht="41.25" customHeight="1" x14ac:dyDescent="0.2">
      <c r="B7" s="100" t="s">
        <v>63</v>
      </c>
      <c r="C7" s="101" t="s">
        <v>64</v>
      </c>
      <c r="D7" s="101" t="s">
        <v>65</v>
      </c>
      <c r="E7" s="83">
        <f>+'Månedlig kontantstrøm'!P12</f>
        <v>0</v>
      </c>
      <c r="F7" s="105"/>
    </row>
    <row r="8" spans="2:6" ht="51" x14ac:dyDescent="0.2">
      <c r="B8" s="100" t="s">
        <v>66</v>
      </c>
      <c r="C8" s="101" t="s">
        <v>67</v>
      </c>
      <c r="D8" s="101" t="s">
        <v>68</v>
      </c>
      <c r="E8" s="83">
        <f>+'Månedlig kontantstrøm'!P13</f>
        <v>0</v>
      </c>
      <c r="F8" s="105" t="s">
        <v>69</v>
      </c>
    </row>
    <row r="9" spans="2:6" ht="25.5" x14ac:dyDescent="0.2">
      <c r="B9" s="100" t="s">
        <v>70</v>
      </c>
      <c r="C9" s="101" t="s">
        <v>71</v>
      </c>
      <c r="D9" s="101" t="s">
        <v>72</v>
      </c>
      <c r="E9" s="83">
        <f>+'Månedlig kontantstrøm'!P14</f>
        <v>0</v>
      </c>
      <c r="F9" s="105" t="s">
        <v>133</v>
      </c>
    </row>
    <row r="10" spans="2:6" x14ac:dyDescent="0.2">
      <c r="B10" s="102" t="s">
        <v>104</v>
      </c>
      <c r="C10" s="103"/>
      <c r="D10" s="103"/>
      <c r="E10" s="90">
        <f>+SUM(E3:E9)</f>
        <v>1158461.15812776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2FF46-152B-4B31-A178-2113A8971DEC}">
  <dimension ref="B2:P32"/>
  <sheetViews>
    <sheetView showGridLines="0" zoomScale="115" zoomScaleNormal="115" workbookViewId="0">
      <selection activeCell="P10" sqref="P10"/>
    </sheetView>
  </sheetViews>
  <sheetFormatPr defaultColWidth="9.140625" defaultRowHeight="12.75" x14ac:dyDescent="0.2"/>
  <cols>
    <col min="1" max="1" width="4.5703125" style="2" customWidth="1"/>
    <col min="2" max="2" width="33.28515625" style="2" customWidth="1"/>
    <col min="3" max="3" width="9.140625" style="12"/>
    <col min="4" max="15" width="9.140625" style="2"/>
    <col min="16" max="16" width="10" style="2" bestFit="1" customWidth="1"/>
    <col min="17" max="17" width="3.140625" style="2" customWidth="1"/>
    <col min="18" max="16384" width="9.140625" style="2"/>
  </cols>
  <sheetData>
    <row r="2" spans="2:16" ht="13.5" thickBot="1" x14ac:dyDescent="0.25">
      <c r="B2" s="75" t="s">
        <v>122</v>
      </c>
      <c r="C2" s="73"/>
      <c r="D2" s="68" t="s">
        <v>78</v>
      </c>
      <c r="E2" s="68" t="s">
        <v>79</v>
      </c>
      <c r="F2" s="68" t="s">
        <v>80</v>
      </c>
      <c r="G2" s="68" t="s">
        <v>81</v>
      </c>
      <c r="H2" s="68" t="s">
        <v>82</v>
      </c>
      <c r="I2" s="68" t="s">
        <v>83</v>
      </c>
      <c r="J2" s="68" t="s">
        <v>84</v>
      </c>
      <c r="K2" s="68" t="s">
        <v>85</v>
      </c>
      <c r="L2" s="68" t="s">
        <v>86</v>
      </c>
      <c r="M2" s="68" t="s">
        <v>87</v>
      </c>
      <c r="N2" s="68" t="s">
        <v>88</v>
      </c>
      <c r="O2" s="68" t="s">
        <v>89</v>
      </c>
      <c r="P2" s="69" t="s">
        <v>104</v>
      </c>
    </row>
    <row r="3" spans="2:16" x14ac:dyDescent="0.2">
      <c r="P3" s="70"/>
    </row>
    <row r="4" spans="2:16" x14ac:dyDescent="0.2">
      <c r="B4" s="2" t="s">
        <v>115</v>
      </c>
      <c r="C4" s="12" t="s">
        <v>116</v>
      </c>
      <c r="D4" s="19">
        <v>104</v>
      </c>
      <c r="E4" s="19">
        <v>104</v>
      </c>
      <c r="F4" s="19">
        <v>104</v>
      </c>
      <c r="G4" s="19">
        <v>44</v>
      </c>
      <c r="H4" s="19">
        <v>44</v>
      </c>
      <c r="I4" s="19">
        <v>44</v>
      </c>
      <c r="J4" s="19">
        <v>44</v>
      </c>
      <c r="K4" s="19">
        <v>44</v>
      </c>
      <c r="L4" s="19">
        <v>44</v>
      </c>
      <c r="M4" s="19">
        <v>104</v>
      </c>
      <c r="N4" s="19">
        <v>104</v>
      </c>
      <c r="O4" s="19">
        <v>104</v>
      </c>
      <c r="P4" s="71"/>
    </row>
    <row r="5" spans="2:16" x14ac:dyDescent="0.2">
      <c r="B5" s="2" t="s">
        <v>1</v>
      </c>
      <c r="C5" s="12" t="s">
        <v>117</v>
      </c>
      <c r="D5" s="19">
        <f>+'Peak Shave'!$F$9</f>
        <v>600</v>
      </c>
      <c r="E5" s="19">
        <f>+'Peak Shave'!$F$9</f>
        <v>600</v>
      </c>
      <c r="F5" s="19">
        <f>+'Peak Shave'!$F$9</f>
        <v>600</v>
      </c>
      <c r="G5" s="19">
        <f>+'Peak Shave'!$F$9</f>
        <v>600</v>
      </c>
      <c r="H5" s="19">
        <f>+'Peak Shave'!$F$9</f>
        <v>600</v>
      </c>
      <c r="I5" s="19">
        <f>+'Peak Shave'!$F$9</f>
        <v>600</v>
      </c>
      <c r="J5" s="19">
        <f>+'Peak Shave'!$F$9</f>
        <v>600</v>
      </c>
      <c r="K5" s="19">
        <f>+'Peak Shave'!$F$9</f>
        <v>600</v>
      </c>
      <c r="L5" s="19">
        <f>+'Peak Shave'!$F$9</f>
        <v>600</v>
      </c>
      <c r="M5" s="19">
        <f>+'Peak Shave'!$F$9</f>
        <v>600</v>
      </c>
      <c r="N5" s="19">
        <f>+'Peak Shave'!$F$9</f>
        <v>600</v>
      </c>
      <c r="O5" s="19">
        <f>+'Peak Shave'!$F$9</f>
        <v>600</v>
      </c>
      <c r="P5" s="71"/>
    </row>
    <row r="6" spans="2:16" s="66" customFormat="1" x14ac:dyDescent="0.2">
      <c r="B6" s="95" t="s">
        <v>118</v>
      </c>
      <c r="C6" s="84" t="s">
        <v>103</v>
      </c>
      <c r="D6" s="85">
        <f>+D4*D5</f>
        <v>62400</v>
      </c>
      <c r="E6" s="85">
        <f t="shared" ref="E6:O6" si="0">+E4*E5</f>
        <v>62400</v>
      </c>
      <c r="F6" s="85">
        <f t="shared" si="0"/>
        <v>62400</v>
      </c>
      <c r="G6" s="85">
        <f t="shared" si="0"/>
        <v>26400</v>
      </c>
      <c r="H6" s="85">
        <f t="shared" si="0"/>
        <v>26400</v>
      </c>
      <c r="I6" s="85">
        <f t="shared" si="0"/>
        <v>26400</v>
      </c>
      <c r="J6" s="85">
        <f t="shared" si="0"/>
        <v>26400</v>
      </c>
      <c r="K6" s="85">
        <f t="shared" si="0"/>
        <v>26400</v>
      </c>
      <c r="L6" s="85">
        <f t="shared" si="0"/>
        <v>26400</v>
      </c>
      <c r="M6" s="85">
        <f t="shared" si="0"/>
        <v>62400</v>
      </c>
      <c r="N6" s="85">
        <f t="shared" si="0"/>
        <v>62400</v>
      </c>
      <c r="O6" s="85">
        <f t="shared" si="0"/>
        <v>62400</v>
      </c>
      <c r="P6" s="86">
        <f>+SUM(D6:O6)</f>
        <v>532800</v>
      </c>
    </row>
    <row r="7" spans="2:16" x14ac:dyDescent="0.2"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71"/>
    </row>
    <row r="8" spans="2:16" x14ac:dyDescent="0.2">
      <c r="B8" s="95" t="s">
        <v>119</v>
      </c>
      <c r="C8" s="84" t="s">
        <v>103</v>
      </c>
      <c r="D8" s="97">
        <v>13141.463792639997</v>
      </c>
      <c r="E8" s="97">
        <v>6366.3655980000021</v>
      </c>
      <c r="F8" s="97">
        <v>4897.3725732000003</v>
      </c>
      <c r="G8" s="97">
        <v>2287.6977853200028</v>
      </c>
      <c r="H8" s="97">
        <v>6354.981337199999</v>
      </c>
      <c r="I8" s="97">
        <v>10279.57823352</v>
      </c>
      <c r="J8" s="97">
        <v>10517.998525199999</v>
      </c>
      <c r="K8" s="97">
        <v>2387.2442079600046</v>
      </c>
      <c r="L8" s="97">
        <v>2844.5551389600014</v>
      </c>
      <c r="M8" s="97">
        <v>3325.824764280002</v>
      </c>
      <c r="N8" s="97">
        <v>6195.5852211600022</v>
      </c>
      <c r="O8" s="97">
        <v>5407.4909503200015</v>
      </c>
      <c r="P8" s="86">
        <f>+SUM(D8:O8)</f>
        <v>74006.15812776002</v>
      </c>
    </row>
    <row r="9" spans="2:16" x14ac:dyDescent="0.2"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71"/>
    </row>
    <row r="10" spans="2:16" x14ac:dyDescent="0.2">
      <c r="B10" s="2" t="s">
        <v>73</v>
      </c>
      <c r="C10" s="12" t="s">
        <v>103</v>
      </c>
      <c r="D10" s="19">
        <f>+'Markedsdeltakelse - Plan 2'!D30</f>
        <v>48530</v>
      </c>
      <c r="E10" s="19">
        <f>+'Markedsdeltakelse - Plan 2'!E30</f>
        <v>46230</v>
      </c>
      <c r="F10" s="19">
        <f>+'Markedsdeltakelse - Plan 2'!F30</f>
        <v>51750</v>
      </c>
      <c r="G10" s="19">
        <f>+'Markedsdeltakelse - Plan 2'!G30</f>
        <v>40273</v>
      </c>
      <c r="H10" s="19">
        <f>+'Markedsdeltakelse - Plan 2'!H30</f>
        <v>41250.5</v>
      </c>
      <c r="I10" s="19">
        <f>+'Markedsdeltakelse - Plan 2'!I30</f>
        <v>0</v>
      </c>
      <c r="J10" s="19">
        <f>+'Markedsdeltakelse - Plan 2'!J30</f>
        <v>0</v>
      </c>
      <c r="K10" s="19">
        <f>+'Markedsdeltakelse - Plan 2'!K30</f>
        <v>0</v>
      </c>
      <c r="L10" s="19">
        <f>+'Markedsdeltakelse - Plan 2'!L30</f>
        <v>41641.5</v>
      </c>
      <c r="M10" s="19">
        <f>+'Markedsdeltakelse - Plan 2'!M30</f>
        <v>48530</v>
      </c>
      <c r="N10" s="19">
        <f>+'Markedsdeltakelse - Plan 2'!N30</f>
        <v>48990</v>
      </c>
      <c r="O10" s="19">
        <f>+'Markedsdeltakelse - Plan 2'!O30</f>
        <v>50140</v>
      </c>
      <c r="P10" s="71">
        <f t="shared" ref="P10:P11" si="1">+SUM(D10:O10)</f>
        <v>417335</v>
      </c>
    </row>
    <row r="11" spans="2:16" x14ac:dyDescent="0.2">
      <c r="B11" s="2" t="s">
        <v>60</v>
      </c>
      <c r="C11" s="12" t="s">
        <v>3</v>
      </c>
      <c r="D11" s="19">
        <f>+'Markedsdeltakelse - Plan 2'!D31</f>
        <v>0</v>
      </c>
      <c r="E11" s="19">
        <f>+'Markedsdeltakelse - Plan 2'!E31</f>
        <v>0</v>
      </c>
      <c r="F11" s="19">
        <f>+'Markedsdeltakelse - Plan 2'!F31</f>
        <v>0</v>
      </c>
      <c r="G11" s="19">
        <f>+'Markedsdeltakelse - Plan 2'!G31</f>
        <v>0</v>
      </c>
      <c r="H11" s="19">
        <f>+'Markedsdeltakelse - Plan 2'!H31</f>
        <v>0</v>
      </c>
      <c r="I11" s="19">
        <f>+'Markedsdeltakelse - Plan 2'!I31</f>
        <v>46000</v>
      </c>
      <c r="J11" s="19">
        <f>+'Markedsdeltakelse - Plan 2'!J31</f>
        <v>43240</v>
      </c>
      <c r="K11" s="19">
        <f>+'Markedsdeltakelse - Plan 2'!K31</f>
        <v>45080</v>
      </c>
      <c r="L11" s="19">
        <f>+'Markedsdeltakelse - Plan 2'!L31</f>
        <v>0</v>
      </c>
      <c r="M11" s="19">
        <f>+'Markedsdeltakelse - Plan 2'!M31</f>
        <v>0</v>
      </c>
      <c r="N11" s="19">
        <f>+'Markedsdeltakelse - Plan 2'!N31</f>
        <v>0</v>
      </c>
      <c r="O11" s="19">
        <f>+'Markedsdeltakelse - Plan 2'!O31</f>
        <v>0</v>
      </c>
      <c r="P11" s="71">
        <f t="shared" si="1"/>
        <v>134320</v>
      </c>
    </row>
    <row r="12" spans="2:16" x14ac:dyDescent="0.2">
      <c r="B12" s="2" t="s">
        <v>63</v>
      </c>
      <c r="C12" s="12" t="s">
        <v>3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71"/>
    </row>
    <row r="13" spans="2:16" x14ac:dyDescent="0.2">
      <c r="B13" s="2" t="s">
        <v>66</v>
      </c>
      <c r="C13" s="12" t="s">
        <v>3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71"/>
    </row>
    <row r="14" spans="2:16" x14ac:dyDescent="0.2">
      <c r="B14" s="2" t="s">
        <v>70</v>
      </c>
      <c r="C14" s="12" t="s">
        <v>3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71"/>
    </row>
    <row r="15" spans="2:16" x14ac:dyDescent="0.2">
      <c r="B15" s="95" t="s">
        <v>120</v>
      </c>
      <c r="C15" s="84" t="s">
        <v>3</v>
      </c>
      <c r="D15" s="85">
        <f>+SUM(D10:D14)</f>
        <v>48530</v>
      </c>
      <c r="E15" s="85">
        <f t="shared" ref="E15:O15" si="2">+SUM(E10:E14)</f>
        <v>46230</v>
      </c>
      <c r="F15" s="85">
        <f t="shared" si="2"/>
        <v>51750</v>
      </c>
      <c r="G15" s="85">
        <f t="shared" si="2"/>
        <v>40273</v>
      </c>
      <c r="H15" s="85">
        <f t="shared" si="2"/>
        <v>41250.5</v>
      </c>
      <c r="I15" s="85">
        <f t="shared" si="2"/>
        <v>46000</v>
      </c>
      <c r="J15" s="85">
        <f t="shared" si="2"/>
        <v>43240</v>
      </c>
      <c r="K15" s="85">
        <f t="shared" si="2"/>
        <v>45080</v>
      </c>
      <c r="L15" s="85">
        <f t="shared" si="2"/>
        <v>41641.5</v>
      </c>
      <c r="M15" s="85">
        <f t="shared" si="2"/>
        <v>48530</v>
      </c>
      <c r="N15" s="85">
        <f t="shared" si="2"/>
        <v>48990</v>
      </c>
      <c r="O15" s="85">
        <f t="shared" si="2"/>
        <v>50140</v>
      </c>
      <c r="P15" s="86">
        <f>+SUM(D15:O15)</f>
        <v>551655</v>
      </c>
    </row>
    <row r="16" spans="2:16" x14ac:dyDescent="0.2"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71"/>
    </row>
    <row r="17" spans="2:16" x14ac:dyDescent="0.2">
      <c r="B17" s="96" t="s">
        <v>121</v>
      </c>
      <c r="C17" s="88" t="s">
        <v>103</v>
      </c>
      <c r="D17" s="89">
        <f>+D6+D8+D15</f>
        <v>124071.46379264</v>
      </c>
      <c r="E17" s="89">
        <f t="shared" ref="E17:O17" si="3">+E6+E8+E15</f>
        <v>114996.365598</v>
      </c>
      <c r="F17" s="89">
        <f t="shared" si="3"/>
        <v>119047.3725732</v>
      </c>
      <c r="G17" s="89">
        <f t="shared" si="3"/>
        <v>68960.697785320008</v>
      </c>
      <c r="H17" s="89">
        <f t="shared" si="3"/>
        <v>74005.481337200006</v>
      </c>
      <c r="I17" s="89">
        <f t="shared" si="3"/>
        <v>82679.578233520006</v>
      </c>
      <c r="J17" s="89">
        <f t="shared" si="3"/>
        <v>80157.998525200004</v>
      </c>
      <c r="K17" s="89">
        <f t="shared" si="3"/>
        <v>73867.24420796</v>
      </c>
      <c r="L17" s="89">
        <f t="shared" si="3"/>
        <v>70886.05513896</v>
      </c>
      <c r="M17" s="89">
        <f t="shared" si="3"/>
        <v>114255.82476428</v>
      </c>
      <c r="N17" s="89">
        <f t="shared" si="3"/>
        <v>117585.58522116</v>
      </c>
      <c r="O17" s="89">
        <f t="shared" si="3"/>
        <v>117947.49095032</v>
      </c>
      <c r="P17" s="90">
        <f>+SUM(D17:O17)</f>
        <v>1158461.15812776</v>
      </c>
    </row>
    <row r="18" spans="2:16" x14ac:dyDescent="0.2"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</row>
    <row r="19" spans="2:16" ht="13.5" customHeight="1" x14ac:dyDescent="0.2"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</row>
    <row r="20" spans="2:16" x14ac:dyDescent="0.2"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</row>
    <row r="21" spans="2:16" x14ac:dyDescent="0.2"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</row>
    <row r="22" spans="2:16" x14ac:dyDescent="0.2"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</row>
    <row r="23" spans="2:16" x14ac:dyDescent="0.2"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</row>
    <row r="24" spans="2:16" x14ac:dyDescent="0.2"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</row>
    <row r="25" spans="2:16" x14ac:dyDescent="0.2"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</row>
    <row r="26" spans="2:16" x14ac:dyDescent="0.2"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</row>
    <row r="27" spans="2:16" x14ac:dyDescent="0.2"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  <row r="28" spans="2:16" x14ac:dyDescent="0.2"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  <row r="29" spans="2:16" x14ac:dyDescent="0.2"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</row>
    <row r="30" spans="2:16" x14ac:dyDescent="0.2"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  <row r="31" spans="2:16" x14ac:dyDescent="0.2"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  <row r="32" spans="2:16" x14ac:dyDescent="0.2"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58C74-53E1-414F-AE40-9E98C1940D46}">
  <dimension ref="B2:Y59"/>
  <sheetViews>
    <sheetView showGridLines="0" tabSelected="1" topLeftCell="A26" zoomScaleNormal="100" workbookViewId="0">
      <selection activeCell="H26" sqref="H26"/>
    </sheetView>
  </sheetViews>
  <sheetFormatPr defaultColWidth="9.140625" defaultRowHeight="12.75" outlineLevelRow="1" x14ac:dyDescent="0.2"/>
  <cols>
    <col min="1" max="1" width="2.42578125" style="2" customWidth="1"/>
    <col min="2" max="2" width="13.140625" style="2" customWidth="1"/>
    <col min="3" max="3" width="7.85546875" style="2" customWidth="1"/>
    <col min="4" max="4" width="9.5703125" style="2" bestFit="1" customWidth="1"/>
    <col min="5" max="6" width="10.140625" style="2" bestFit="1" customWidth="1"/>
    <col min="7" max="7" width="7.28515625" style="2" customWidth="1"/>
    <col min="8" max="8" width="13.42578125" style="2" customWidth="1"/>
    <col min="9" max="9" width="17.7109375" style="2" bestFit="1" customWidth="1"/>
    <col min="10" max="10" width="10.28515625" style="2" customWidth="1"/>
    <col min="11" max="11" width="4.28515625" style="2" customWidth="1"/>
    <col min="12" max="16384" width="9.140625" style="2"/>
  </cols>
  <sheetData>
    <row r="2" spans="2:23" x14ac:dyDescent="0.2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4" spans="2:23" x14ac:dyDescent="0.2">
      <c r="B4" s="3" t="s">
        <v>1</v>
      </c>
      <c r="C4" s="4"/>
      <c r="D4" s="4"/>
      <c r="E4" s="4"/>
      <c r="F4" s="5"/>
      <c r="H4" s="6"/>
      <c r="I4" s="6"/>
      <c r="J4" s="6"/>
    </row>
    <row r="5" spans="2:23" x14ac:dyDescent="0.2">
      <c r="B5" s="7" t="s">
        <v>134</v>
      </c>
      <c r="C5" s="8"/>
      <c r="D5" s="8"/>
      <c r="E5" s="9" t="s">
        <v>2</v>
      </c>
      <c r="F5" s="10">
        <f>+MAX(C32:C45)</f>
        <v>1800</v>
      </c>
      <c r="H5" s="6"/>
      <c r="I5" s="6"/>
      <c r="J5" s="6"/>
    </row>
    <row r="6" spans="2:23" x14ac:dyDescent="0.2">
      <c r="B6" s="11" t="s">
        <v>136</v>
      </c>
      <c r="E6" s="12" t="s">
        <v>3</v>
      </c>
      <c r="F6" s="13">
        <v>1200</v>
      </c>
      <c r="H6" s="6"/>
      <c r="I6" s="6"/>
      <c r="J6" s="6"/>
    </row>
    <row r="7" spans="2:23" x14ac:dyDescent="0.2">
      <c r="B7" s="14" t="s">
        <v>135</v>
      </c>
      <c r="C7" s="15"/>
      <c r="D7" s="15"/>
      <c r="E7" s="16" t="s">
        <v>3</v>
      </c>
      <c r="F7" s="17">
        <f>+F5-F6</f>
        <v>600</v>
      </c>
      <c r="H7" s="6"/>
      <c r="I7" s="6"/>
      <c r="J7" s="6"/>
    </row>
    <row r="8" spans="2:23" x14ac:dyDescent="0.2">
      <c r="B8" s="11" t="s">
        <v>137</v>
      </c>
      <c r="E8" s="12" t="s">
        <v>3</v>
      </c>
      <c r="F8" s="18">
        <f>+MAX(F32:F45)</f>
        <v>1200</v>
      </c>
      <c r="H8" s="6"/>
      <c r="I8" s="6"/>
      <c r="J8" s="6"/>
    </row>
    <row r="9" spans="2:23" x14ac:dyDescent="0.2">
      <c r="B9" s="11" t="s">
        <v>4</v>
      </c>
      <c r="E9" s="12" t="s">
        <v>3</v>
      </c>
      <c r="F9" s="18">
        <f>+F5-F8</f>
        <v>600</v>
      </c>
      <c r="H9" s="6"/>
      <c r="I9" s="6"/>
      <c r="J9" s="6"/>
    </row>
    <row r="10" spans="2:23" x14ac:dyDescent="0.2">
      <c r="B10" s="14" t="s">
        <v>5</v>
      </c>
      <c r="C10" s="15"/>
      <c r="D10" s="15" t="s">
        <v>138</v>
      </c>
      <c r="E10" s="16" t="s">
        <v>3</v>
      </c>
      <c r="F10" s="17">
        <f>+F6-F8</f>
        <v>0</v>
      </c>
      <c r="H10" s="6"/>
      <c r="I10" s="6"/>
      <c r="J10" s="6"/>
    </row>
    <row r="11" spans="2:23" x14ac:dyDescent="0.2">
      <c r="E11" s="12"/>
      <c r="F11" s="19"/>
      <c r="H11" s="6"/>
      <c r="I11" s="6"/>
      <c r="J11" s="6"/>
    </row>
    <row r="12" spans="2:23" x14ac:dyDescent="0.2">
      <c r="B12" s="3" t="s">
        <v>6</v>
      </c>
      <c r="C12" s="4"/>
      <c r="D12" s="4"/>
      <c r="E12" s="4"/>
      <c r="F12" s="5"/>
      <c r="H12" s="6"/>
      <c r="I12" s="6"/>
      <c r="J12" s="6"/>
    </row>
    <row r="13" spans="2:23" x14ac:dyDescent="0.2">
      <c r="B13" s="11" t="s">
        <v>139</v>
      </c>
      <c r="E13" s="12" t="s">
        <v>2</v>
      </c>
      <c r="F13" s="13">
        <v>1000</v>
      </c>
      <c r="H13" s="6"/>
      <c r="I13" s="6"/>
      <c r="J13" s="6"/>
    </row>
    <row r="14" spans="2:23" x14ac:dyDescent="0.2">
      <c r="B14" s="11" t="s">
        <v>140</v>
      </c>
      <c r="E14" s="12" t="s">
        <v>7</v>
      </c>
      <c r="F14" s="20">
        <f>MAX(J32:J45)</f>
        <v>1700</v>
      </c>
      <c r="G14" s="21" t="s">
        <v>145</v>
      </c>
      <c r="I14" s="6"/>
      <c r="J14" s="6"/>
    </row>
    <row r="15" spans="2:23" x14ac:dyDescent="0.2">
      <c r="B15" s="11" t="s">
        <v>141</v>
      </c>
      <c r="E15" s="12" t="s">
        <v>3</v>
      </c>
      <c r="F15" s="13">
        <v>2150</v>
      </c>
      <c r="G15" s="6"/>
      <c r="I15" s="6"/>
      <c r="J15" s="6"/>
    </row>
    <row r="16" spans="2:23" x14ac:dyDescent="0.2">
      <c r="B16" s="11" t="s">
        <v>142</v>
      </c>
      <c r="E16" s="12" t="s">
        <v>8</v>
      </c>
      <c r="F16" s="22">
        <v>0.8</v>
      </c>
      <c r="G16" s="21" t="s">
        <v>9</v>
      </c>
      <c r="I16" s="6"/>
      <c r="J16" s="6"/>
    </row>
    <row r="17" spans="2:19" x14ac:dyDescent="0.2">
      <c r="B17" s="11" t="s">
        <v>143</v>
      </c>
      <c r="E17" s="12" t="s">
        <v>7</v>
      </c>
      <c r="F17" s="20">
        <f>+F15*F16</f>
        <v>1720</v>
      </c>
      <c r="H17" s="6"/>
      <c r="I17" s="6"/>
      <c r="J17" s="6"/>
    </row>
    <row r="18" spans="2:19" x14ac:dyDescent="0.2">
      <c r="B18" s="14" t="s">
        <v>144</v>
      </c>
      <c r="C18" s="15"/>
      <c r="D18" s="15"/>
      <c r="E18" s="16" t="s">
        <v>3</v>
      </c>
      <c r="F18" s="17">
        <f>+F17-F14</f>
        <v>20</v>
      </c>
      <c r="H18" s="6"/>
      <c r="I18" s="6"/>
      <c r="J18" s="6"/>
    </row>
    <row r="19" spans="2:19" x14ac:dyDescent="0.2">
      <c r="E19" s="12"/>
      <c r="H19" s="6"/>
      <c r="I19" s="6"/>
      <c r="J19" s="6"/>
    </row>
    <row r="20" spans="2:19" x14ac:dyDescent="0.2">
      <c r="B20" s="3" t="s">
        <v>10</v>
      </c>
      <c r="C20" s="4"/>
      <c r="D20" s="4"/>
      <c r="E20" s="4"/>
      <c r="F20" s="5"/>
      <c r="H20" s="6"/>
      <c r="I20" s="6"/>
      <c r="J20" s="6"/>
    </row>
    <row r="21" spans="2:19" x14ac:dyDescent="0.2">
      <c r="B21" s="11" t="s">
        <v>11</v>
      </c>
      <c r="E21" s="12" t="s">
        <v>7</v>
      </c>
      <c r="F21" s="18">
        <f>-SUM(D32:D45)</f>
        <v>4100</v>
      </c>
      <c r="H21" s="6"/>
      <c r="I21" s="6"/>
      <c r="J21" s="6"/>
    </row>
    <row r="22" spans="2:19" x14ac:dyDescent="0.2">
      <c r="B22" s="11" t="s">
        <v>12</v>
      </c>
      <c r="E22" s="12" t="s">
        <v>3</v>
      </c>
      <c r="F22" s="18">
        <f>SUM(E32:E46)</f>
        <v>4100</v>
      </c>
      <c r="H22" s="6"/>
      <c r="I22" s="6"/>
      <c r="J22" s="6"/>
    </row>
    <row r="23" spans="2:19" x14ac:dyDescent="0.2">
      <c r="B23" s="14" t="s">
        <v>146</v>
      </c>
      <c r="C23" s="15"/>
      <c r="D23" s="15"/>
      <c r="E23" s="16" t="s">
        <v>13</v>
      </c>
      <c r="F23" s="23">
        <f>+F22/F15</f>
        <v>1.9069767441860466</v>
      </c>
      <c r="H23" s="6"/>
      <c r="I23" s="6"/>
      <c r="J23" s="6"/>
    </row>
    <row r="24" spans="2:19" x14ac:dyDescent="0.2">
      <c r="B24" s="7" t="s">
        <v>14</v>
      </c>
      <c r="C24" s="8"/>
      <c r="D24" s="8"/>
      <c r="E24" s="9" t="s">
        <v>13</v>
      </c>
      <c r="F24" s="24">
        <v>6000</v>
      </c>
      <c r="H24" s="6"/>
      <c r="I24" s="6"/>
      <c r="J24" s="6"/>
    </row>
    <row r="25" spans="2:19" x14ac:dyDescent="0.2">
      <c r="B25" s="11" t="s">
        <v>15</v>
      </c>
      <c r="E25" s="12" t="s">
        <v>16</v>
      </c>
      <c r="F25" s="25">
        <f>F24/(F23*365*SUMIF(D51:D57,1)/7)</f>
        <v>12.068159037754761</v>
      </c>
      <c r="H25" s="6"/>
      <c r="I25" s="6"/>
      <c r="J25" s="6"/>
    </row>
    <row r="26" spans="2:19" x14ac:dyDescent="0.2">
      <c r="B26" s="14" t="s">
        <v>17</v>
      </c>
      <c r="C26" s="15"/>
      <c r="D26" s="15"/>
      <c r="E26" s="16" t="s">
        <v>8</v>
      </c>
      <c r="F26" s="26">
        <v>0.8</v>
      </c>
      <c r="G26" s="27"/>
      <c r="H26" s="6">
        <v>4</v>
      </c>
      <c r="I26" s="6"/>
      <c r="J26" s="6"/>
    </row>
    <row r="27" spans="2:19" x14ac:dyDescent="0.2">
      <c r="B27" s="27" t="s">
        <v>18</v>
      </c>
    </row>
    <row r="29" spans="2:19" x14ac:dyDescent="0.2">
      <c r="B29" s="28" t="s">
        <v>19</v>
      </c>
      <c r="C29" s="29" t="s">
        <v>20</v>
      </c>
      <c r="D29" s="29" t="s">
        <v>1</v>
      </c>
      <c r="E29" s="29" t="s">
        <v>21</v>
      </c>
      <c r="F29" s="29" t="s">
        <v>22</v>
      </c>
      <c r="G29" s="29" t="s">
        <v>23</v>
      </c>
      <c r="H29" s="30" t="s">
        <v>24</v>
      </c>
      <c r="I29" s="31" t="s">
        <v>25</v>
      </c>
      <c r="J29" s="30" t="s">
        <v>26</v>
      </c>
      <c r="L29" s="32" t="s">
        <v>22</v>
      </c>
      <c r="M29" s="32" t="s">
        <v>1</v>
      </c>
      <c r="N29" s="32" t="s">
        <v>27</v>
      </c>
      <c r="O29" s="32" t="str">
        <f>+B17</f>
        <v>Valgt netto batterikapasitet(chosen net battery capacity)</v>
      </c>
      <c r="Q29" s="31" t="s">
        <v>28</v>
      </c>
      <c r="R29" s="29" t="s">
        <v>29</v>
      </c>
      <c r="S29" s="30" t="s">
        <v>26</v>
      </c>
    </row>
    <row r="30" spans="2:19" x14ac:dyDescent="0.2">
      <c r="B30" s="33"/>
      <c r="C30" s="34" t="s">
        <v>7</v>
      </c>
      <c r="D30" s="34" t="s">
        <v>7</v>
      </c>
      <c r="E30" s="34" t="s">
        <v>7</v>
      </c>
      <c r="F30" s="34" t="s">
        <v>7</v>
      </c>
      <c r="G30" s="34"/>
      <c r="H30" s="35" t="s">
        <v>7</v>
      </c>
      <c r="I30" s="36" t="s">
        <v>7</v>
      </c>
      <c r="J30" s="35" t="s">
        <v>7</v>
      </c>
      <c r="L30" s="37" t="s">
        <v>7</v>
      </c>
      <c r="M30" s="37" t="s">
        <v>7</v>
      </c>
      <c r="N30" s="37" t="s">
        <v>7</v>
      </c>
      <c r="O30" s="32"/>
      <c r="Q30" s="38" t="s">
        <v>7</v>
      </c>
      <c r="R30" s="37" t="s">
        <v>7</v>
      </c>
      <c r="S30" s="39" t="s">
        <v>7</v>
      </c>
    </row>
    <row r="31" spans="2:19" x14ac:dyDescent="0.2">
      <c r="B31" s="40" t="s">
        <v>30</v>
      </c>
      <c r="C31" s="41"/>
      <c r="D31" s="41"/>
      <c r="E31" s="41"/>
      <c r="F31" s="41"/>
      <c r="G31" s="42">
        <f t="shared" ref="G31:G46" si="0">+F31-SUM(C31:E31)</f>
        <v>0</v>
      </c>
      <c r="H31" s="17">
        <f>+F17</f>
        <v>1720</v>
      </c>
      <c r="I31" s="43"/>
      <c r="J31" s="44"/>
      <c r="Q31" s="45"/>
      <c r="R31" s="41"/>
      <c r="S31" s="46"/>
    </row>
    <row r="32" spans="2:19" x14ac:dyDescent="0.2">
      <c r="B32" s="47" t="s">
        <v>31</v>
      </c>
      <c r="C32" s="48">
        <v>1800</v>
      </c>
      <c r="D32" s="19">
        <f>-MAX(0,MIN(H31,(C32-F$6)))</f>
        <v>-600</v>
      </c>
      <c r="E32" s="49"/>
      <c r="F32" s="19">
        <f>+SUM(C32:E32)</f>
        <v>1200</v>
      </c>
      <c r="G32" s="50">
        <f t="shared" si="0"/>
        <v>0</v>
      </c>
      <c r="H32" s="18">
        <f t="shared" ref="H32:H46" si="1">+H31+SUM(D32:E32)</f>
        <v>1120</v>
      </c>
      <c r="I32" s="51">
        <f t="shared" ref="I32:I45" si="2">MAX(MIN(+C32-F$6,F$13),-F$13,-J31)</f>
        <v>600</v>
      </c>
      <c r="J32" s="18">
        <f>+I32</f>
        <v>600</v>
      </c>
      <c r="L32" s="19">
        <f>+F32</f>
        <v>1200</v>
      </c>
      <c r="M32" s="19">
        <f>-D32</f>
        <v>600</v>
      </c>
      <c r="N32" s="19">
        <f>-E32</f>
        <v>0</v>
      </c>
      <c r="O32" s="52">
        <f>+F17</f>
        <v>1720</v>
      </c>
      <c r="Q32" s="51">
        <f>MAX(+I32,0)</f>
        <v>600</v>
      </c>
      <c r="R32" s="19">
        <f t="shared" ref="R32:R39" si="3">MAX(MIN(+I32,0),-S31)</f>
        <v>0</v>
      </c>
      <c r="S32" s="18">
        <f>+Q32+R32</f>
        <v>600</v>
      </c>
    </row>
    <row r="33" spans="2:25" x14ac:dyDescent="0.2">
      <c r="B33" s="47" t="s">
        <v>32</v>
      </c>
      <c r="C33" s="48">
        <v>1500</v>
      </c>
      <c r="D33" s="19">
        <f t="shared" ref="D33:D45" si="4">-MAX(0,MIN(H32,(C33-F$6)))</f>
        <v>-300</v>
      </c>
      <c r="E33" s="19">
        <f>MAX(MIN(+F$6-SUM(C33:D33),F$13,F$17-H32,SUMIF(I34:I$45,"&gt;0")-H32),0)</f>
        <v>0</v>
      </c>
      <c r="F33" s="19">
        <f t="shared" ref="F33:F46" si="5">+SUM(C33:E33)</f>
        <v>1200</v>
      </c>
      <c r="G33" s="50">
        <f t="shared" si="0"/>
        <v>0</v>
      </c>
      <c r="H33" s="18">
        <f t="shared" si="1"/>
        <v>820</v>
      </c>
      <c r="I33" s="51">
        <f t="shared" si="2"/>
        <v>300</v>
      </c>
      <c r="J33" s="18">
        <f>+J32+I33</f>
        <v>900</v>
      </c>
      <c r="L33" s="19">
        <f t="shared" ref="L33:L45" si="6">+F33</f>
        <v>1200</v>
      </c>
      <c r="M33" s="19">
        <f t="shared" ref="M33:N45" si="7">-D33</f>
        <v>300</v>
      </c>
      <c r="N33" s="19">
        <f t="shared" si="7"/>
        <v>0</v>
      </c>
      <c r="O33" s="52">
        <f>+O32</f>
        <v>1720</v>
      </c>
      <c r="Q33" s="51">
        <f t="shared" ref="Q33:Q45" si="8">MAX(+I33,0)</f>
        <v>300</v>
      </c>
      <c r="R33" s="19">
        <f t="shared" si="3"/>
        <v>0</v>
      </c>
      <c r="S33" s="18">
        <f t="shared" ref="S33:S45" si="9">+S32+Q33+R33</f>
        <v>900</v>
      </c>
    </row>
    <row r="34" spans="2:25" x14ac:dyDescent="0.2">
      <c r="B34" s="47" t="s">
        <v>33</v>
      </c>
      <c r="C34" s="48">
        <v>1600</v>
      </c>
      <c r="D34" s="19">
        <f t="shared" si="4"/>
        <v>-400</v>
      </c>
      <c r="E34" s="19">
        <f>MAX(MIN(+F$6-SUM(C34:D34),F$13,F$17-H33,SUMIF(I35:I$45,"&gt;0")-H33),0)</f>
        <v>0</v>
      </c>
      <c r="F34" s="19">
        <f t="shared" si="5"/>
        <v>1200</v>
      </c>
      <c r="G34" s="50">
        <f t="shared" si="0"/>
        <v>0</v>
      </c>
      <c r="H34" s="18">
        <f t="shared" si="1"/>
        <v>420</v>
      </c>
      <c r="I34" s="51">
        <f t="shared" si="2"/>
        <v>400</v>
      </c>
      <c r="J34" s="18">
        <f t="shared" ref="J34:J45" si="10">+J33+I34</f>
        <v>1300</v>
      </c>
      <c r="L34" s="19">
        <f t="shared" si="6"/>
        <v>1200</v>
      </c>
      <c r="M34" s="19">
        <f t="shared" si="7"/>
        <v>400</v>
      </c>
      <c r="N34" s="19">
        <f t="shared" si="7"/>
        <v>0</v>
      </c>
      <c r="O34" s="52">
        <f t="shared" ref="O34:O45" si="11">+O33</f>
        <v>1720</v>
      </c>
      <c r="Q34" s="51">
        <f t="shared" si="8"/>
        <v>400</v>
      </c>
      <c r="R34" s="19">
        <f t="shared" si="3"/>
        <v>0</v>
      </c>
      <c r="S34" s="18">
        <f t="shared" si="9"/>
        <v>1300</v>
      </c>
    </row>
    <row r="35" spans="2:25" x14ac:dyDescent="0.2">
      <c r="B35" s="47" t="s">
        <v>34</v>
      </c>
      <c r="C35" s="48">
        <v>500</v>
      </c>
      <c r="D35" s="19">
        <f t="shared" si="4"/>
        <v>0</v>
      </c>
      <c r="E35" s="19">
        <f>MAX(MIN(+F$6-SUM(C35:D35),F$13,F$17-H34,SUMIF(I36:I$45,"&gt;0")-H34),0)</f>
        <v>700</v>
      </c>
      <c r="F35" s="19">
        <f t="shared" si="5"/>
        <v>1200</v>
      </c>
      <c r="G35" s="50">
        <f t="shared" si="0"/>
        <v>0</v>
      </c>
      <c r="H35" s="18">
        <f t="shared" si="1"/>
        <v>1120</v>
      </c>
      <c r="I35" s="51">
        <f t="shared" si="2"/>
        <v>-700</v>
      </c>
      <c r="J35" s="18">
        <f t="shared" si="10"/>
        <v>600</v>
      </c>
      <c r="L35" s="19">
        <f t="shared" si="6"/>
        <v>1200</v>
      </c>
      <c r="M35" s="19">
        <f t="shared" si="7"/>
        <v>0</v>
      </c>
      <c r="N35" s="19">
        <f t="shared" si="7"/>
        <v>-700</v>
      </c>
      <c r="O35" s="52">
        <f>+O34</f>
        <v>1720</v>
      </c>
      <c r="Q35" s="51">
        <f t="shared" si="8"/>
        <v>0</v>
      </c>
      <c r="R35" s="19">
        <f t="shared" si="3"/>
        <v>-700</v>
      </c>
      <c r="S35" s="18">
        <f t="shared" si="9"/>
        <v>600</v>
      </c>
    </row>
    <row r="36" spans="2:25" x14ac:dyDescent="0.2">
      <c r="B36" s="47" t="s">
        <v>35</v>
      </c>
      <c r="C36" s="48">
        <v>1600</v>
      </c>
      <c r="D36" s="19">
        <f t="shared" si="4"/>
        <v>-400</v>
      </c>
      <c r="E36" s="19">
        <f>MAX(MIN(+F$6-SUM(C36:D36),F$13,F$17-H35,SUMIF(I37:I$45,"&gt;0")-H35),0)</f>
        <v>0</v>
      </c>
      <c r="F36" s="19">
        <f t="shared" si="5"/>
        <v>1200</v>
      </c>
      <c r="G36" s="50">
        <f t="shared" si="0"/>
        <v>0</v>
      </c>
      <c r="H36" s="18">
        <f t="shared" si="1"/>
        <v>720</v>
      </c>
      <c r="I36" s="51">
        <f t="shared" si="2"/>
        <v>400</v>
      </c>
      <c r="J36" s="18">
        <f t="shared" si="10"/>
        <v>1000</v>
      </c>
      <c r="L36" s="19">
        <f t="shared" si="6"/>
        <v>1200</v>
      </c>
      <c r="M36" s="19">
        <f t="shared" si="7"/>
        <v>400</v>
      </c>
      <c r="N36" s="19">
        <f t="shared" si="7"/>
        <v>0</v>
      </c>
      <c r="O36" s="52">
        <f t="shared" si="11"/>
        <v>1720</v>
      </c>
      <c r="Q36" s="51">
        <f t="shared" si="8"/>
        <v>400</v>
      </c>
      <c r="R36" s="19">
        <f t="shared" si="3"/>
        <v>0</v>
      </c>
      <c r="S36" s="18">
        <f t="shared" si="9"/>
        <v>1000</v>
      </c>
    </row>
    <row r="37" spans="2:25" x14ac:dyDescent="0.2">
      <c r="B37" s="47" t="s">
        <v>36</v>
      </c>
      <c r="C37" s="48">
        <v>1600</v>
      </c>
      <c r="D37" s="19">
        <f t="shared" si="4"/>
        <v>-400</v>
      </c>
      <c r="E37" s="19">
        <f>MAX(MIN(+F$6-SUM(C37:D37),F$13,F$17-H36,SUMIF(I38:I$45,"&gt;0")-H36),0)</f>
        <v>0</v>
      </c>
      <c r="F37" s="19">
        <f t="shared" si="5"/>
        <v>1200</v>
      </c>
      <c r="G37" s="50">
        <f t="shared" si="0"/>
        <v>0</v>
      </c>
      <c r="H37" s="18">
        <f t="shared" si="1"/>
        <v>320</v>
      </c>
      <c r="I37" s="51">
        <f t="shared" si="2"/>
        <v>400</v>
      </c>
      <c r="J37" s="18">
        <f t="shared" si="10"/>
        <v>1400</v>
      </c>
      <c r="L37" s="19">
        <f t="shared" si="6"/>
        <v>1200</v>
      </c>
      <c r="M37" s="19">
        <f t="shared" si="7"/>
        <v>400</v>
      </c>
      <c r="N37" s="19">
        <f t="shared" si="7"/>
        <v>0</v>
      </c>
      <c r="O37" s="52">
        <f t="shared" si="11"/>
        <v>1720</v>
      </c>
      <c r="Q37" s="51">
        <f t="shared" si="8"/>
        <v>400</v>
      </c>
      <c r="R37" s="19">
        <f t="shared" si="3"/>
        <v>0</v>
      </c>
      <c r="S37" s="18">
        <f t="shared" si="9"/>
        <v>1400</v>
      </c>
    </row>
    <row r="38" spans="2:25" x14ac:dyDescent="0.2">
      <c r="B38" s="47" t="s">
        <v>37</v>
      </c>
      <c r="C38" s="48">
        <v>1500</v>
      </c>
      <c r="D38" s="19">
        <f t="shared" si="4"/>
        <v>-300</v>
      </c>
      <c r="E38" s="19">
        <f>MAX(MIN(+F$6-SUM(C38:D38),F$13,F$17-H37,SUMIF(I39:I$45,"&gt;0")-H37),0)</f>
        <v>0</v>
      </c>
      <c r="F38" s="19">
        <f t="shared" si="5"/>
        <v>1200</v>
      </c>
      <c r="G38" s="50">
        <f t="shared" si="0"/>
        <v>0</v>
      </c>
      <c r="H38" s="18">
        <f t="shared" si="1"/>
        <v>20</v>
      </c>
      <c r="I38" s="51">
        <f t="shared" si="2"/>
        <v>300</v>
      </c>
      <c r="J38" s="18">
        <f t="shared" si="10"/>
        <v>1700</v>
      </c>
      <c r="L38" s="19">
        <f t="shared" si="6"/>
        <v>1200</v>
      </c>
      <c r="M38" s="19">
        <f t="shared" si="7"/>
        <v>300</v>
      </c>
      <c r="N38" s="19">
        <f t="shared" si="7"/>
        <v>0</v>
      </c>
      <c r="O38" s="52">
        <f t="shared" si="11"/>
        <v>1720</v>
      </c>
      <c r="Q38" s="51">
        <f t="shared" si="8"/>
        <v>300</v>
      </c>
      <c r="R38" s="19">
        <f t="shared" si="3"/>
        <v>0</v>
      </c>
      <c r="S38" s="18">
        <f t="shared" si="9"/>
        <v>1700</v>
      </c>
    </row>
    <row r="39" spans="2:25" x14ac:dyDescent="0.2">
      <c r="B39" s="47" t="s">
        <v>38</v>
      </c>
      <c r="C39" s="48">
        <v>0</v>
      </c>
      <c r="D39" s="19">
        <f t="shared" si="4"/>
        <v>0</v>
      </c>
      <c r="E39" s="19">
        <f>MAX(MIN(+F$6-SUM(C39:D39),F$13,F$17-H38,SUMIF(I40:I$45,"&gt;0")-H38),0)</f>
        <v>1000</v>
      </c>
      <c r="F39" s="19">
        <f t="shared" si="5"/>
        <v>1000</v>
      </c>
      <c r="G39" s="50">
        <f t="shared" si="0"/>
        <v>0</v>
      </c>
      <c r="H39" s="18">
        <f t="shared" si="1"/>
        <v>1020</v>
      </c>
      <c r="I39" s="51">
        <f t="shared" si="2"/>
        <v>-1000</v>
      </c>
      <c r="J39" s="18">
        <f t="shared" si="10"/>
        <v>700</v>
      </c>
      <c r="L39" s="19">
        <f t="shared" si="6"/>
        <v>1000</v>
      </c>
      <c r="M39" s="19">
        <f t="shared" si="7"/>
        <v>0</v>
      </c>
      <c r="N39" s="19">
        <f t="shared" si="7"/>
        <v>-1000</v>
      </c>
      <c r="O39" s="52">
        <f t="shared" si="11"/>
        <v>1720</v>
      </c>
      <c r="Q39" s="51">
        <f t="shared" si="8"/>
        <v>0</v>
      </c>
      <c r="R39" s="19">
        <f t="shared" si="3"/>
        <v>-1000</v>
      </c>
      <c r="S39" s="18">
        <f t="shared" si="9"/>
        <v>700</v>
      </c>
      <c r="Y39" s="19"/>
    </row>
    <row r="40" spans="2:25" x14ac:dyDescent="0.2">
      <c r="B40" s="47" t="s">
        <v>39</v>
      </c>
      <c r="C40" s="48">
        <v>0</v>
      </c>
      <c r="D40" s="19">
        <f t="shared" si="4"/>
        <v>0</v>
      </c>
      <c r="E40" s="19">
        <f>MAX(MIN(+F$6-SUM(C40:D40),F$13,F$17-H39,SUMIF(I41:I$45,"&gt;0")-H39),0)</f>
        <v>680</v>
      </c>
      <c r="F40" s="19">
        <f t="shared" si="5"/>
        <v>680</v>
      </c>
      <c r="G40" s="50">
        <f t="shared" si="0"/>
        <v>0</v>
      </c>
      <c r="H40" s="18">
        <f t="shared" si="1"/>
        <v>1700</v>
      </c>
      <c r="I40" s="51">
        <f t="shared" si="2"/>
        <v>-700</v>
      </c>
      <c r="J40" s="18">
        <f t="shared" si="10"/>
        <v>0</v>
      </c>
      <c r="L40" s="19">
        <f t="shared" si="6"/>
        <v>680</v>
      </c>
      <c r="M40" s="19">
        <f t="shared" si="7"/>
        <v>0</v>
      </c>
      <c r="N40" s="19">
        <f t="shared" si="7"/>
        <v>-680</v>
      </c>
      <c r="O40" s="52">
        <f t="shared" si="11"/>
        <v>1720</v>
      </c>
      <c r="Q40" s="51">
        <f t="shared" si="8"/>
        <v>0</v>
      </c>
      <c r="R40" s="19">
        <f>MAX(MIN(+I40,0),-S39)</f>
        <v>-700</v>
      </c>
      <c r="S40" s="18">
        <f t="shared" si="9"/>
        <v>0</v>
      </c>
      <c r="Y40" s="19"/>
    </row>
    <row r="41" spans="2:25" x14ac:dyDescent="0.2">
      <c r="B41" s="47" t="s">
        <v>40</v>
      </c>
      <c r="C41" s="48">
        <v>1800</v>
      </c>
      <c r="D41" s="19">
        <f t="shared" si="4"/>
        <v>-600</v>
      </c>
      <c r="E41" s="19">
        <f>MAX(MIN(+F$6-SUM(C41:D41),F$13,F$17-H40,SUMIF(I42:I$45,"&gt;0")-H40),0)</f>
        <v>0</v>
      </c>
      <c r="F41" s="19">
        <f t="shared" si="5"/>
        <v>1200</v>
      </c>
      <c r="G41" s="50">
        <f t="shared" si="0"/>
        <v>0</v>
      </c>
      <c r="H41" s="18">
        <f t="shared" si="1"/>
        <v>1100</v>
      </c>
      <c r="I41" s="51">
        <f t="shared" si="2"/>
        <v>600</v>
      </c>
      <c r="J41" s="18">
        <f t="shared" si="10"/>
        <v>600</v>
      </c>
      <c r="L41" s="19">
        <f t="shared" si="6"/>
        <v>1200</v>
      </c>
      <c r="M41" s="19">
        <f t="shared" si="7"/>
        <v>600</v>
      </c>
      <c r="N41" s="19">
        <f t="shared" si="7"/>
        <v>0</v>
      </c>
      <c r="O41" s="52">
        <f t="shared" si="11"/>
        <v>1720</v>
      </c>
      <c r="Q41" s="51">
        <f t="shared" si="8"/>
        <v>600</v>
      </c>
      <c r="R41" s="19">
        <f t="shared" ref="R41:R45" si="12">MAX(MIN(+I41,0),-S40)</f>
        <v>0</v>
      </c>
      <c r="S41" s="18">
        <f t="shared" si="9"/>
        <v>600</v>
      </c>
    </row>
    <row r="42" spans="2:25" x14ac:dyDescent="0.2">
      <c r="B42" s="47" t="s">
        <v>41</v>
      </c>
      <c r="C42" s="48">
        <v>1700</v>
      </c>
      <c r="D42" s="19">
        <f t="shared" si="4"/>
        <v>-500</v>
      </c>
      <c r="E42" s="19">
        <f>MAX(MIN(+F$6-SUM(C42:D42),F$13,F$17-H41,SUMIF(I43:I$45,"&gt;0")-H41),0)</f>
        <v>0</v>
      </c>
      <c r="F42" s="19">
        <f t="shared" si="5"/>
        <v>1200</v>
      </c>
      <c r="G42" s="50">
        <f t="shared" si="0"/>
        <v>0</v>
      </c>
      <c r="H42" s="18">
        <f t="shared" si="1"/>
        <v>600</v>
      </c>
      <c r="I42" s="51">
        <f t="shared" si="2"/>
        <v>500</v>
      </c>
      <c r="J42" s="18">
        <f t="shared" si="10"/>
        <v>1100</v>
      </c>
      <c r="L42" s="19">
        <f t="shared" si="6"/>
        <v>1200</v>
      </c>
      <c r="M42" s="19">
        <f t="shared" si="7"/>
        <v>500</v>
      </c>
      <c r="N42" s="19">
        <f t="shared" si="7"/>
        <v>0</v>
      </c>
      <c r="O42" s="52">
        <f t="shared" si="11"/>
        <v>1720</v>
      </c>
      <c r="Q42" s="51">
        <f t="shared" si="8"/>
        <v>500</v>
      </c>
      <c r="R42" s="19">
        <f t="shared" si="12"/>
        <v>0</v>
      </c>
      <c r="S42" s="18">
        <f t="shared" si="9"/>
        <v>1100</v>
      </c>
    </row>
    <row r="43" spans="2:25" x14ac:dyDescent="0.2">
      <c r="B43" s="47" t="s">
        <v>42</v>
      </c>
      <c r="C43" s="48">
        <v>1500</v>
      </c>
      <c r="D43" s="19">
        <f t="shared" si="4"/>
        <v>-300</v>
      </c>
      <c r="E43" s="19">
        <f>MAX(MIN(+F$6-SUM(C43:D43),F$13,F$17-H42,SUMIF(I44:I$45,"&gt;0")-H42),0)</f>
        <v>0</v>
      </c>
      <c r="F43" s="19">
        <f t="shared" si="5"/>
        <v>1200</v>
      </c>
      <c r="G43" s="50">
        <f t="shared" si="0"/>
        <v>0</v>
      </c>
      <c r="H43" s="18">
        <f t="shared" si="1"/>
        <v>300</v>
      </c>
      <c r="I43" s="51">
        <f t="shared" si="2"/>
        <v>300</v>
      </c>
      <c r="J43" s="18">
        <f t="shared" si="10"/>
        <v>1400</v>
      </c>
      <c r="L43" s="19">
        <f t="shared" si="6"/>
        <v>1200</v>
      </c>
      <c r="M43" s="19">
        <f t="shared" si="7"/>
        <v>300</v>
      </c>
      <c r="N43" s="19">
        <f t="shared" si="7"/>
        <v>0</v>
      </c>
      <c r="O43" s="52">
        <f t="shared" si="11"/>
        <v>1720</v>
      </c>
      <c r="Q43" s="51">
        <f t="shared" si="8"/>
        <v>300</v>
      </c>
      <c r="R43" s="19">
        <f t="shared" si="12"/>
        <v>0</v>
      </c>
      <c r="S43" s="18">
        <f t="shared" si="9"/>
        <v>1400</v>
      </c>
    </row>
    <row r="44" spans="2:25" x14ac:dyDescent="0.2">
      <c r="B44" s="47" t="s">
        <v>43</v>
      </c>
      <c r="C44" s="48">
        <v>0</v>
      </c>
      <c r="D44" s="19">
        <f t="shared" si="4"/>
        <v>0</v>
      </c>
      <c r="E44" s="19">
        <f>MAX(MIN(+F$6-SUM(C44:D44),F$13,F$17-H43,SUMIF(I45:I$45,"&gt;0")-H43),0)</f>
        <v>0</v>
      </c>
      <c r="F44" s="19">
        <f t="shared" si="5"/>
        <v>0</v>
      </c>
      <c r="G44" s="50">
        <f t="shared" si="0"/>
        <v>0</v>
      </c>
      <c r="H44" s="18">
        <f t="shared" si="1"/>
        <v>300</v>
      </c>
      <c r="I44" s="51">
        <f t="shared" si="2"/>
        <v>-1000</v>
      </c>
      <c r="J44" s="18">
        <f t="shared" si="10"/>
        <v>400</v>
      </c>
      <c r="L44" s="19">
        <f t="shared" si="6"/>
        <v>0</v>
      </c>
      <c r="M44" s="19">
        <f t="shared" si="7"/>
        <v>0</v>
      </c>
      <c r="N44" s="19">
        <f t="shared" si="7"/>
        <v>0</v>
      </c>
      <c r="O44" s="52">
        <f t="shared" si="11"/>
        <v>1720</v>
      </c>
      <c r="Q44" s="51">
        <f t="shared" si="8"/>
        <v>0</v>
      </c>
      <c r="R44" s="19">
        <f t="shared" si="12"/>
        <v>-1000</v>
      </c>
      <c r="S44" s="18">
        <f t="shared" si="9"/>
        <v>400</v>
      </c>
    </row>
    <row r="45" spans="2:25" x14ac:dyDescent="0.2">
      <c r="B45" s="40" t="s">
        <v>44</v>
      </c>
      <c r="C45" s="53">
        <v>1500</v>
      </c>
      <c r="D45" s="54">
        <f t="shared" si="4"/>
        <v>-300</v>
      </c>
      <c r="E45" s="49"/>
      <c r="F45" s="54">
        <f t="shared" si="5"/>
        <v>1200</v>
      </c>
      <c r="G45" s="42">
        <f t="shared" si="0"/>
        <v>0</v>
      </c>
      <c r="H45" s="17">
        <f t="shared" si="1"/>
        <v>0</v>
      </c>
      <c r="I45" s="55">
        <f t="shared" si="2"/>
        <v>300</v>
      </c>
      <c r="J45" s="17">
        <f t="shared" si="10"/>
        <v>700</v>
      </c>
      <c r="L45" s="19">
        <f t="shared" si="6"/>
        <v>1200</v>
      </c>
      <c r="M45" s="19">
        <f t="shared" si="7"/>
        <v>300</v>
      </c>
      <c r="N45" s="19">
        <f t="shared" si="7"/>
        <v>0</v>
      </c>
      <c r="O45" s="52">
        <f t="shared" si="11"/>
        <v>1720</v>
      </c>
      <c r="Q45" s="55">
        <f t="shared" si="8"/>
        <v>300</v>
      </c>
      <c r="R45" s="54">
        <f t="shared" si="12"/>
        <v>0</v>
      </c>
      <c r="S45" s="17">
        <f t="shared" si="9"/>
        <v>700</v>
      </c>
    </row>
    <row r="46" spans="2:25" x14ac:dyDescent="0.2">
      <c r="B46" s="56" t="s">
        <v>45</v>
      </c>
      <c r="C46" s="57"/>
      <c r="D46" s="57"/>
      <c r="E46" s="58">
        <f>MIN(+$F$6*10,$F$13*10,$F$17-H45)</f>
        <v>1720</v>
      </c>
      <c r="F46" s="58">
        <f t="shared" si="5"/>
        <v>1720</v>
      </c>
      <c r="G46" s="59">
        <f t="shared" si="0"/>
        <v>0</v>
      </c>
      <c r="H46" s="60">
        <f t="shared" si="1"/>
        <v>1720</v>
      </c>
      <c r="I46" s="19"/>
    </row>
    <row r="47" spans="2:25" ht="12.75" customHeight="1" x14ac:dyDescent="0.2">
      <c r="B47" s="61" t="s">
        <v>46</v>
      </c>
      <c r="C47" s="61"/>
      <c r="D47" s="61"/>
      <c r="E47" s="61"/>
      <c r="F47" s="61"/>
      <c r="G47" s="61"/>
      <c r="H47" s="61"/>
    </row>
    <row r="48" spans="2:25" x14ac:dyDescent="0.2">
      <c r="B48" s="27"/>
      <c r="C48" s="27"/>
      <c r="D48" s="27"/>
      <c r="E48" s="27"/>
      <c r="F48" s="27"/>
      <c r="G48" s="27"/>
      <c r="H48" s="27"/>
    </row>
    <row r="49" spans="2:8" x14ac:dyDescent="0.2">
      <c r="D49" s="19"/>
      <c r="E49" s="19"/>
      <c r="F49" s="19"/>
      <c r="G49" s="19"/>
      <c r="H49" s="19"/>
    </row>
    <row r="50" spans="2:8" hidden="1" outlineLevel="1" x14ac:dyDescent="0.2">
      <c r="B50" s="3" t="s">
        <v>47</v>
      </c>
      <c r="C50" s="62"/>
      <c r="D50" s="63" t="s">
        <v>48</v>
      </c>
    </row>
    <row r="51" spans="2:8" hidden="1" outlineLevel="1" x14ac:dyDescent="0.2">
      <c r="B51" s="47" t="s">
        <v>49</v>
      </c>
      <c r="C51" s="12" t="s">
        <v>50</v>
      </c>
      <c r="D51" s="64">
        <v>1</v>
      </c>
    </row>
    <row r="52" spans="2:8" hidden="1" outlineLevel="1" x14ac:dyDescent="0.2">
      <c r="B52" s="47" t="s">
        <v>51</v>
      </c>
      <c r="C52" s="12" t="s">
        <v>50</v>
      </c>
      <c r="D52" s="64">
        <v>1</v>
      </c>
    </row>
    <row r="53" spans="2:8" hidden="1" outlineLevel="1" x14ac:dyDescent="0.2">
      <c r="B53" s="47" t="s">
        <v>52</v>
      </c>
      <c r="C53" s="12" t="s">
        <v>50</v>
      </c>
      <c r="D53" s="64">
        <v>1</v>
      </c>
    </row>
    <row r="54" spans="2:8" hidden="1" outlineLevel="1" x14ac:dyDescent="0.2">
      <c r="B54" s="47" t="s">
        <v>53</v>
      </c>
      <c r="C54" s="12" t="s">
        <v>50</v>
      </c>
      <c r="D54" s="64">
        <v>1</v>
      </c>
    </row>
    <row r="55" spans="2:8" hidden="1" outlineLevel="1" x14ac:dyDescent="0.2">
      <c r="B55" s="47" t="s">
        <v>54</v>
      </c>
      <c r="C55" s="12" t="s">
        <v>50</v>
      </c>
      <c r="D55" s="64">
        <v>1</v>
      </c>
    </row>
    <row r="56" spans="2:8" hidden="1" outlineLevel="1" x14ac:dyDescent="0.2">
      <c r="B56" s="47" t="s">
        <v>55</v>
      </c>
      <c r="C56" s="12" t="s">
        <v>50</v>
      </c>
      <c r="D56" s="64">
        <v>0</v>
      </c>
    </row>
    <row r="57" spans="2:8" hidden="1" outlineLevel="1" x14ac:dyDescent="0.2">
      <c r="B57" s="40" t="s">
        <v>56</v>
      </c>
      <c r="C57" s="16" t="s">
        <v>50</v>
      </c>
      <c r="D57" s="65">
        <v>0</v>
      </c>
    </row>
    <row r="58" spans="2:8" collapsed="1" x14ac:dyDescent="0.2">
      <c r="C58" s="12"/>
    </row>
    <row r="59" spans="2:8" x14ac:dyDescent="0.2">
      <c r="C59" s="12"/>
    </row>
  </sheetData>
  <conditionalFormatting sqref="D51:D57">
    <cfRule type="cellIs" dxfId="3" priority="3" operator="equal">
      <formula>1</formula>
    </cfRule>
  </conditionalFormatting>
  <conditionalFormatting sqref="F10">
    <cfRule type="cellIs" dxfId="2" priority="1" operator="lessThan">
      <formula>0</formula>
    </cfRule>
  </conditionalFormatting>
  <conditionalFormatting sqref="F18">
    <cfRule type="cellIs" dxfId="1" priority="2" operator="lessThan">
      <formula>0</formula>
    </cfRule>
  </conditionalFormatting>
  <conditionalFormatting sqref="H31:H46 H51:H57">
    <cfRule type="cellIs" dxfId="0" priority="4" operator="lessThan">
      <formula>0</formula>
    </cfRule>
  </conditionalFormatting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8E5B5-2271-40AE-846B-E95A1DBB70C2}">
  <dimension ref="B2:Q32"/>
  <sheetViews>
    <sheetView showGridLines="0" topLeftCell="A14" zoomScaleNormal="100" workbookViewId="0">
      <selection activeCell="H22" sqref="H22"/>
    </sheetView>
  </sheetViews>
  <sheetFormatPr defaultColWidth="9.140625" defaultRowHeight="12.75" x14ac:dyDescent="0.2"/>
  <cols>
    <col min="1" max="1" width="3.7109375" style="2" customWidth="1"/>
    <col min="2" max="2" width="26.140625" style="2" customWidth="1"/>
    <col min="3" max="3" width="13" style="12" bestFit="1" customWidth="1"/>
    <col min="4" max="16" width="10.42578125" style="2" bestFit="1" customWidth="1"/>
    <col min="17" max="17" width="81.5703125" style="27" bestFit="1" customWidth="1"/>
    <col min="18" max="16384" width="9.140625" style="2"/>
  </cols>
  <sheetData>
    <row r="2" spans="2:17" ht="13.5" thickBot="1" x14ac:dyDescent="0.25">
      <c r="B2" s="75" t="s">
        <v>105</v>
      </c>
      <c r="C2" s="73"/>
      <c r="D2" s="68" t="s">
        <v>78</v>
      </c>
      <c r="E2" s="68" t="s">
        <v>79</v>
      </c>
      <c r="F2" s="68" t="s">
        <v>80</v>
      </c>
      <c r="G2" s="68" t="s">
        <v>81</v>
      </c>
      <c r="H2" s="68" t="s">
        <v>82</v>
      </c>
      <c r="I2" s="68" t="s">
        <v>83</v>
      </c>
      <c r="J2" s="68" t="s">
        <v>84</v>
      </c>
      <c r="K2" s="68" t="s">
        <v>85</v>
      </c>
      <c r="L2" s="68" t="s">
        <v>86</v>
      </c>
      <c r="M2" s="68" t="s">
        <v>87</v>
      </c>
      <c r="N2" s="68" t="s">
        <v>88</v>
      </c>
      <c r="O2" s="68" t="s">
        <v>89</v>
      </c>
      <c r="P2" s="69" t="s">
        <v>98</v>
      </c>
      <c r="Q2" s="94" t="s">
        <v>97</v>
      </c>
    </row>
    <row r="3" spans="2:17" s="27" customFormat="1" x14ac:dyDescent="0.2">
      <c r="B3" s="72" t="s">
        <v>90</v>
      </c>
      <c r="C3" s="74"/>
      <c r="D3" s="76">
        <v>45292</v>
      </c>
      <c r="E3" s="76">
        <f>+D4+1</f>
        <v>45323</v>
      </c>
      <c r="F3" s="76">
        <f t="shared" ref="F3:O3" si="0">+E4+1</f>
        <v>45352</v>
      </c>
      <c r="G3" s="76">
        <f t="shared" si="0"/>
        <v>45383</v>
      </c>
      <c r="H3" s="76">
        <f t="shared" si="0"/>
        <v>45413</v>
      </c>
      <c r="I3" s="76">
        <f t="shared" si="0"/>
        <v>45444</v>
      </c>
      <c r="J3" s="76">
        <f t="shared" si="0"/>
        <v>45474</v>
      </c>
      <c r="K3" s="76">
        <f t="shared" si="0"/>
        <v>45505</v>
      </c>
      <c r="L3" s="76">
        <f t="shared" si="0"/>
        <v>45536</v>
      </c>
      <c r="M3" s="76">
        <f t="shared" si="0"/>
        <v>45566</v>
      </c>
      <c r="N3" s="76">
        <f t="shared" si="0"/>
        <v>45597</v>
      </c>
      <c r="O3" s="76">
        <f t="shared" si="0"/>
        <v>45627</v>
      </c>
      <c r="P3" s="77">
        <f>+D3</f>
        <v>45292</v>
      </c>
    </row>
    <row r="4" spans="2:17" s="27" customFormat="1" x14ac:dyDescent="0.2">
      <c r="B4" s="72" t="s">
        <v>91</v>
      </c>
      <c r="C4" s="74"/>
      <c r="D4" s="76">
        <f>EOMONTH(D3,0)</f>
        <v>45322</v>
      </c>
      <c r="E4" s="76">
        <f>EOMONTH(E3,0)</f>
        <v>45351</v>
      </c>
      <c r="F4" s="76">
        <f t="shared" ref="F4:O4" si="1">EOMONTH(F3,0)</f>
        <v>45382</v>
      </c>
      <c r="G4" s="76">
        <f t="shared" si="1"/>
        <v>45412</v>
      </c>
      <c r="H4" s="76">
        <f t="shared" si="1"/>
        <v>45443</v>
      </c>
      <c r="I4" s="76">
        <f t="shared" si="1"/>
        <v>45473</v>
      </c>
      <c r="J4" s="76">
        <f t="shared" si="1"/>
        <v>45504</v>
      </c>
      <c r="K4" s="76">
        <f t="shared" si="1"/>
        <v>45535</v>
      </c>
      <c r="L4" s="76">
        <f t="shared" si="1"/>
        <v>45565</v>
      </c>
      <c r="M4" s="76">
        <f t="shared" si="1"/>
        <v>45596</v>
      </c>
      <c r="N4" s="76">
        <f t="shared" si="1"/>
        <v>45626</v>
      </c>
      <c r="O4" s="76">
        <f t="shared" si="1"/>
        <v>45657</v>
      </c>
      <c r="P4" s="77">
        <f>+O4</f>
        <v>45657</v>
      </c>
    </row>
    <row r="5" spans="2:17" s="27" customFormat="1" x14ac:dyDescent="0.2">
      <c r="B5" s="72" t="s">
        <v>92</v>
      </c>
      <c r="C5" s="74"/>
      <c r="D5" s="78">
        <f>+D4-D3+1</f>
        <v>31</v>
      </c>
      <c r="E5" s="78">
        <f t="shared" ref="E5:O5" si="2">+E4-E3+1</f>
        <v>29</v>
      </c>
      <c r="F5" s="78">
        <f t="shared" si="2"/>
        <v>31</v>
      </c>
      <c r="G5" s="78">
        <f t="shared" si="2"/>
        <v>30</v>
      </c>
      <c r="H5" s="78">
        <f t="shared" si="2"/>
        <v>31</v>
      </c>
      <c r="I5" s="78">
        <f t="shared" si="2"/>
        <v>30</v>
      </c>
      <c r="J5" s="78">
        <f t="shared" si="2"/>
        <v>31</v>
      </c>
      <c r="K5" s="78">
        <f t="shared" si="2"/>
        <v>31</v>
      </c>
      <c r="L5" s="78">
        <f t="shared" si="2"/>
        <v>30</v>
      </c>
      <c r="M5" s="78">
        <f t="shared" si="2"/>
        <v>31</v>
      </c>
      <c r="N5" s="78">
        <f t="shared" si="2"/>
        <v>30</v>
      </c>
      <c r="O5" s="78">
        <f t="shared" si="2"/>
        <v>31</v>
      </c>
      <c r="P5" s="79">
        <f>+SUM(D5:O5)</f>
        <v>366</v>
      </c>
    </row>
    <row r="6" spans="2:17" s="27" customFormat="1" x14ac:dyDescent="0.2">
      <c r="B6" s="72" t="s">
        <v>93</v>
      </c>
      <c r="C6" s="74"/>
      <c r="D6" s="72">
        <f>NETWORKDAYS(D3,D4)</f>
        <v>23</v>
      </c>
      <c r="E6" s="72">
        <f t="shared" ref="E6:O6" si="3">NETWORKDAYS(E3,E4)</f>
        <v>21</v>
      </c>
      <c r="F6" s="72">
        <f t="shared" si="3"/>
        <v>21</v>
      </c>
      <c r="G6" s="72">
        <f t="shared" si="3"/>
        <v>22</v>
      </c>
      <c r="H6" s="72">
        <f t="shared" si="3"/>
        <v>23</v>
      </c>
      <c r="I6" s="72">
        <f t="shared" si="3"/>
        <v>20</v>
      </c>
      <c r="J6" s="72">
        <f t="shared" si="3"/>
        <v>23</v>
      </c>
      <c r="K6" s="72">
        <f t="shared" si="3"/>
        <v>22</v>
      </c>
      <c r="L6" s="72">
        <f t="shared" si="3"/>
        <v>21</v>
      </c>
      <c r="M6" s="72">
        <f t="shared" si="3"/>
        <v>23</v>
      </c>
      <c r="N6" s="72">
        <f t="shared" si="3"/>
        <v>21</v>
      </c>
      <c r="O6" s="72">
        <f t="shared" si="3"/>
        <v>22</v>
      </c>
      <c r="P6" s="79">
        <f>+SUM(D6:O6)</f>
        <v>262</v>
      </c>
    </row>
    <row r="7" spans="2:17" s="27" customFormat="1" x14ac:dyDescent="0.2">
      <c r="B7" s="72" t="s">
        <v>94</v>
      </c>
      <c r="C7" s="74"/>
      <c r="D7" s="78">
        <f>+D5-D6</f>
        <v>8</v>
      </c>
      <c r="E7" s="78">
        <f t="shared" ref="E7:O7" si="4">+E5-E6</f>
        <v>8</v>
      </c>
      <c r="F7" s="78">
        <f t="shared" si="4"/>
        <v>10</v>
      </c>
      <c r="G7" s="78">
        <f t="shared" si="4"/>
        <v>8</v>
      </c>
      <c r="H7" s="78">
        <f t="shared" si="4"/>
        <v>8</v>
      </c>
      <c r="I7" s="78">
        <f t="shared" si="4"/>
        <v>10</v>
      </c>
      <c r="J7" s="78">
        <f t="shared" si="4"/>
        <v>8</v>
      </c>
      <c r="K7" s="78">
        <f t="shared" si="4"/>
        <v>9</v>
      </c>
      <c r="L7" s="78">
        <f t="shared" si="4"/>
        <v>9</v>
      </c>
      <c r="M7" s="78">
        <f t="shared" si="4"/>
        <v>8</v>
      </c>
      <c r="N7" s="78">
        <f t="shared" si="4"/>
        <v>9</v>
      </c>
      <c r="O7" s="78">
        <f t="shared" si="4"/>
        <v>9</v>
      </c>
      <c r="P7" s="79">
        <f>+SUM(D7:O7)</f>
        <v>104</v>
      </c>
    </row>
    <row r="8" spans="2:17" x14ac:dyDescent="0.2">
      <c r="P8" s="70"/>
    </row>
    <row r="9" spans="2:17" x14ac:dyDescent="0.2">
      <c r="B9" s="67" t="s">
        <v>99</v>
      </c>
      <c r="P9" s="70"/>
    </row>
    <row r="10" spans="2:17" x14ac:dyDescent="0.2">
      <c r="B10" s="2" t="s">
        <v>73</v>
      </c>
      <c r="C10" s="12" t="s">
        <v>13</v>
      </c>
      <c r="D10" s="80">
        <v>10</v>
      </c>
      <c r="E10" s="80">
        <f>+D10</f>
        <v>10</v>
      </c>
      <c r="F10" s="80">
        <f t="shared" ref="F10:O10" si="5">+E10</f>
        <v>10</v>
      </c>
      <c r="G10" s="80">
        <f t="shared" si="5"/>
        <v>10</v>
      </c>
      <c r="H10" s="80">
        <f t="shared" si="5"/>
        <v>10</v>
      </c>
      <c r="I10" s="80">
        <f t="shared" si="5"/>
        <v>10</v>
      </c>
      <c r="J10" s="80">
        <f t="shared" si="5"/>
        <v>10</v>
      </c>
      <c r="K10" s="80">
        <f t="shared" si="5"/>
        <v>10</v>
      </c>
      <c r="L10" s="80">
        <f t="shared" si="5"/>
        <v>10</v>
      </c>
      <c r="M10" s="80">
        <f t="shared" si="5"/>
        <v>10</v>
      </c>
      <c r="N10" s="80">
        <f t="shared" si="5"/>
        <v>10</v>
      </c>
      <c r="O10" s="81">
        <f t="shared" si="5"/>
        <v>10</v>
      </c>
      <c r="P10" s="71"/>
      <c r="Q10" s="27" t="s">
        <v>114</v>
      </c>
    </row>
    <row r="11" spans="2:17" x14ac:dyDescent="0.2">
      <c r="B11" s="2" t="s">
        <v>60</v>
      </c>
      <c r="C11" s="12" t="s">
        <v>3</v>
      </c>
      <c r="D11" s="82"/>
      <c r="E11" s="82"/>
      <c r="F11" s="82"/>
      <c r="G11" s="82"/>
      <c r="H11" s="82"/>
      <c r="I11" s="80"/>
      <c r="J11" s="80"/>
      <c r="K11" s="80"/>
      <c r="L11" s="82"/>
      <c r="M11" s="82"/>
      <c r="N11" s="82"/>
      <c r="O11" s="82"/>
      <c r="P11" s="71"/>
    </row>
    <row r="12" spans="2:17" x14ac:dyDescent="0.2"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71"/>
    </row>
    <row r="13" spans="2:17" x14ac:dyDescent="0.2">
      <c r="B13" s="67" t="s">
        <v>100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71"/>
    </row>
    <row r="14" spans="2:17" x14ac:dyDescent="0.2">
      <c r="B14" s="2" t="s">
        <v>73</v>
      </c>
      <c r="C14" s="12" t="s">
        <v>13</v>
      </c>
      <c r="D14" s="80">
        <v>24</v>
      </c>
      <c r="E14" s="80">
        <f>+D14</f>
        <v>24</v>
      </c>
      <c r="F14" s="80">
        <f t="shared" ref="F14:O14" si="6">+E14</f>
        <v>24</v>
      </c>
      <c r="G14" s="80">
        <f t="shared" si="6"/>
        <v>24</v>
      </c>
      <c r="H14" s="80">
        <f t="shared" si="6"/>
        <v>24</v>
      </c>
      <c r="I14" s="80">
        <f t="shared" si="6"/>
        <v>24</v>
      </c>
      <c r="J14" s="80">
        <f t="shared" si="6"/>
        <v>24</v>
      </c>
      <c r="K14" s="80">
        <f t="shared" si="6"/>
        <v>24</v>
      </c>
      <c r="L14" s="80">
        <f t="shared" si="6"/>
        <v>24</v>
      </c>
      <c r="M14" s="80">
        <f t="shared" si="6"/>
        <v>24</v>
      </c>
      <c r="N14" s="80">
        <f t="shared" si="6"/>
        <v>24</v>
      </c>
      <c r="O14" s="81">
        <f t="shared" si="6"/>
        <v>24</v>
      </c>
      <c r="P14" s="71"/>
    </row>
    <row r="15" spans="2:17" x14ac:dyDescent="0.2">
      <c r="B15" s="2" t="s">
        <v>60</v>
      </c>
      <c r="C15" s="12" t="s">
        <v>3</v>
      </c>
      <c r="D15" s="82"/>
      <c r="E15" s="82"/>
      <c r="F15" s="82"/>
      <c r="G15" s="82"/>
      <c r="H15" s="82"/>
      <c r="I15" s="80"/>
      <c r="J15" s="80"/>
      <c r="K15" s="80"/>
      <c r="L15" s="82"/>
      <c r="M15" s="82"/>
      <c r="N15" s="82"/>
      <c r="O15" s="82"/>
      <c r="P15" s="71"/>
    </row>
    <row r="16" spans="2:17" x14ac:dyDescent="0.2"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71"/>
    </row>
    <row r="17" spans="2:17" x14ac:dyDescent="0.2">
      <c r="B17" s="67" t="s">
        <v>96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71"/>
    </row>
    <row r="18" spans="2:17" x14ac:dyDescent="0.2">
      <c r="B18" s="2" t="s">
        <v>73</v>
      </c>
      <c r="C18" s="12" t="s">
        <v>13</v>
      </c>
      <c r="D18" s="19">
        <f t="shared" ref="D18:O18" si="7">(D10*D6+D14*D7)/2</f>
        <v>211</v>
      </c>
      <c r="E18" s="19">
        <f t="shared" si="7"/>
        <v>201</v>
      </c>
      <c r="F18" s="19">
        <f t="shared" si="7"/>
        <v>225</v>
      </c>
      <c r="G18" s="19">
        <f t="shared" si="7"/>
        <v>206</v>
      </c>
      <c r="H18" s="19">
        <f t="shared" si="7"/>
        <v>211</v>
      </c>
      <c r="I18" s="19">
        <f t="shared" si="7"/>
        <v>220</v>
      </c>
      <c r="J18" s="19">
        <f t="shared" si="7"/>
        <v>211</v>
      </c>
      <c r="K18" s="19">
        <f t="shared" si="7"/>
        <v>218</v>
      </c>
      <c r="L18" s="19">
        <f t="shared" si="7"/>
        <v>213</v>
      </c>
      <c r="M18" s="19">
        <f t="shared" si="7"/>
        <v>211</v>
      </c>
      <c r="N18" s="19">
        <f t="shared" si="7"/>
        <v>213</v>
      </c>
      <c r="O18" s="19">
        <f t="shared" si="7"/>
        <v>218</v>
      </c>
      <c r="P18" s="71">
        <f>+SUM(D18:O18)</f>
        <v>2558</v>
      </c>
      <c r="Q18" s="27" t="s">
        <v>110</v>
      </c>
    </row>
    <row r="19" spans="2:17" x14ac:dyDescent="0.2">
      <c r="B19" s="2" t="s">
        <v>60</v>
      </c>
      <c r="C19" s="12" t="s">
        <v>3</v>
      </c>
      <c r="D19" s="19">
        <f t="shared" ref="D19:O19" si="8">+D11*D6+D15*D7</f>
        <v>0</v>
      </c>
      <c r="E19" s="19">
        <f t="shared" si="8"/>
        <v>0</v>
      </c>
      <c r="F19" s="19">
        <f t="shared" si="8"/>
        <v>0</v>
      </c>
      <c r="G19" s="19">
        <f t="shared" si="8"/>
        <v>0</v>
      </c>
      <c r="H19" s="19">
        <f t="shared" si="8"/>
        <v>0</v>
      </c>
      <c r="I19" s="19">
        <f t="shared" si="8"/>
        <v>0</v>
      </c>
      <c r="J19" s="19">
        <f t="shared" si="8"/>
        <v>0</v>
      </c>
      <c r="K19" s="19">
        <f t="shared" si="8"/>
        <v>0</v>
      </c>
      <c r="L19" s="19">
        <f t="shared" si="8"/>
        <v>0</v>
      </c>
      <c r="M19" s="19">
        <f t="shared" si="8"/>
        <v>0</v>
      </c>
      <c r="N19" s="19">
        <f t="shared" si="8"/>
        <v>0</v>
      </c>
      <c r="O19" s="19">
        <f t="shared" si="8"/>
        <v>0</v>
      </c>
      <c r="P19" s="71">
        <f>+SUM(D19:O19)</f>
        <v>0</v>
      </c>
    </row>
    <row r="20" spans="2:17" x14ac:dyDescent="0.2"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71"/>
    </row>
    <row r="21" spans="2:17" x14ac:dyDescent="0.2">
      <c r="B21" s="67" t="s">
        <v>95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71"/>
    </row>
    <row r="22" spans="2:17" x14ac:dyDescent="0.2">
      <c r="B22" s="2" t="s">
        <v>73</v>
      </c>
      <c r="C22" s="12" t="s">
        <v>2</v>
      </c>
      <c r="D22" s="19">
        <f>MIN('Peak Shave'!$F$13,'Peak Shave'!$F$15/2)</f>
        <v>1000</v>
      </c>
      <c r="E22" s="19">
        <f>MIN('Peak Shave'!$F$13,'Peak Shave'!$F$15/2)</f>
        <v>1000</v>
      </c>
      <c r="F22" s="19">
        <f>MIN('Peak Shave'!$F$13,'Peak Shave'!$F$15/2)</f>
        <v>1000</v>
      </c>
      <c r="G22" s="19">
        <f>MIN('Peak Shave'!$F$13,'Peak Shave'!$F$15/2)</f>
        <v>1000</v>
      </c>
      <c r="H22" s="19">
        <f>MIN('Peak Shave'!$F$13,'Peak Shave'!$F$15/2)</f>
        <v>1000</v>
      </c>
      <c r="I22" s="19">
        <f>MIN('Peak Shave'!$F$13,'Peak Shave'!$F$15/2)</f>
        <v>1000</v>
      </c>
      <c r="J22" s="19">
        <f>MIN('Peak Shave'!$F$13,'Peak Shave'!$F$15/2)</f>
        <v>1000</v>
      </c>
      <c r="K22" s="19">
        <f>MIN('Peak Shave'!$F$13,'Peak Shave'!$F$15/2)</f>
        <v>1000</v>
      </c>
      <c r="L22" s="19">
        <f>MIN('Peak Shave'!$F$13,'Peak Shave'!$F$15/2)</f>
        <v>1000</v>
      </c>
      <c r="M22" s="19">
        <f>MIN('Peak Shave'!$F$13,'Peak Shave'!$F$15/2)</f>
        <v>1000</v>
      </c>
      <c r="N22" s="19">
        <f>MIN('Peak Shave'!$F$13,'Peak Shave'!$F$15/2)</f>
        <v>1000</v>
      </c>
      <c r="O22" s="19">
        <f>MIN('Peak Shave'!$F$13,'Peak Shave'!$F$15/2)</f>
        <v>1000</v>
      </c>
      <c r="P22" s="71"/>
      <c r="Q22" s="27" t="s">
        <v>109</v>
      </c>
    </row>
    <row r="23" spans="2:17" x14ac:dyDescent="0.2">
      <c r="B23" s="2" t="s">
        <v>60</v>
      </c>
      <c r="C23" s="12" t="s">
        <v>3</v>
      </c>
      <c r="D23" s="19">
        <f>+'Peak Shave'!$F$13</f>
        <v>1000</v>
      </c>
      <c r="E23" s="19">
        <f>+'Peak Shave'!$F$13</f>
        <v>1000</v>
      </c>
      <c r="F23" s="19">
        <f>+'Peak Shave'!$F$13</f>
        <v>1000</v>
      </c>
      <c r="G23" s="19">
        <f>+'Peak Shave'!$F$13</f>
        <v>1000</v>
      </c>
      <c r="H23" s="19">
        <f>+'Peak Shave'!$F$13</f>
        <v>1000</v>
      </c>
      <c r="I23" s="19">
        <f>+'Peak Shave'!$F$13</f>
        <v>1000</v>
      </c>
      <c r="J23" s="19">
        <f>+'Peak Shave'!$F$13</f>
        <v>1000</v>
      </c>
      <c r="K23" s="19">
        <f>+'Peak Shave'!$F$13</f>
        <v>1000</v>
      </c>
      <c r="L23" s="19">
        <f>+'Peak Shave'!$F$13</f>
        <v>1000</v>
      </c>
      <c r="M23" s="19">
        <f>+'Peak Shave'!$F$13</f>
        <v>1000</v>
      </c>
      <c r="N23" s="19">
        <f>+'Peak Shave'!$F$13</f>
        <v>1000</v>
      </c>
      <c r="O23" s="19">
        <f>+'Peak Shave'!$F$13</f>
        <v>1000</v>
      </c>
      <c r="P23" s="71"/>
      <c r="Q23" s="27" t="s">
        <v>108</v>
      </c>
    </row>
    <row r="24" spans="2:17" x14ac:dyDescent="0.2"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71"/>
    </row>
    <row r="25" spans="2:17" x14ac:dyDescent="0.2">
      <c r="B25" s="67" t="s">
        <v>77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71"/>
    </row>
    <row r="26" spans="2:17" x14ac:dyDescent="0.2">
      <c r="B26" s="2" t="s">
        <v>73</v>
      </c>
      <c r="C26" s="12" t="s">
        <v>102</v>
      </c>
      <c r="D26" s="19">
        <f>20*11.5</f>
        <v>230</v>
      </c>
      <c r="E26" s="19">
        <f>20*11.5</f>
        <v>230</v>
      </c>
      <c r="F26" s="19">
        <f>20*11.5</f>
        <v>230</v>
      </c>
      <c r="G26" s="19">
        <f>17*11.5</f>
        <v>195.5</v>
      </c>
      <c r="H26" s="19">
        <f t="shared" ref="H26:L26" si="9">17*11.5</f>
        <v>195.5</v>
      </c>
      <c r="I26" s="19">
        <f t="shared" si="9"/>
        <v>195.5</v>
      </c>
      <c r="J26" s="19">
        <f t="shared" si="9"/>
        <v>195.5</v>
      </c>
      <c r="K26" s="19">
        <f t="shared" si="9"/>
        <v>195.5</v>
      </c>
      <c r="L26" s="19">
        <f t="shared" si="9"/>
        <v>195.5</v>
      </c>
      <c r="M26" s="19">
        <f t="shared" ref="M26:O26" si="10">20*11.5</f>
        <v>230</v>
      </c>
      <c r="N26" s="19">
        <f t="shared" si="10"/>
        <v>230</v>
      </c>
      <c r="O26" s="19">
        <f t="shared" si="10"/>
        <v>230</v>
      </c>
      <c r="P26" s="71"/>
      <c r="Q26" s="27" t="s">
        <v>111</v>
      </c>
    </row>
    <row r="27" spans="2:17" x14ac:dyDescent="0.2">
      <c r="B27" s="2" t="s">
        <v>60</v>
      </c>
      <c r="C27" s="12" t="s">
        <v>3</v>
      </c>
      <c r="D27" s="82"/>
      <c r="E27" s="82"/>
      <c r="F27" s="82"/>
      <c r="G27" s="82"/>
      <c r="H27" s="82"/>
      <c r="I27" s="19">
        <v>115</v>
      </c>
      <c r="J27" s="19">
        <v>115</v>
      </c>
      <c r="K27" s="19">
        <v>115</v>
      </c>
      <c r="L27" s="82"/>
      <c r="M27" s="82"/>
      <c r="N27" s="82"/>
      <c r="O27" s="82"/>
      <c r="P27" s="71"/>
      <c r="Q27" s="27" t="s">
        <v>107</v>
      </c>
    </row>
    <row r="28" spans="2:17" x14ac:dyDescent="0.2"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71"/>
    </row>
    <row r="29" spans="2:17" x14ac:dyDescent="0.2">
      <c r="B29" s="67" t="s">
        <v>101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71"/>
    </row>
    <row r="30" spans="2:17" s="66" customFormat="1" x14ac:dyDescent="0.2">
      <c r="B30" s="7" t="s">
        <v>73</v>
      </c>
      <c r="C30" s="9" t="s">
        <v>103</v>
      </c>
      <c r="D30" s="91">
        <f t="shared" ref="D30:O30" si="11">+D18*D26*D22/1000</f>
        <v>48530</v>
      </c>
      <c r="E30" s="91">
        <f t="shared" si="11"/>
        <v>46230</v>
      </c>
      <c r="F30" s="91">
        <f t="shared" si="11"/>
        <v>51750</v>
      </c>
      <c r="G30" s="91">
        <f t="shared" si="11"/>
        <v>40273</v>
      </c>
      <c r="H30" s="91">
        <f t="shared" si="11"/>
        <v>41250.5</v>
      </c>
      <c r="I30" s="91">
        <f t="shared" si="11"/>
        <v>43010</v>
      </c>
      <c r="J30" s="91">
        <f t="shared" si="11"/>
        <v>41250.5</v>
      </c>
      <c r="K30" s="91">
        <f t="shared" si="11"/>
        <v>42619</v>
      </c>
      <c r="L30" s="91">
        <f t="shared" si="11"/>
        <v>41641.5</v>
      </c>
      <c r="M30" s="91">
        <f t="shared" si="11"/>
        <v>48530</v>
      </c>
      <c r="N30" s="91">
        <f t="shared" si="11"/>
        <v>48990</v>
      </c>
      <c r="O30" s="91">
        <f t="shared" si="11"/>
        <v>50140</v>
      </c>
      <c r="P30" s="92">
        <f>+SUM(D30:O30)</f>
        <v>544214.5</v>
      </c>
      <c r="Q30" s="94"/>
    </row>
    <row r="31" spans="2:17" s="66" customFormat="1" x14ac:dyDescent="0.2">
      <c r="B31" s="14" t="s">
        <v>60</v>
      </c>
      <c r="C31" s="16" t="s">
        <v>3</v>
      </c>
      <c r="D31" s="54">
        <f t="shared" ref="D31:O31" si="12">+D19*D27*D23/1000</f>
        <v>0</v>
      </c>
      <c r="E31" s="54">
        <f t="shared" si="12"/>
        <v>0</v>
      </c>
      <c r="F31" s="54">
        <f t="shared" si="12"/>
        <v>0</v>
      </c>
      <c r="G31" s="54">
        <f t="shared" si="12"/>
        <v>0</v>
      </c>
      <c r="H31" s="54">
        <f t="shared" si="12"/>
        <v>0</v>
      </c>
      <c r="I31" s="54">
        <f t="shared" si="12"/>
        <v>0</v>
      </c>
      <c r="J31" s="54">
        <f t="shared" si="12"/>
        <v>0</v>
      </c>
      <c r="K31" s="54">
        <f t="shared" si="12"/>
        <v>0</v>
      </c>
      <c r="L31" s="54">
        <f t="shared" si="12"/>
        <v>0</v>
      </c>
      <c r="M31" s="54">
        <f t="shared" si="12"/>
        <v>0</v>
      </c>
      <c r="N31" s="54">
        <f t="shared" si="12"/>
        <v>0</v>
      </c>
      <c r="O31" s="54">
        <f t="shared" si="12"/>
        <v>0</v>
      </c>
      <c r="P31" s="93">
        <f>+SUM(D31:O31)</f>
        <v>0</v>
      </c>
      <c r="Q31" s="94"/>
    </row>
    <row r="32" spans="2:17" x14ac:dyDescent="0.2">
      <c r="B32" s="87" t="s">
        <v>104</v>
      </c>
      <c r="C32" s="88" t="s">
        <v>3</v>
      </c>
      <c r="D32" s="89">
        <f>+SUM(D30:D31)</f>
        <v>48530</v>
      </c>
      <c r="E32" s="89">
        <f t="shared" ref="E32:P32" si="13">+SUM(E30:E31)</f>
        <v>46230</v>
      </c>
      <c r="F32" s="89">
        <f t="shared" si="13"/>
        <v>51750</v>
      </c>
      <c r="G32" s="89">
        <f t="shared" si="13"/>
        <v>40273</v>
      </c>
      <c r="H32" s="89">
        <f t="shared" si="13"/>
        <v>41250.5</v>
      </c>
      <c r="I32" s="89">
        <f t="shared" si="13"/>
        <v>43010</v>
      </c>
      <c r="J32" s="89">
        <f t="shared" si="13"/>
        <v>41250.5</v>
      </c>
      <c r="K32" s="89">
        <f t="shared" si="13"/>
        <v>42619</v>
      </c>
      <c r="L32" s="89">
        <f t="shared" si="13"/>
        <v>41641.5</v>
      </c>
      <c r="M32" s="89">
        <f t="shared" si="13"/>
        <v>48530</v>
      </c>
      <c r="N32" s="89">
        <f t="shared" si="13"/>
        <v>48990</v>
      </c>
      <c r="O32" s="89">
        <f t="shared" si="13"/>
        <v>50140</v>
      </c>
      <c r="P32" s="90">
        <f t="shared" si="13"/>
        <v>544214.5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07B6E-6FB7-433A-A497-17D02783A0ED}">
  <dimension ref="B2:Q32"/>
  <sheetViews>
    <sheetView showGridLines="0" topLeftCell="A14" zoomScaleNormal="100" workbookViewId="0">
      <selection activeCell="G40" sqref="G40"/>
    </sheetView>
  </sheetViews>
  <sheetFormatPr defaultColWidth="9.140625" defaultRowHeight="12.75" x14ac:dyDescent="0.2"/>
  <cols>
    <col min="1" max="1" width="3.7109375" style="2" customWidth="1"/>
    <col min="2" max="2" width="26.140625" style="2" customWidth="1"/>
    <col min="3" max="3" width="13" style="12" bestFit="1" customWidth="1"/>
    <col min="4" max="16" width="10.42578125" style="2" bestFit="1" customWidth="1"/>
    <col min="17" max="17" width="81.5703125" style="27" bestFit="1" customWidth="1"/>
    <col min="18" max="16384" width="9.140625" style="2"/>
  </cols>
  <sheetData>
    <row r="2" spans="2:17" ht="13.5" thickBot="1" x14ac:dyDescent="0.25">
      <c r="B2" s="75" t="s">
        <v>106</v>
      </c>
      <c r="C2" s="73"/>
      <c r="D2" s="68" t="s">
        <v>78</v>
      </c>
      <c r="E2" s="68" t="s">
        <v>79</v>
      </c>
      <c r="F2" s="68" t="s">
        <v>80</v>
      </c>
      <c r="G2" s="68" t="s">
        <v>81</v>
      </c>
      <c r="H2" s="68" t="s">
        <v>82</v>
      </c>
      <c r="I2" s="68" t="s">
        <v>83</v>
      </c>
      <c r="J2" s="68" t="s">
        <v>84</v>
      </c>
      <c r="K2" s="68" t="s">
        <v>85</v>
      </c>
      <c r="L2" s="68" t="s">
        <v>86</v>
      </c>
      <c r="M2" s="68" t="s">
        <v>87</v>
      </c>
      <c r="N2" s="68" t="s">
        <v>88</v>
      </c>
      <c r="O2" s="68" t="s">
        <v>89</v>
      </c>
      <c r="P2" s="69" t="s">
        <v>98</v>
      </c>
      <c r="Q2" s="94" t="s">
        <v>97</v>
      </c>
    </row>
    <row r="3" spans="2:17" s="27" customFormat="1" x14ac:dyDescent="0.2">
      <c r="B3" s="72" t="s">
        <v>90</v>
      </c>
      <c r="C3" s="74"/>
      <c r="D3" s="76">
        <v>45292</v>
      </c>
      <c r="E3" s="76">
        <f>+D4+1</f>
        <v>45323</v>
      </c>
      <c r="F3" s="76">
        <f t="shared" ref="F3:O3" si="0">+E4+1</f>
        <v>45352</v>
      </c>
      <c r="G3" s="76">
        <f t="shared" si="0"/>
        <v>45383</v>
      </c>
      <c r="H3" s="76">
        <f t="shared" si="0"/>
        <v>45413</v>
      </c>
      <c r="I3" s="76">
        <f t="shared" si="0"/>
        <v>45444</v>
      </c>
      <c r="J3" s="76">
        <f t="shared" si="0"/>
        <v>45474</v>
      </c>
      <c r="K3" s="76">
        <f t="shared" si="0"/>
        <v>45505</v>
      </c>
      <c r="L3" s="76">
        <f t="shared" si="0"/>
        <v>45536</v>
      </c>
      <c r="M3" s="76">
        <f t="shared" si="0"/>
        <v>45566</v>
      </c>
      <c r="N3" s="76">
        <f t="shared" si="0"/>
        <v>45597</v>
      </c>
      <c r="O3" s="76">
        <f t="shared" si="0"/>
        <v>45627</v>
      </c>
      <c r="P3" s="77">
        <f>+D3</f>
        <v>45292</v>
      </c>
    </row>
    <row r="4" spans="2:17" s="27" customFormat="1" x14ac:dyDescent="0.2">
      <c r="B4" s="72" t="s">
        <v>91</v>
      </c>
      <c r="C4" s="74"/>
      <c r="D4" s="76">
        <f>EOMONTH(D3,0)</f>
        <v>45322</v>
      </c>
      <c r="E4" s="76">
        <f>EOMONTH(E3,0)</f>
        <v>45351</v>
      </c>
      <c r="F4" s="76">
        <f t="shared" ref="F4:O4" si="1">EOMONTH(F3,0)</f>
        <v>45382</v>
      </c>
      <c r="G4" s="76">
        <f t="shared" si="1"/>
        <v>45412</v>
      </c>
      <c r="H4" s="76">
        <f t="shared" si="1"/>
        <v>45443</v>
      </c>
      <c r="I4" s="76">
        <f t="shared" si="1"/>
        <v>45473</v>
      </c>
      <c r="J4" s="76">
        <f t="shared" si="1"/>
        <v>45504</v>
      </c>
      <c r="K4" s="76">
        <f t="shared" si="1"/>
        <v>45535</v>
      </c>
      <c r="L4" s="76">
        <f t="shared" si="1"/>
        <v>45565</v>
      </c>
      <c r="M4" s="76">
        <f t="shared" si="1"/>
        <v>45596</v>
      </c>
      <c r="N4" s="76">
        <f t="shared" si="1"/>
        <v>45626</v>
      </c>
      <c r="O4" s="76">
        <f t="shared" si="1"/>
        <v>45657</v>
      </c>
      <c r="P4" s="77">
        <f>+O4</f>
        <v>45657</v>
      </c>
    </row>
    <row r="5" spans="2:17" s="27" customFormat="1" x14ac:dyDescent="0.2">
      <c r="B5" s="72" t="s">
        <v>92</v>
      </c>
      <c r="C5" s="74"/>
      <c r="D5" s="78">
        <f>+D4-D3+1</f>
        <v>31</v>
      </c>
      <c r="E5" s="78">
        <f t="shared" ref="E5:O5" si="2">+E4-E3+1</f>
        <v>29</v>
      </c>
      <c r="F5" s="78">
        <f t="shared" si="2"/>
        <v>31</v>
      </c>
      <c r="G5" s="78">
        <f t="shared" si="2"/>
        <v>30</v>
      </c>
      <c r="H5" s="78">
        <f t="shared" si="2"/>
        <v>31</v>
      </c>
      <c r="I5" s="78">
        <f t="shared" si="2"/>
        <v>30</v>
      </c>
      <c r="J5" s="78">
        <f t="shared" si="2"/>
        <v>31</v>
      </c>
      <c r="K5" s="78">
        <f t="shared" si="2"/>
        <v>31</v>
      </c>
      <c r="L5" s="78">
        <f t="shared" si="2"/>
        <v>30</v>
      </c>
      <c r="M5" s="78">
        <f t="shared" si="2"/>
        <v>31</v>
      </c>
      <c r="N5" s="78">
        <f t="shared" si="2"/>
        <v>30</v>
      </c>
      <c r="O5" s="78">
        <f t="shared" si="2"/>
        <v>31</v>
      </c>
      <c r="P5" s="79">
        <f>+SUM(D5:O5)</f>
        <v>366</v>
      </c>
    </row>
    <row r="6" spans="2:17" s="27" customFormat="1" x14ac:dyDescent="0.2">
      <c r="B6" s="72" t="s">
        <v>93</v>
      </c>
      <c r="C6" s="74"/>
      <c r="D6" s="72">
        <f>NETWORKDAYS(D3,D4)</f>
        <v>23</v>
      </c>
      <c r="E6" s="72">
        <f t="shared" ref="E6:O6" si="3">NETWORKDAYS(E3,E4)</f>
        <v>21</v>
      </c>
      <c r="F6" s="72">
        <f t="shared" si="3"/>
        <v>21</v>
      </c>
      <c r="G6" s="72">
        <f t="shared" si="3"/>
        <v>22</v>
      </c>
      <c r="H6" s="72">
        <f t="shared" si="3"/>
        <v>23</v>
      </c>
      <c r="I6" s="72">
        <f t="shared" si="3"/>
        <v>20</v>
      </c>
      <c r="J6" s="72">
        <f t="shared" si="3"/>
        <v>23</v>
      </c>
      <c r="K6" s="72">
        <f t="shared" si="3"/>
        <v>22</v>
      </c>
      <c r="L6" s="72">
        <f t="shared" si="3"/>
        <v>21</v>
      </c>
      <c r="M6" s="72">
        <f t="shared" si="3"/>
        <v>23</v>
      </c>
      <c r="N6" s="72">
        <f t="shared" si="3"/>
        <v>21</v>
      </c>
      <c r="O6" s="72">
        <f t="shared" si="3"/>
        <v>22</v>
      </c>
      <c r="P6" s="79">
        <f>+SUM(D6:O6)</f>
        <v>262</v>
      </c>
    </row>
    <row r="7" spans="2:17" s="27" customFormat="1" x14ac:dyDescent="0.2">
      <c r="B7" s="72" t="s">
        <v>94</v>
      </c>
      <c r="C7" s="74"/>
      <c r="D7" s="78">
        <f>+D5-D6</f>
        <v>8</v>
      </c>
      <c r="E7" s="78">
        <f t="shared" ref="E7:O7" si="4">+E5-E6</f>
        <v>8</v>
      </c>
      <c r="F7" s="78">
        <f t="shared" si="4"/>
        <v>10</v>
      </c>
      <c r="G7" s="78">
        <f t="shared" si="4"/>
        <v>8</v>
      </c>
      <c r="H7" s="78">
        <f t="shared" si="4"/>
        <v>8</v>
      </c>
      <c r="I7" s="78">
        <f t="shared" si="4"/>
        <v>10</v>
      </c>
      <c r="J7" s="78">
        <f t="shared" si="4"/>
        <v>8</v>
      </c>
      <c r="K7" s="78">
        <f t="shared" si="4"/>
        <v>9</v>
      </c>
      <c r="L7" s="78">
        <f t="shared" si="4"/>
        <v>9</v>
      </c>
      <c r="M7" s="78">
        <f t="shared" si="4"/>
        <v>8</v>
      </c>
      <c r="N7" s="78">
        <f t="shared" si="4"/>
        <v>9</v>
      </c>
      <c r="O7" s="78">
        <f t="shared" si="4"/>
        <v>9</v>
      </c>
      <c r="P7" s="79">
        <f>+SUM(D7:O7)</f>
        <v>104</v>
      </c>
    </row>
    <row r="8" spans="2:17" x14ac:dyDescent="0.2">
      <c r="P8" s="70"/>
    </row>
    <row r="9" spans="2:17" x14ac:dyDescent="0.2">
      <c r="B9" s="67" t="s">
        <v>99</v>
      </c>
      <c r="P9" s="70"/>
    </row>
    <row r="10" spans="2:17" x14ac:dyDescent="0.2">
      <c r="B10" s="2" t="s">
        <v>73</v>
      </c>
      <c r="C10" s="12" t="s">
        <v>13</v>
      </c>
      <c r="D10" s="80">
        <v>10</v>
      </c>
      <c r="E10" s="80">
        <f>+D10</f>
        <v>10</v>
      </c>
      <c r="F10" s="80">
        <f t="shared" ref="F10:O10" si="5">+E10</f>
        <v>10</v>
      </c>
      <c r="G10" s="80">
        <f t="shared" si="5"/>
        <v>10</v>
      </c>
      <c r="H10" s="80">
        <f t="shared" si="5"/>
        <v>10</v>
      </c>
      <c r="I10" s="80">
        <v>0</v>
      </c>
      <c r="J10" s="80">
        <v>0</v>
      </c>
      <c r="K10" s="80">
        <v>0</v>
      </c>
      <c r="L10" s="80">
        <v>10</v>
      </c>
      <c r="M10" s="80">
        <f t="shared" si="5"/>
        <v>10</v>
      </c>
      <c r="N10" s="80">
        <f t="shared" si="5"/>
        <v>10</v>
      </c>
      <c r="O10" s="81">
        <f t="shared" si="5"/>
        <v>10</v>
      </c>
      <c r="P10" s="71"/>
      <c r="Q10" s="27" t="s">
        <v>114</v>
      </c>
    </row>
    <row r="11" spans="2:17" x14ac:dyDescent="0.2">
      <c r="B11" s="2" t="s">
        <v>60</v>
      </c>
      <c r="C11" s="12" t="s">
        <v>3</v>
      </c>
      <c r="D11" s="82"/>
      <c r="E11" s="82"/>
      <c r="F11" s="82"/>
      <c r="G11" s="82"/>
      <c r="H11" s="82"/>
      <c r="I11" s="80">
        <v>8</v>
      </c>
      <c r="J11" s="80">
        <v>8</v>
      </c>
      <c r="K11" s="80">
        <v>8</v>
      </c>
      <c r="L11" s="82"/>
      <c r="M11" s="82"/>
      <c r="N11" s="82"/>
      <c r="O11" s="82"/>
      <c r="P11" s="71"/>
      <c r="Q11" s="27" t="s">
        <v>113</v>
      </c>
    </row>
    <row r="12" spans="2:17" x14ac:dyDescent="0.2"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71"/>
    </row>
    <row r="13" spans="2:17" x14ac:dyDescent="0.2">
      <c r="B13" s="67" t="s">
        <v>100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71"/>
    </row>
    <row r="14" spans="2:17" x14ac:dyDescent="0.2">
      <c r="B14" s="2" t="s">
        <v>73</v>
      </c>
      <c r="C14" s="12" t="s">
        <v>13</v>
      </c>
      <c r="D14" s="80">
        <v>24</v>
      </c>
      <c r="E14" s="80">
        <f>+D14</f>
        <v>24</v>
      </c>
      <c r="F14" s="80">
        <f t="shared" ref="F14:O14" si="6">+E14</f>
        <v>24</v>
      </c>
      <c r="G14" s="80">
        <f t="shared" si="6"/>
        <v>24</v>
      </c>
      <c r="H14" s="80">
        <f t="shared" si="6"/>
        <v>24</v>
      </c>
      <c r="I14" s="80">
        <v>0</v>
      </c>
      <c r="J14" s="80">
        <v>0</v>
      </c>
      <c r="K14" s="80">
        <v>0</v>
      </c>
      <c r="L14" s="80">
        <v>24</v>
      </c>
      <c r="M14" s="80">
        <f t="shared" si="6"/>
        <v>24</v>
      </c>
      <c r="N14" s="80">
        <f t="shared" si="6"/>
        <v>24</v>
      </c>
      <c r="O14" s="81">
        <f t="shared" si="6"/>
        <v>24</v>
      </c>
      <c r="P14" s="71"/>
    </row>
    <row r="15" spans="2:17" x14ac:dyDescent="0.2">
      <c r="B15" s="2" t="s">
        <v>60</v>
      </c>
      <c r="C15" s="12" t="s">
        <v>3</v>
      </c>
      <c r="D15" s="82"/>
      <c r="E15" s="82"/>
      <c r="F15" s="82"/>
      <c r="G15" s="82"/>
      <c r="H15" s="82"/>
      <c r="I15" s="80">
        <v>24</v>
      </c>
      <c r="J15" s="80">
        <v>24</v>
      </c>
      <c r="K15" s="80">
        <v>24</v>
      </c>
      <c r="L15" s="82"/>
      <c r="M15" s="82"/>
      <c r="N15" s="82"/>
      <c r="O15" s="82"/>
      <c r="P15" s="71"/>
    </row>
    <row r="16" spans="2:17" x14ac:dyDescent="0.2"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71"/>
    </row>
    <row r="17" spans="2:17" x14ac:dyDescent="0.2">
      <c r="B17" s="67" t="s">
        <v>96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71"/>
    </row>
    <row r="18" spans="2:17" x14ac:dyDescent="0.2">
      <c r="B18" s="2" t="s">
        <v>73</v>
      </c>
      <c r="C18" s="12" t="s">
        <v>13</v>
      </c>
      <c r="D18" s="19">
        <f t="shared" ref="D18:O18" si="7">(D10*D6+D14*D7)/2</f>
        <v>211</v>
      </c>
      <c r="E18" s="19">
        <f t="shared" si="7"/>
        <v>201</v>
      </c>
      <c r="F18" s="19">
        <f t="shared" si="7"/>
        <v>225</v>
      </c>
      <c r="G18" s="19">
        <f t="shared" si="7"/>
        <v>206</v>
      </c>
      <c r="H18" s="19">
        <f t="shared" si="7"/>
        <v>211</v>
      </c>
      <c r="I18" s="19">
        <f t="shared" si="7"/>
        <v>0</v>
      </c>
      <c r="J18" s="19">
        <f t="shared" si="7"/>
        <v>0</v>
      </c>
      <c r="K18" s="19">
        <f t="shared" si="7"/>
        <v>0</v>
      </c>
      <c r="L18" s="19">
        <f t="shared" si="7"/>
        <v>213</v>
      </c>
      <c r="M18" s="19">
        <f t="shared" si="7"/>
        <v>211</v>
      </c>
      <c r="N18" s="19">
        <f t="shared" si="7"/>
        <v>213</v>
      </c>
      <c r="O18" s="19">
        <f t="shared" si="7"/>
        <v>218</v>
      </c>
      <c r="P18" s="71">
        <f>+SUM(D18:O18)</f>
        <v>1909</v>
      </c>
      <c r="Q18" s="27" t="s">
        <v>110</v>
      </c>
    </row>
    <row r="19" spans="2:17" x14ac:dyDescent="0.2">
      <c r="B19" s="2" t="s">
        <v>60</v>
      </c>
      <c r="C19" s="12" t="s">
        <v>3</v>
      </c>
      <c r="D19" s="19">
        <f t="shared" ref="D19:O19" si="8">+D11*D6+D15*D7</f>
        <v>0</v>
      </c>
      <c r="E19" s="19">
        <f t="shared" si="8"/>
        <v>0</v>
      </c>
      <c r="F19" s="19">
        <f t="shared" si="8"/>
        <v>0</v>
      </c>
      <c r="G19" s="19">
        <f t="shared" si="8"/>
        <v>0</v>
      </c>
      <c r="H19" s="19">
        <f t="shared" si="8"/>
        <v>0</v>
      </c>
      <c r="I19" s="19">
        <f t="shared" si="8"/>
        <v>400</v>
      </c>
      <c r="J19" s="19">
        <f t="shared" si="8"/>
        <v>376</v>
      </c>
      <c r="K19" s="19">
        <f t="shared" si="8"/>
        <v>392</v>
      </c>
      <c r="L19" s="19">
        <f t="shared" si="8"/>
        <v>0</v>
      </c>
      <c r="M19" s="19">
        <f t="shared" si="8"/>
        <v>0</v>
      </c>
      <c r="N19" s="19">
        <f t="shared" si="8"/>
        <v>0</v>
      </c>
      <c r="O19" s="19">
        <f t="shared" si="8"/>
        <v>0</v>
      </c>
      <c r="P19" s="71">
        <f>+SUM(D19:O19)</f>
        <v>1168</v>
      </c>
      <c r="Q19" s="27" t="s">
        <v>112</v>
      </c>
    </row>
    <row r="20" spans="2:17" x14ac:dyDescent="0.2"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71"/>
    </row>
    <row r="21" spans="2:17" x14ac:dyDescent="0.2">
      <c r="B21" s="67" t="s">
        <v>95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71"/>
    </row>
    <row r="22" spans="2:17" x14ac:dyDescent="0.2">
      <c r="B22" s="2" t="s">
        <v>73</v>
      </c>
      <c r="C22" s="12" t="s">
        <v>2</v>
      </c>
      <c r="D22" s="19">
        <f>MIN('Peak Shave'!$F$13,'Peak Shave'!$F$15/2)</f>
        <v>1000</v>
      </c>
      <c r="E22" s="19">
        <f>MIN('Peak Shave'!$F$13,'Peak Shave'!$F$15/2)</f>
        <v>1000</v>
      </c>
      <c r="F22" s="19">
        <f>MIN('Peak Shave'!$F$13,'Peak Shave'!$F$15/2)</f>
        <v>1000</v>
      </c>
      <c r="G22" s="19">
        <f>MIN('Peak Shave'!$F$13,'Peak Shave'!$F$15/2)</f>
        <v>1000</v>
      </c>
      <c r="H22" s="19">
        <f>MIN('Peak Shave'!$F$13,'Peak Shave'!$F$15/2)</f>
        <v>1000</v>
      </c>
      <c r="I22" s="19">
        <f>MIN('Peak Shave'!$F$13,'Peak Shave'!$F$15/2)</f>
        <v>1000</v>
      </c>
      <c r="J22" s="19">
        <f>MIN('Peak Shave'!$F$13,'Peak Shave'!$F$15/2)</f>
        <v>1000</v>
      </c>
      <c r="K22" s="19">
        <f>MIN('Peak Shave'!$F$13,'Peak Shave'!$F$15/2)</f>
        <v>1000</v>
      </c>
      <c r="L22" s="19">
        <f>MIN('Peak Shave'!$F$13,'Peak Shave'!$F$15/2)</f>
        <v>1000</v>
      </c>
      <c r="M22" s="19">
        <f>MIN('Peak Shave'!$F$13,'Peak Shave'!$F$15/2)</f>
        <v>1000</v>
      </c>
      <c r="N22" s="19">
        <f>MIN('Peak Shave'!$F$13,'Peak Shave'!$F$15/2)</f>
        <v>1000</v>
      </c>
      <c r="O22" s="19">
        <f>MIN('Peak Shave'!$F$13,'Peak Shave'!$F$15/2)</f>
        <v>1000</v>
      </c>
      <c r="P22" s="71"/>
      <c r="Q22" s="27" t="s">
        <v>109</v>
      </c>
    </row>
    <row r="23" spans="2:17" x14ac:dyDescent="0.2">
      <c r="B23" s="2" t="s">
        <v>60</v>
      </c>
      <c r="C23" s="12" t="s">
        <v>3</v>
      </c>
      <c r="D23" s="19">
        <f>+'Peak Shave'!$F$13</f>
        <v>1000</v>
      </c>
      <c r="E23" s="19">
        <f>+'Peak Shave'!$F$13</f>
        <v>1000</v>
      </c>
      <c r="F23" s="19">
        <f>+'Peak Shave'!$F$13</f>
        <v>1000</v>
      </c>
      <c r="G23" s="19">
        <f>+'Peak Shave'!$F$13</f>
        <v>1000</v>
      </c>
      <c r="H23" s="19">
        <f>+'Peak Shave'!$F$13</f>
        <v>1000</v>
      </c>
      <c r="I23" s="19">
        <f>+'Peak Shave'!$F$13</f>
        <v>1000</v>
      </c>
      <c r="J23" s="19">
        <f>+'Peak Shave'!$F$13</f>
        <v>1000</v>
      </c>
      <c r="K23" s="19">
        <f>+'Peak Shave'!$F$13</f>
        <v>1000</v>
      </c>
      <c r="L23" s="19">
        <f>+'Peak Shave'!$F$13</f>
        <v>1000</v>
      </c>
      <c r="M23" s="19">
        <f>+'Peak Shave'!$F$13</f>
        <v>1000</v>
      </c>
      <c r="N23" s="19">
        <f>+'Peak Shave'!$F$13</f>
        <v>1000</v>
      </c>
      <c r="O23" s="19">
        <f>+'Peak Shave'!$F$13</f>
        <v>1000</v>
      </c>
      <c r="P23" s="71"/>
      <c r="Q23" s="27" t="s">
        <v>108</v>
      </c>
    </row>
    <row r="24" spans="2:17" x14ac:dyDescent="0.2"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71"/>
    </row>
    <row r="25" spans="2:17" x14ac:dyDescent="0.2">
      <c r="B25" s="67" t="s">
        <v>77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71"/>
    </row>
    <row r="26" spans="2:17" x14ac:dyDescent="0.2">
      <c r="B26" s="2" t="s">
        <v>73</v>
      </c>
      <c r="C26" s="12" t="s">
        <v>102</v>
      </c>
      <c r="D26" s="19">
        <f>20*11.5</f>
        <v>230</v>
      </c>
      <c r="E26" s="19">
        <f>20*11.5</f>
        <v>230</v>
      </c>
      <c r="F26" s="19">
        <f>20*11.5</f>
        <v>230</v>
      </c>
      <c r="G26" s="19">
        <f>17*11.5</f>
        <v>195.5</v>
      </c>
      <c r="H26" s="19">
        <f t="shared" ref="H26:L26" si="9">17*11.5</f>
        <v>195.5</v>
      </c>
      <c r="I26" s="19">
        <f t="shared" si="9"/>
        <v>195.5</v>
      </c>
      <c r="J26" s="19">
        <f t="shared" si="9"/>
        <v>195.5</v>
      </c>
      <c r="K26" s="19">
        <f t="shared" si="9"/>
        <v>195.5</v>
      </c>
      <c r="L26" s="19">
        <f t="shared" si="9"/>
        <v>195.5</v>
      </c>
      <c r="M26" s="19">
        <f t="shared" ref="M26:O26" si="10">20*11.5</f>
        <v>230</v>
      </c>
      <c r="N26" s="19">
        <f t="shared" si="10"/>
        <v>230</v>
      </c>
      <c r="O26" s="19">
        <f t="shared" si="10"/>
        <v>230</v>
      </c>
      <c r="P26" s="71"/>
      <c r="Q26" s="27" t="s">
        <v>111</v>
      </c>
    </row>
    <row r="27" spans="2:17" x14ac:dyDescent="0.2">
      <c r="B27" s="2" t="s">
        <v>60</v>
      </c>
      <c r="C27" s="12" t="s">
        <v>3</v>
      </c>
      <c r="D27" s="82"/>
      <c r="E27" s="82"/>
      <c r="F27" s="82"/>
      <c r="G27" s="82"/>
      <c r="H27" s="82"/>
      <c r="I27" s="19">
        <v>115</v>
      </c>
      <c r="J27" s="19">
        <v>115</v>
      </c>
      <c r="K27" s="19">
        <v>115</v>
      </c>
      <c r="L27" s="82"/>
      <c r="M27" s="82"/>
      <c r="N27" s="82"/>
      <c r="O27" s="82"/>
      <c r="P27" s="71"/>
      <c r="Q27" s="27" t="s">
        <v>107</v>
      </c>
    </row>
    <row r="28" spans="2:17" x14ac:dyDescent="0.2"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71"/>
    </row>
    <row r="29" spans="2:17" x14ac:dyDescent="0.2">
      <c r="B29" s="67" t="s">
        <v>101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71"/>
    </row>
    <row r="30" spans="2:17" x14ac:dyDescent="0.2">
      <c r="B30" s="7" t="s">
        <v>73</v>
      </c>
      <c r="C30" s="9" t="s">
        <v>103</v>
      </c>
      <c r="D30" s="91">
        <f t="shared" ref="D30:O30" si="11">+D18*D26*D22/1000</f>
        <v>48530</v>
      </c>
      <c r="E30" s="91">
        <f t="shared" si="11"/>
        <v>46230</v>
      </c>
      <c r="F30" s="91">
        <f t="shared" si="11"/>
        <v>51750</v>
      </c>
      <c r="G30" s="91">
        <f t="shared" si="11"/>
        <v>40273</v>
      </c>
      <c r="H30" s="91">
        <f t="shared" si="11"/>
        <v>41250.5</v>
      </c>
      <c r="I30" s="91">
        <f t="shared" si="11"/>
        <v>0</v>
      </c>
      <c r="J30" s="91">
        <f t="shared" si="11"/>
        <v>0</v>
      </c>
      <c r="K30" s="91">
        <f t="shared" si="11"/>
        <v>0</v>
      </c>
      <c r="L30" s="91">
        <f t="shared" si="11"/>
        <v>41641.5</v>
      </c>
      <c r="M30" s="91">
        <f t="shared" si="11"/>
        <v>48530</v>
      </c>
      <c r="N30" s="91">
        <f t="shared" si="11"/>
        <v>48990</v>
      </c>
      <c r="O30" s="91">
        <f t="shared" si="11"/>
        <v>50140</v>
      </c>
      <c r="P30" s="92">
        <f>+SUM(D30:O30)</f>
        <v>417335</v>
      </c>
      <c r="Q30" s="94"/>
    </row>
    <row r="31" spans="2:17" x14ac:dyDescent="0.2">
      <c r="B31" s="14" t="s">
        <v>60</v>
      </c>
      <c r="C31" s="16" t="s">
        <v>3</v>
      </c>
      <c r="D31" s="54">
        <f t="shared" ref="D31:O31" si="12">+D19*D27*D23/1000</f>
        <v>0</v>
      </c>
      <c r="E31" s="54">
        <f t="shared" si="12"/>
        <v>0</v>
      </c>
      <c r="F31" s="54">
        <f t="shared" si="12"/>
        <v>0</v>
      </c>
      <c r="G31" s="54">
        <f t="shared" si="12"/>
        <v>0</v>
      </c>
      <c r="H31" s="54">
        <f t="shared" si="12"/>
        <v>0</v>
      </c>
      <c r="I31" s="54">
        <f t="shared" si="12"/>
        <v>46000</v>
      </c>
      <c r="J31" s="54">
        <f t="shared" si="12"/>
        <v>43240</v>
      </c>
      <c r="K31" s="54">
        <f t="shared" si="12"/>
        <v>45080</v>
      </c>
      <c r="L31" s="54">
        <f t="shared" si="12"/>
        <v>0</v>
      </c>
      <c r="M31" s="54">
        <f t="shared" si="12"/>
        <v>0</v>
      </c>
      <c r="N31" s="54">
        <f t="shared" si="12"/>
        <v>0</v>
      </c>
      <c r="O31" s="54">
        <f t="shared" si="12"/>
        <v>0</v>
      </c>
      <c r="P31" s="93">
        <f>+SUM(D31:O31)</f>
        <v>134320</v>
      </c>
      <c r="Q31" s="94"/>
    </row>
    <row r="32" spans="2:17" s="66" customFormat="1" x14ac:dyDescent="0.2">
      <c r="B32" s="87" t="s">
        <v>104</v>
      </c>
      <c r="C32" s="88" t="s">
        <v>3</v>
      </c>
      <c r="D32" s="89">
        <f>+SUM(D30:D31)</f>
        <v>48530</v>
      </c>
      <c r="E32" s="89">
        <f t="shared" ref="E32:P32" si="13">+SUM(E30:E31)</f>
        <v>46230</v>
      </c>
      <c r="F32" s="89">
        <f t="shared" si="13"/>
        <v>51750</v>
      </c>
      <c r="G32" s="89">
        <f t="shared" si="13"/>
        <v>40273</v>
      </c>
      <c r="H32" s="89">
        <f t="shared" si="13"/>
        <v>41250.5</v>
      </c>
      <c r="I32" s="89">
        <f t="shared" si="13"/>
        <v>46000</v>
      </c>
      <c r="J32" s="89">
        <f t="shared" si="13"/>
        <v>43240</v>
      </c>
      <c r="K32" s="89">
        <f t="shared" si="13"/>
        <v>45080</v>
      </c>
      <c r="L32" s="89">
        <f t="shared" si="13"/>
        <v>41641.5</v>
      </c>
      <c r="M32" s="89">
        <f t="shared" si="13"/>
        <v>48530</v>
      </c>
      <c r="N32" s="89">
        <f t="shared" si="13"/>
        <v>48990</v>
      </c>
      <c r="O32" s="89">
        <f t="shared" si="13"/>
        <v>50140</v>
      </c>
      <c r="P32" s="90">
        <f t="shared" si="13"/>
        <v>551655</v>
      </c>
      <c r="Q32" s="27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8695778-d4ee-4a57-b701-b802712c2be5" xsi:nil="true"/>
    <lcf76f155ced4ddcb4097134ff3c332f xmlns="c2ee71fe-03db-40e4-8cf5-1f6390f831ef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C3080D1E01AC74F9358EDA7BA0D21C1" ma:contentTypeVersion="13" ma:contentTypeDescription="Opprett et nytt dokument." ma:contentTypeScope="" ma:versionID="9a554b6c8180689392b3a77f7a810fc6">
  <xsd:schema xmlns:xsd="http://www.w3.org/2001/XMLSchema" xmlns:xs="http://www.w3.org/2001/XMLSchema" xmlns:p="http://schemas.microsoft.com/office/2006/metadata/properties" xmlns:ns2="c2ee71fe-03db-40e4-8cf5-1f6390f831ef" xmlns:ns3="78695778-d4ee-4a57-b701-b802712c2be5" targetNamespace="http://schemas.microsoft.com/office/2006/metadata/properties" ma:root="true" ma:fieldsID="a1b772dceac0d79a350a2545932a5978" ns2:_="" ns3:_="">
    <xsd:import namespace="c2ee71fe-03db-40e4-8cf5-1f6390f831ef"/>
    <xsd:import namespace="78695778-d4ee-4a57-b701-b802712c2b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ee71fe-03db-40e4-8cf5-1f6390f831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ildemerkelapper" ma:readOnly="false" ma:fieldId="{5cf76f15-5ced-4ddc-b409-7134ff3c332f}" ma:taxonomyMulti="true" ma:sspId="fb10d26c-d469-4238-95e0-aa38070e11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695778-d4ee-4a57-b701-b802712c2be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7975088-e95b-428f-8b46-a2a05af2e0c4}" ma:internalName="TaxCatchAll" ma:showField="CatchAllData" ma:web="78695778-d4ee-4a57-b701-b802712c2be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9BDA13-B41A-4FED-BD69-DD75AF21E091}">
  <ds:schemaRefs>
    <ds:schemaRef ds:uri="http://schemas.microsoft.com/office/2006/metadata/properties"/>
    <ds:schemaRef ds:uri="http://schemas.microsoft.com/office/infopath/2007/PartnerControls"/>
    <ds:schemaRef ds:uri="78695778-d4ee-4a57-b701-b802712c2be5"/>
    <ds:schemaRef ds:uri="c2ee71fe-03db-40e4-8cf5-1f6390f831ef"/>
  </ds:schemaRefs>
</ds:datastoreItem>
</file>

<file path=customXml/itemProps2.xml><?xml version="1.0" encoding="utf-8"?>
<ds:datastoreItem xmlns:ds="http://schemas.openxmlformats.org/officeDocument/2006/customXml" ds:itemID="{B0FC76B7-F1C7-4E86-9F80-C1A31652B0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ee71fe-03db-40e4-8cf5-1f6390f831ef"/>
    <ds:schemaRef ds:uri="78695778-d4ee-4a57-b701-b802712c2b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D3E2E18-D146-48C4-85BD-031E792EF5A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Oppsummering Alnabru</vt:lpstr>
      <vt:lpstr>Månedlig kontantstrøm</vt:lpstr>
      <vt:lpstr>Peak Shave</vt:lpstr>
      <vt:lpstr>Markedsdeltakelse - Plan 1</vt:lpstr>
      <vt:lpstr>Markedsdeltakelse - Plan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Morten Årstad Gilje</dc:creator>
  <cp:lastModifiedBy>Divya Verma</cp:lastModifiedBy>
  <cp:lastPrinted>2024-12-04T11:49:37Z</cp:lastPrinted>
  <dcterms:created xsi:type="dcterms:W3CDTF">2024-12-02T09:56:24Z</dcterms:created>
  <dcterms:modified xsi:type="dcterms:W3CDTF">2024-12-08T00:28:16Z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0x0101000C3080D1E01AC74F9358EDA7BA0D21C1</vt:lpwstr>
  </property>
</Properties>
</file>