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Divyam Jain\IIT Kharagpur\Spring Semester 2020\Financial Analytics\2. IPO Valuation\"/>
    </mc:Choice>
  </mc:AlternateContent>
  <xr:revisionPtr revIDLastSave="0" documentId="13_ncr:1_{DAD44079-AED0-41A4-B417-5B041DAFFC4F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Balance Sheet" sheetId="1" r:id="rId1"/>
    <sheet name="P&amp;L" sheetId="2" r:id="rId2"/>
    <sheet name="Cash Flow" sheetId="3" r:id="rId3"/>
    <sheet name="Assumptions" sheetId="4" r:id="rId4"/>
    <sheet name="Beta" sheetId="7" r:id="rId5"/>
    <sheet name="Fixed Assets" sheetId="5" r:id="rId6"/>
    <sheet name="Valuation" sheetId="6" r:id="rId7"/>
  </sheets>
  <definedNames>
    <definedName name="gr">Assumptions!$F$22</definedName>
    <definedName name="keu">Assumptions!$F$21</definedName>
    <definedName name="tr">Assumptions!$F$5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4" l="1"/>
  <c r="F3" i="2"/>
  <c r="G3" i="2" s="1"/>
  <c r="H3" i="2" s="1"/>
  <c r="I3" i="2" s="1"/>
  <c r="J3" i="2" s="1"/>
  <c r="K3" i="2" s="1"/>
  <c r="L3" i="2" s="1"/>
  <c r="M3" i="2" s="1"/>
  <c r="N3" i="2" s="1"/>
  <c r="O3" i="2" s="1"/>
  <c r="C7" i="6"/>
  <c r="D7" i="6"/>
  <c r="E7" i="6"/>
  <c r="F7" i="6"/>
  <c r="G7" i="6"/>
  <c r="H7" i="6"/>
  <c r="I7" i="6"/>
  <c r="J7" i="6"/>
  <c r="K7" i="6"/>
  <c r="B7" i="6"/>
  <c r="D65" i="1"/>
  <c r="E65" i="1"/>
  <c r="C65" i="1"/>
  <c r="C6" i="6"/>
  <c r="D6" i="6"/>
  <c r="E6" i="6"/>
  <c r="F6" i="6"/>
  <c r="G6" i="6"/>
  <c r="H6" i="6"/>
  <c r="I6" i="6"/>
  <c r="J6" i="6"/>
  <c r="K6" i="6"/>
  <c r="B6" i="6"/>
  <c r="O36" i="3"/>
  <c r="M36" i="3"/>
  <c r="N36" i="3" s="1"/>
  <c r="G36" i="3"/>
  <c r="H36" i="3" s="1"/>
  <c r="I36" i="3" s="1"/>
  <c r="J36" i="3" s="1"/>
  <c r="K36" i="3" s="1"/>
  <c r="L36" i="3" s="1"/>
  <c r="F36" i="3"/>
  <c r="E19" i="4"/>
  <c r="C19" i="4"/>
  <c r="D19" i="4"/>
  <c r="B19" i="4"/>
  <c r="G47" i="1"/>
  <c r="H47" i="1"/>
  <c r="G37" i="1"/>
  <c r="H37" i="1" s="1"/>
  <c r="F37" i="1"/>
  <c r="G17" i="2"/>
  <c r="H17" i="2"/>
  <c r="I17" i="2"/>
  <c r="J17" i="2"/>
  <c r="K17" i="2"/>
  <c r="L17" i="2"/>
  <c r="M17" i="2"/>
  <c r="N17" i="2"/>
  <c r="O17" i="2"/>
  <c r="F2" i="2"/>
  <c r="G2" i="2" s="1"/>
  <c r="H2" i="2" s="1"/>
  <c r="G6" i="1"/>
  <c r="H6" i="1"/>
  <c r="I6" i="1"/>
  <c r="J6" i="1"/>
  <c r="K6" i="1"/>
  <c r="L6" i="1"/>
  <c r="M6" i="1"/>
  <c r="N6" i="1"/>
  <c r="O6" i="1"/>
  <c r="F6" i="1"/>
  <c r="G5" i="1"/>
  <c r="H5" i="1"/>
  <c r="I5" i="1"/>
  <c r="J5" i="1"/>
  <c r="K5" i="1"/>
  <c r="L5" i="1"/>
  <c r="M5" i="1"/>
  <c r="N5" i="1"/>
  <c r="O5" i="1"/>
  <c r="F5" i="1"/>
  <c r="E18" i="4"/>
  <c r="C18" i="4"/>
  <c r="D18" i="4"/>
  <c r="B18" i="4"/>
  <c r="E17" i="4"/>
  <c r="C17" i="4"/>
  <c r="D17" i="4"/>
  <c r="B17" i="4"/>
  <c r="D27" i="1"/>
  <c r="E27" i="1"/>
  <c r="C27" i="1"/>
  <c r="B15" i="4"/>
  <c r="C15" i="4"/>
  <c r="D15" i="4"/>
  <c r="D15" i="1"/>
  <c r="C16" i="4" s="1"/>
  <c r="E15" i="1"/>
  <c r="D16" i="4" s="1"/>
  <c r="C15" i="1"/>
  <c r="B16" i="4" s="1"/>
  <c r="C14" i="4"/>
  <c r="D14" i="4"/>
  <c r="B14" i="4"/>
  <c r="D3" i="5"/>
  <c r="E3" i="5"/>
  <c r="F3" i="5"/>
  <c r="G3" i="5"/>
  <c r="H3" i="5"/>
  <c r="I3" i="5"/>
  <c r="J3" i="5"/>
  <c r="K3" i="5"/>
  <c r="L3" i="5"/>
  <c r="C3" i="5"/>
  <c r="B4" i="5"/>
  <c r="C2" i="5"/>
  <c r="C10" i="4"/>
  <c r="D10" i="4"/>
  <c r="B10" i="4"/>
  <c r="B9" i="4"/>
  <c r="F47" i="1"/>
  <c r="C9" i="4"/>
  <c r="D9" i="4"/>
  <c r="C7" i="4"/>
  <c r="D7" i="4"/>
  <c r="B7" i="4"/>
  <c r="C6" i="4"/>
  <c r="B6" i="4"/>
  <c r="D6" i="4"/>
  <c r="E5" i="4"/>
  <c r="C5" i="4"/>
  <c r="D5" i="4"/>
  <c r="B5" i="4"/>
  <c r="E4" i="4"/>
  <c r="C4" i="4"/>
  <c r="D4" i="4"/>
  <c r="B4" i="4"/>
  <c r="D15" i="2"/>
  <c r="E15" i="2"/>
  <c r="C15" i="2"/>
  <c r="D3" i="4"/>
  <c r="C3" i="4"/>
  <c r="E3" i="4" s="1"/>
  <c r="D2" i="4"/>
  <c r="C2" i="4"/>
  <c r="E2" i="4" s="1"/>
  <c r="F4" i="2" l="1"/>
  <c r="F7" i="1" s="1"/>
  <c r="I37" i="1"/>
  <c r="H4" i="2"/>
  <c r="I2" i="2"/>
  <c r="G4" i="2"/>
  <c r="E10" i="4"/>
  <c r="E14" i="4"/>
  <c r="E16" i="4"/>
  <c r="E15" i="4"/>
  <c r="E9" i="4"/>
  <c r="E7" i="4"/>
  <c r="C4" i="5"/>
  <c r="D2" i="5" s="1"/>
  <c r="F45" i="1" l="1"/>
  <c r="F27" i="1"/>
  <c r="H55" i="1"/>
  <c r="H45" i="1"/>
  <c r="H19" i="1"/>
  <c r="H58" i="1"/>
  <c r="K47" i="1"/>
  <c r="H15" i="1"/>
  <c r="H27" i="1"/>
  <c r="H15" i="2"/>
  <c r="H18" i="2" s="1"/>
  <c r="H19" i="2" s="1"/>
  <c r="H21" i="2" s="1"/>
  <c r="H25" i="2" s="1"/>
  <c r="H29" i="2" s="1"/>
  <c r="G55" i="1"/>
  <c r="G45" i="1"/>
  <c r="G58" i="1"/>
  <c r="G15" i="1"/>
  <c r="J47" i="1"/>
  <c r="G27" i="1"/>
  <c r="G15" i="2"/>
  <c r="G18" i="2" s="1"/>
  <c r="G19" i="2" s="1"/>
  <c r="G21" i="2" s="1"/>
  <c r="G25" i="2" s="1"/>
  <c r="G29" i="2" s="1"/>
  <c r="G19" i="1"/>
  <c r="F55" i="1"/>
  <c r="I47" i="1"/>
  <c r="F19" i="1"/>
  <c r="F15" i="1"/>
  <c r="F15" i="2"/>
  <c r="B3" i="6" s="1"/>
  <c r="B4" i="6" s="1"/>
  <c r="B5" i="6" s="1"/>
  <c r="B9" i="6" s="1"/>
  <c r="J37" i="1"/>
  <c r="G8" i="1"/>
  <c r="G7" i="1"/>
  <c r="G16" i="1" s="1"/>
  <c r="I4" i="2"/>
  <c r="J2" i="2"/>
  <c r="H7" i="1"/>
  <c r="H8" i="1"/>
  <c r="F8" i="1"/>
  <c r="F16" i="1" s="1"/>
  <c r="F58" i="1"/>
  <c r="D4" i="5"/>
  <c r="E2" i="5" s="1"/>
  <c r="D6" i="5"/>
  <c r="C6" i="5"/>
  <c r="F17" i="2" s="1"/>
  <c r="F18" i="2" s="1"/>
  <c r="F19" i="2" s="1"/>
  <c r="F21" i="2" s="1"/>
  <c r="F25" i="2" s="1"/>
  <c r="F29" i="2" s="1"/>
  <c r="F38" i="1" s="1"/>
  <c r="H16" i="1" l="1"/>
  <c r="I58" i="1"/>
  <c r="I15" i="1"/>
  <c r="I27" i="1"/>
  <c r="I15" i="2"/>
  <c r="I18" i="2" s="1"/>
  <c r="I19" i="2" s="1"/>
  <c r="I21" i="2" s="1"/>
  <c r="I25" i="2" s="1"/>
  <c r="I29" i="2" s="1"/>
  <c r="I55" i="1"/>
  <c r="I45" i="1"/>
  <c r="I19" i="1"/>
  <c r="L47" i="1"/>
  <c r="C3" i="6"/>
  <c r="C4" i="6" s="1"/>
  <c r="C5" i="6" s="1"/>
  <c r="C9" i="6" s="1"/>
  <c r="D3" i="6"/>
  <c r="D4" i="6" s="1"/>
  <c r="D5" i="6" s="1"/>
  <c r="D9" i="6" s="1"/>
  <c r="F39" i="1"/>
  <c r="F60" i="1" s="1"/>
  <c r="G38" i="1"/>
  <c r="K37" i="1"/>
  <c r="I7" i="1"/>
  <c r="I8" i="1"/>
  <c r="K2" i="2"/>
  <c r="J4" i="2"/>
  <c r="E4" i="5"/>
  <c r="F2" i="5" s="1"/>
  <c r="E6" i="5"/>
  <c r="E3" i="6" l="1"/>
  <c r="E4" i="6" s="1"/>
  <c r="E5" i="6" s="1"/>
  <c r="E9" i="6" s="1"/>
  <c r="I16" i="1"/>
  <c r="J58" i="1"/>
  <c r="M47" i="1"/>
  <c r="J15" i="1"/>
  <c r="J27" i="1"/>
  <c r="J15" i="2"/>
  <c r="J18" i="2" s="1"/>
  <c r="J19" i="2" s="1"/>
  <c r="J21" i="2" s="1"/>
  <c r="J25" i="2" s="1"/>
  <c r="J29" i="2" s="1"/>
  <c r="J55" i="1"/>
  <c r="J45" i="1"/>
  <c r="J19" i="1"/>
  <c r="G39" i="1"/>
  <c r="G60" i="1" s="1"/>
  <c r="G63" i="1" s="1"/>
  <c r="G28" i="1" s="1"/>
  <c r="G30" i="1" s="1"/>
  <c r="H38" i="1"/>
  <c r="L37" i="1"/>
  <c r="L2" i="2"/>
  <c r="K4" i="2"/>
  <c r="J8" i="1"/>
  <c r="J7" i="1"/>
  <c r="F4" i="5"/>
  <c r="G2" i="5" s="1"/>
  <c r="F6" i="5"/>
  <c r="J16" i="1" l="1"/>
  <c r="K19" i="1"/>
  <c r="N47" i="1"/>
  <c r="K58" i="1"/>
  <c r="K15" i="1"/>
  <c r="K27" i="1"/>
  <c r="K15" i="2"/>
  <c r="K18" i="2" s="1"/>
  <c r="K19" i="2" s="1"/>
  <c r="K21" i="2" s="1"/>
  <c r="K25" i="2" s="1"/>
  <c r="K29" i="2" s="1"/>
  <c r="K55" i="1"/>
  <c r="K45" i="1"/>
  <c r="F3" i="6"/>
  <c r="F4" i="6" s="1"/>
  <c r="F5" i="6" s="1"/>
  <c r="F9" i="6" s="1"/>
  <c r="I38" i="1"/>
  <c r="H39" i="1"/>
  <c r="H60" i="1" s="1"/>
  <c r="H63" i="1" s="1"/>
  <c r="H28" i="1" s="1"/>
  <c r="H30" i="1" s="1"/>
  <c r="G65" i="1"/>
  <c r="G32" i="1"/>
  <c r="G62" i="1" s="1"/>
  <c r="M37" i="1"/>
  <c r="K8" i="1"/>
  <c r="K7" i="1"/>
  <c r="M2" i="2"/>
  <c r="L4" i="2"/>
  <c r="G4" i="5"/>
  <c r="H2" i="5" s="1"/>
  <c r="G6" i="5"/>
  <c r="G3" i="6" l="1"/>
  <c r="G4" i="6" s="1"/>
  <c r="G5" i="6" s="1"/>
  <c r="G9" i="6" s="1"/>
  <c r="K16" i="1"/>
  <c r="L27" i="1"/>
  <c r="L15" i="2"/>
  <c r="L18" i="2" s="1"/>
  <c r="L55" i="1"/>
  <c r="L45" i="1"/>
  <c r="L19" i="1"/>
  <c r="H3" i="6"/>
  <c r="H4" i="6" s="1"/>
  <c r="H5" i="6" s="1"/>
  <c r="H9" i="6" s="1"/>
  <c r="L58" i="1"/>
  <c r="O47" i="1"/>
  <c r="L15" i="1"/>
  <c r="L19" i="2"/>
  <c r="L21" i="2" s="1"/>
  <c r="L25" i="2" s="1"/>
  <c r="L29" i="2" s="1"/>
  <c r="H32" i="1"/>
  <c r="H62" i="1" s="1"/>
  <c r="H65" i="1"/>
  <c r="D10" i="6" s="1"/>
  <c r="J38" i="1"/>
  <c r="I39" i="1"/>
  <c r="I60" i="1" s="1"/>
  <c r="I63" i="1" s="1"/>
  <c r="I28" i="1" s="1"/>
  <c r="I30" i="1" s="1"/>
  <c r="N37" i="1"/>
  <c r="M4" i="2"/>
  <c r="N2" i="2"/>
  <c r="L7" i="1"/>
  <c r="L16" i="1" s="1"/>
  <c r="L8" i="1"/>
  <c r="H4" i="5"/>
  <c r="I2" i="5" s="1"/>
  <c r="H6" i="5"/>
  <c r="M27" i="1" l="1"/>
  <c r="M15" i="2"/>
  <c r="M18" i="2" s="1"/>
  <c r="M19" i="1"/>
  <c r="M55" i="1"/>
  <c r="M45" i="1"/>
  <c r="M58" i="1"/>
  <c r="M15" i="1"/>
  <c r="M19" i="2"/>
  <c r="M21" i="2" s="1"/>
  <c r="M25" i="2" s="1"/>
  <c r="M29" i="2" s="1"/>
  <c r="K38" i="1"/>
  <c r="J39" i="1"/>
  <c r="J60" i="1" s="1"/>
  <c r="J63" i="1" s="1"/>
  <c r="J28" i="1" s="1"/>
  <c r="J30" i="1" s="1"/>
  <c r="I32" i="1"/>
  <c r="I62" i="1" s="1"/>
  <c r="I65" i="1"/>
  <c r="E10" i="6" s="1"/>
  <c r="O37" i="1"/>
  <c r="O2" i="2"/>
  <c r="O4" i="2" s="1"/>
  <c r="N4" i="2"/>
  <c r="M7" i="1"/>
  <c r="M16" i="1" s="1"/>
  <c r="M8" i="1"/>
  <c r="I4" i="5"/>
  <c r="J2" i="5" s="1"/>
  <c r="I6" i="5"/>
  <c r="O55" i="1" l="1"/>
  <c r="O45" i="1"/>
  <c r="O58" i="1"/>
  <c r="O15" i="1"/>
  <c r="O27" i="1"/>
  <c r="O15" i="2"/>
  <c r="O18" i="2" s="1"/>
  <c r="O19" i="2" s="1"/>
  <c r="O21" i="2" s="1"/>
  <c r="O25" i="2" s="1"/>
  <c r="O29" i="2" s="1"/>
  <c r="O19" i="1"/>
  <c r="N58" i="1"/>
  <c r="N15" i="1"/>
  <c r="N15" i="2"/>
  <c r="N18" i="2" s="1"/>
  <c r="N19" i="2" s="1"/>
  <c r="N21" i="2" s="1"/>
  <c r="N25" i="2" s="1"/>
  <c r="N29" i="2" s="1"/>
  <c r="N27" i="1"/>
  <c r="N55" i="1"/>
  <c r="N45" i="1"/>
  <c r="N19" i="1"/>
  <c r="I3" i="6"/>
  <c r="I4" i="6" s="1"/>
  <c r="I5" i="6" s="1"/>
  <c r="I9" i="6" s="1"/>
  <c r="J32" i="1"/>
  <c r="J62" i="1" s="1"/>
  <c r="J65" i="1"/>
  <c r="F10" i="6" s="1"/>
  <c r="L38" i="1"/>
  <c r="K39" i="1"/>
  <c r="K60" i="1" s="1"/>
  <c r="K63" i="1" s="1"/>
  <c r="K28" i="1" s="1"/>
  <c r="K30" i="1" s="1"/>
  <c r="N8" i="1"/>
  <c r="N7" i="1"/>
  <c r="O8" i="1"/>
  <c r="O7" i="1"/>
  <c r="J4" i="5"/>
  <c r="K2" i="5" s="1"/>
  <c r="O16" i="1" l="1"/>
  <c r="K3" i="6"/>
  <c r="K4" i="6" s="1"/>
  <c r="K5" i="6" s="1"/>
  <c r="K9" i="6" s="1"/>
  <c r="J3" i="6"/>
  <c r="J4" i="6" s="1"/>
  <c r="J5" i="6" s="1"/>
  <c r="J9" i="6" s="1"/>
  <c r="N16" i="1"/>
  <c r="M38" i="1"/>
  <c r="L39" i="1"/>
  <c r="L60" i="1" s="1"/>
  <c r="L63" i="1" s="1"/>
  <c r="L28" i="1" s="1"/>
  <c r="L30" i="1" s="1"/>
  <c r="K32" i="1"/>
  <c r="K62" i="1" s="1"/>
  <c r="K65" i="1"/>
  <c r="G10" i="6" s="1"/>
  <c r="J6" i="5"/>
  <c r="K4" i="5"/>
  <c r="L2" i="5" s="1"/>
  <c r="K6" i="5"/>
  <c r="L32" i="1" l="1"/>
  <c r="L62" i="1" s="1"/>
  <c r="L65" i="1"/>
  <c r="H10" i="6" s="1"/>
  <c r="N38" i="1"/>
  <c r="M39" i="1"/>
  <c r="M60" i="1" s="1"/>
  <c r="M63" i="1" s="1"/>
  <c r="M28" i="1" s="1"/>
  <c r="M30" i="1" s="1"/>
  <c r="L4" i="5"/>
  <c r="L6" i="5"/>
  <c r="O38" i="1" l="1"/>
  <c r="O39" i="1" s="1"/>
  <c r="O60" i="1" s="1"/>
  <c r="O63" i="1" s="1"/>
  <c r="O28" i="1" s="1"/>
  <c r="O30" i="1" s="1"/>
  <c r="N39" i="1"/>
  <c r="N60" i="1" s="1"/>
  <c r="N63" i="1" s="1"/>
  <c r="N28" i="1" s="1"/>
  <c r="N30" i="1" s="1"/>
  <c r="M32" i="1"/>
  <c r="M62" i="1" s="1"/>
  <c r="M65" i="1"/>
  <c r="I10" i="6" s="1"/>
  <c r="N32" i="1" l="1"/>
  <c r="N62" i="1" s="1"/>
  <c r="N65" i="1"/>
  <c r="J10" i="6" s="1"/>
  <c r="O32" i="1"/>
  <c r="O62" i="1" s="1"/>
  <c r="O65" i="1"/>
  <c r="K11" i="6" l="1"/>
  <c r="K10" i="6"/>
  <c r="F63" i="1" l="1"/>
  <c r="F28" i="1" l="1"/>
  <c r="F29" i="1"/>
  <c r="F30" i="1" l="1"/>
  <c r="F32" i="1" l="1"/>
  <c r="F62" i="1" s="1"/>
  <c r="F65" i="1"/>
  <c r="B10" i="6" l="1"/>
  <c r="C10" i="6"/>
  <c r="B11" i="6" l="1"/>
  <c r="B14" i="6" s="1"/>
</calcChain>
</file>

<file path=xl/sharedStrings.xml><?xml version="1.0" encoding="utf-8"?>
<sst xmlns="http://schemas.openxmlformats.org/spreadsheetml/2006/main" count="270" uniqueCount="221">
  <si>
    <t>Particulars</t>
  </si>
  <si>
    <t>31st March 2017</t>
  </si>
  <si>
    <t>31st March 2018</t>
  </si>
  <si>
    <t>31st March 2019</t>
  </si>
  <si>
    <t>I.</t>
  </si>
  <si>
    <t>ASSETS</t>
  </si>
  <si>
    <t>Non-current assets</t>
  </si>
  <si>
    <t>Property, Plant and Equipment</t>
  </si>
  <si>
    <t>Capital work-in-progress</t>
  </si>
  <si>
    <t>Investment Property</t>
  </si>
  <si>
    <t>Other Intangible Assets</t>
  </si>
  <si>
    <t>Financial Assets</t>
  </si>
  <si>
    <t>Investments</t>
  </si>
  <si>
    <t>Loans</t>
  </si>
  <si>
    <t>Other Financial Assets</t>
  </si>
  <si>
    <t xml:space="preserve">Deferred Tax Assets (Net) </t>
  </si>
  <si>
    <t>Other Non-Current Assets</t>
  </si>
  <si>
    <t>Total Non Current Assets</t>
  </si>
  <si>
    <t>Current assets</t>
  </si>
  <si>
    <t>Inventories</t>
  </si>
  <si>
    <t>Trade Receivables</t>
  </si>
  <si>
    <t>Cash and Cash Equivalents</t>
  </si>
  <si>
    <t>Bank Balances other than (ii) above</t>
  </si>
  <si>
    <t>Others</t>
  </si>
  <si>
    <t>Current Tax Assets (Net)</t>
  </si>
  <si>
    <t>Other Current Assets</t>
  </si>
  <si>
    <t>Total Current Assets</t>
  </si>
  <si>
    <t>Total Assets</t>
  </si>
  <si>
    <t>II.</t>
  </si>
  <si>
    <t>EQUITY AND LIABILITIES</t>
  </si>
  <si>
    <t>Equity</t>
  </si>
  <si>
    <t>Equity Share Capital</t>
  </si>
  <si>
    <t xml:space="preserve">Other Equity </t>
  </si>
  <si>
    <t>Total Equity</t>
  </si>
  <si>
    <t>Liabilities</t>
  </si>
  <si>
    <t>(i)</t>
  </si>
  <si>
    <t>Non-current liabilities</t>
  </si>
  <si>
    <t>Financial Liabilities</t>
  </si>
  <si>
    <t>Other Financial Liabilities</t>
  </si>
  <si>
    <t>Provisions</t>
  </si>
  <si>
    <t xml:space="preserve">Other Non-Current Liabilities </t>
  </si>
  <si>
    <t>Total Non Current Liabilities</t>
  </si>
  <si>
    <t>(ii)</t>
  </si>
  <si>
    <t>Current Liabilities</t>
  </si>
  <si>
    <t>Trade Payables</t>
  </si>
  <si>
    <t>total outstanding dues of micro enterprises and small enterprises</t>
  </si>
  <si>
    <t>total outstanding dues of creditors other than micro enterprises and small enterprises</t>
  </si>
  <si>
    <t>Other Current Liabilities</t>
  </si>
  <si>
    <t>Current Tax Liability (Net)</t>
  </si>
  <si>
    <t>Total Current Liabilities</t>
  </si>
  <si>
    <t>Total Equity and Liabilities</t>
  </si>
  <si>
    <t>Revenue from operations</t>
  </si>
  <si>
    <t>Other Income</t>
  </si>
  <si>
    <t>Total Revenue (I+II)</t>
  </si>
  <si>
    <t>Expenses</t>
  </si>
  <si>
    <t>Cost of Materials Consumed</t>
  </si>
  <si>
    <t>Excise Duty</t>
  </si>
  <si>
    <t>-</t>
  </si>
  <si>
    <t>Purchase of Stock-in-Trade</t>
  </si>
  <si>
    <t>Changes in Inventories of finished goods, work-in-progress and Stock-in-Trade</t>
  </si>
  <si>
    <t>Expenses of Catering Services</t>
  </si>
  <si>
    <t>Expenses of Tourism</t>
  </si>
  <si>
    <t>Manufacturing &amp; Direct Expenses</t>
  </si>
  <si>
    <t>Employee benefit expense</t>
  </si>
  <si>
    <t>Finance costs</t>
  </si>
  <si>
    <t>Depreciation and amortization expense</t>
  </si>
  <si>
    <t>Other Expenses</t>
  </si>
  <si>
    <t>Total Expenses (IV)</t>
  </si>
  <si>
    <t>Profit before exceptional items and tax (III - IV)</t>
  </si>
  <si>
    <t>Exceptional Items</t>
  </si>
  <si>
    <t>Profit before tax (V+VI)</t>
  </si>
  <si>
    <t>Tax expense:</t>
  </si>
  <si>
    <t>(1) Current tax</t>
  </si>
  <si>
    <t>(2) Deferred tax</t>
  </si>
  <si>
    <t>Profit/(Loss) for the period from continuing operations (VII-VIII)</t>
  </si>
  <si>
    <t>Profit/(Loss) from discontinued operations</t>
  </si>
  <si>
    <t>Tax expense of discontinued operations</t>
  </si>
  <si>
    <t>Profit/(Loss) from discontinued operations (X - XI)</t>
  </si>
  <si>
    <t>Profit/(Loss) for the period (IX + XII)</t>
  </si>
  <si>
    <t>For the year ended</t>
  </si>
  <si>
    <t>A. Cash Flow from Operating Activities</t>
  </si>
  <si>
    <t>Profit before tax</t>
  </si>
  <si>
    <t>Adjustments for :-</t>
  </si>
  <si>
    <t>Depreciation</t>
  </si>
  <si>
    <t>Loss on sale of Fixed Assets</t>
  </si>
  <si>
    <t>Profit on sale of Fixed Assets</t>
  </si>
  <si>
    <t>Interest Income</t>
  </si>
  <si>
    <t>Dividend Received</t>
  </si>
  <si>
    <t>Other Comprehensive Income</t>
  </si>
  <si>
    <t>Operating Profit before operating capital changes</t>
  </si>
  <si>
    <t>Decrease / (Increase) in Inventories</t>
  </si>
  <si>
    <t>Decrease/ (Increase) in Trade &amp; Other Receivables</t>
  </si>
  <si>
    <t>Decrease/ (Increase) in Other Non Current Financial assets</t>
  </si>
  <si>
    <t>Decrease/ (Increase) in Other Current Financial assets</t>
  </si>
  <si>
    <t>Decrease/ (Increase) in Current tax assets</t>
  </si>
  <si>
    <t>Decrease/ (Increase) in Other Current assets</t>
  </si>
  <si>
    <t>Decrease/ (Increase) in Other Non Current assets</t>
  </si>
  <si>
    <t>Decrease/ (Increase) in Financial Assets Loans</t>
  </si>
  <si>
    <t>(Decrease) / Increase in other Non current financial liability</t>
  </si>
  <si>
    <t>(Decrease) / Increase in Non Current Provisions</t>
  </si>
  <si>
    <t>(Decrease) / Increase in Other Non current liabilities</t>
  </si>
  <si>
    <t>(Decrease) / Increase in trade payables</t>
  </si>
  <si>
    <t>(Decrease) / Increase in Other financial liability</t>
  </si>
  <si>
    <t>(Decrease) / Increase in Other Current Liability</t>
  </si>
  <si>
    <t>(Decrease) / Increase in Current provisions</t>
  </si>
  <si>
    <t>Cash generated from operation</t>
  </si>
  <si>
    <t>(1+2)</t>
  </si>
  <si>
    <t>Income Tax Paid</t>
  </si>
  <si>
    <t>Total Cash generated from Operating Activities</t>
  </si>
  <si>
    <t>B. Cash Flow From Investing Activities</t>
  </si>
  <si>
    <t>Sale/Disposal of Property, Plant and Equipment's &amp; Other intangible assets</t>
  </si>
  <si>
    <t>Purchase of Property, Plant and Equipment's &amp; Other intangible assets</t>
  </si>
  <si>
    <t>Interest Receivable</t>
  </si>
  <si>
    <t>Changes in Other Bank balances</t>
  </si>
  <si>
    <t>Net Cash used in Investing Activities</t>
  </si>
  <si>
    <t>C. Cash Flow From Financing Activities</t>
  </si>
  <si>
    <t>Dividend Paid (including Tax on Dividend)</t>
  </si>
  <si>
    <t>Net Cash generated from Financing Activities</t>
  </si>
  <si>
    <t>Net Increase/(Decrease) in Cash and Cash Equivalents (A+B+C)</t>
  </si>
  <si>
    <t>Opening Cash &amp; Cash Equivalents</t>
  </si>
  <si>
    <t>Closing Cash &amp; Cash Equivalents</t>
  </si>
  <si>
    <t>Reconciliation of Cash &amp; Cash Equivalents</t>
  </si>
  <si>
    <t>Cash and Cash Equivalent Comprises of</t>
  </si>
  <si>
    <t>Cash on hand</t>
  </si>
  <si>
    <t>Cheques/drafts on hand</t>
  </si>
  <si>
    <t>Balances with banks:</t>
  </si>
  <si>
    <t>– In Current Account</t>
  </si>
  <si>
    <t>– In Flexi Account</t>
  </si>
  <si>
    <t>– In Fixed Deposits with original maturity of less than three months</t>
  </si>
  <si>
    <t>Cash and Cash Equivalents as per Balance Sheet</t>
  </si>
  <si>
    <t>I</t>
  </si>
  <si>
    <t>V</t>
  </si>
  <si>
    <t>II</t>
  </si>
  <si>
    <t>III</t>
  </si>
  <si>
    <t>IV</t>
  </si>
  <si>
    <t>VI</t>
  </si>
  <si>
    <t>VII</t>
  </si>
  <si>
    <t>VIII</t>
  </si>
  <si>
    <t>IX</t>
  </si>
  <si>
    <t>X</t>
  </si>
  <si>
    <t>XI</t>
  </si>
  <si>
    <t>XII</t>
  </si>
  <si>
    <t>XIII</t>
  </si>
  <si>
    <t>For the year</t>
  </si>
  <si>
    <t xml:space="preserve">For the year </t>
  </si>
  <si>
    <t>% increase in operating revenue</t>
  </si>
  <si>
    <t>Assumed</t>
  </si>
  <si>
    <t>% increase in other income</t>
  </si>
  <si>
    <t xml:space="preserve">Total </t>
  </si>
  <si>
    <t>COGS/Revenue</t>
  </si>
  <si>
    <t>Tax Ratio</t>
  </si>
  <si>
    <t>(Corporate Tax cut)</t>
  </si>
  <si>
    <t>Provisions/Sales (Non-current)</t>
  </si>
  <si>
    <t>Provisions/Sales (Current)</t>
  </si>
  <si>
    <t>(As no debt issued - earlier finance costs was on unwinding of discount on security deposits)</t>
  </si>
  <si>
    <t>Total non-current liabilities/Sales</t>
  </si>
  <si>
    <t>Total current liabilties/Sales</t>
  </si>
  <si>
    <t>Depreciation Rate</t>
  </si>
  <si>
    <t>Opening Gross Block</t>
  </si>
  <si>
    <t>Closing Gross Block</t>
  </si>
  <si>
    <t>Addition (Sale) of fixed assets</t>
  </si>
  <si>
    <t>Addition/Sale of fixed assets</t>
  </si>
  <si>
    <t>Capital work in progress</t>
  </si>
  <si>
    <t>Investment Property/Sales</t>
  </si>
  <si>
    <t>A</t>
  </si>
  <si>
    <t>B</t>
  </si>
  <si>
    <t>C</t>
  </si>
  <si>
    <t>A+B+C</t>
  </si>
  <si>
    <t>Other Intangible Asset/Sales</t>
  </si>
  <si>
    <t>A+B+C/Sales</t>
  </si>
  <si>
    <t>Inventories/Sales</t>
  </si>
  <si>
    <t>D</t>
  </si>
  <si>
    <t>E</t>
  </si>
  <si>
    <t>F</t>
  </si>
  <si>
    <t>D+E+F</t>
  </si>
  <si>
    <t>D+E+F/Sales</t>
  </si>
  <si>
    <t>TL-TA</t>
  </si>
  <si>
    <t xml:space="preserve">X </t>
  </si>
  <si>
    <t>Short Term Debt</t>
  </si>
  <si>
    <t>EBIT</t>
  </si>
  <si>
    <t>Tax</t>
  </si>
  <si>
    <t>PAT</t>
  </si>
  <si>
    <t>Capex</t>
  </si>
  <si>
    <t>Issue of shares</t>
  </si>
  <si>
    <t>FCF</t>
  </si>
  <si>
    <t>PV(FCF)</t>
  </si>
  <si>
    <t>Valuation</t>
  </si>
  <si>
    <t>Number of shares outstanding</t>
  </si>
  <si>
    <t>Share Price</t>
  </si>
  <si>
    <t>Capex/Sales</t>
  </si>
  <si>
    <t>Net Current Assets</t>
  </si>
  <si>
    <t>Cost of unlevered equity</t>
  </si>
  <si>
    <t>Terminal growth rate</t>
  </si>
  <si>
    <t>in million</t>
  </si>
  <si>
    <t>IRCTC Beta</t>
  </si>
  <si>
    <t>Required Risk Premium</t>
  </si>
  <si>
    <t>Risk Free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</si>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</sst>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1F1F"/>
      <name val="Calibri"/>
      <family val="2"/>
      <scheme val="minor"/>
    </font>
    <font>
      <b/>
      <sz val="11"/>
      <color rgb="FF231F1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auto="1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/>
    <xf numFmtId="0" fontId="0" fillId="0" borderId="0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5" fillId="0" borderId="14" xfId="0" applyFont="1" applyBorder="1" applyAlignment="1">
      <alignment horizontal="center"/>
    </xf>
    <xf numFmtId="0" fontId="5" fillId="0" borderId="15" xfId="0" applyFont="1" applyBorder="1"/>
    <xf numFmtId="0" fontId="0" fillId="0" borderId="0" xfId="0" applyFill="1" applyBorder="1"/>
    <xf numFmtId="0" fontId="0" fillId="0" borderId="15" xfId="0" applyBorder="1" applyAlignment="1">
      <alignment horizontal="left" indent="2"/>
    </xf>
    <xf numFmtId="0" fontId="0" fillId="0" borderId="14" xfId="0" applyFill="1" applyBorder="1"/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5" fillId="0" borderId="18" xfId="0" applyFont="1" applyBorder="1" applyAlignment="1">
      <alignment horizontal="center"/>
    </xf>
    <xf numFmtId="0" fontId="0" fillId="0" borderId="15" xfId="0" applyBorder="1" applyAlignment="1">
      <alignment horizontal="left" indent="4"/>
    </xf>
    <xf numFmtId="0" fontId="0" fillId="0" borderId="19" xfId="0" applyBorder="1"/>
    <xf numFmtId="0" fontId="0" fillId="0" borderId="20" xfId="0" applyBorder="1"/>
    <xf numFmtId="0" fontId="2" fillId="0" borderId="0" xfId="0" applyFont="1"/>
    <xf numFmtId="0" fontId="6" fillId="0" borderId="3" xfId="0" applyFont="1" applyBorder="1" applyAlignment="1">
      <alignment horizontal="right" vertical="top" wrapText="1"/>
    </xf>
    <xf numFmtId="4" fontId="5" fillId="0" borderId="3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right" vertical="top" wrapText="1"/>
    </xf>
    <xf numFmtId="4" fontId="6" fillId="0" borderId="5" xfId="0" applyNumberFormat="1" applyFont="1" applyBorder="1" applyAlignment="1">
      <alignment horizontal="right" vertical="top" wrapText="1"/>
    </xf>
    <xf numFmtId="4" fontId="7" fillId="0" borderId="2" xfId="0" applyNumberFormat="1" applyFont="1" applyBorder="1" applyAlignment="1">
      <alignment horizontal="right" vertical="top" wrapText="1"/>
    </xf>
    <xf numFmtId="0" fontId="5" fillId="0" borderId="5" xfId="0" applyFont="1" applyBorder="1" applyAlignment="1">
      <alignment horizontal="right" vertical="top" wrapText="1"/>
    </xf>
    <xf numFmtId="4" fontId="7" fillId="0" borderId="5" xfId="0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horizontal="left" vertical="top" wrapText="1"/>
    </xf>
    <xf numFmtId="4" fontId="2" fillId="0" borderId="5" xfId="0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horizontal="right" vertical="top" wrapText="1"/>
    </xf>
    <xf numFmtId="0" fontId="2" fillId="0" borderId="11" xfId="0" applyFont="1" applyBorder="1"/>
    <xf numFmtId="4" fontId="7" fillId="0" borderId="21" xfId="0" applyNumberFormat="1" applyFont="1" applyBorder="1" applyAlignment="1">
      <alignment horizontal="right" vertical="top" wrapText="1"/>
    </xf>
    <xf numFmtId="0" fontId="4" fillId="0" borderId="2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" fontId="2" fillId="0" borderId="11" xfId="0" applyNumberFormat="1" applyFont="1" applyBorder="1"/>
    <xf numFmtId="16" fontId="2" fillId="0" borderId="12" xfId="0" applyNumberFormat="1" applyFont="1" applyBorder="1"/>
    <xf numFmtId="0" fontId="2" fillId="0" borderId="12" xfId="0" applyFont="1" applyBorder="1"/>
    <xf numFmtId="0" fontId="6" fillId="0" borderId="5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22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right" vertical="top" wrapText="1"/>
    </xf>
    <xf numFmtId="0" fontId="5" fillId="0" borderId="5" xfId="0" applyFont="1" applyBorder="1" applyAlignment="1">
      <alignment horizontal="center" vertical="top" wrapText="1"/>
    </xf>
    <xf numFmtId="4" fontId="2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0" fontId="5" fillId="0" borderId="5" xfId="0" applyFont="1" applyBorder="1" applyAlignment="1">
      <alignment horizontal="left" vertical="top" wrapText="1"/>
    </xf>
    <xf numFmtId="4" fontId="2" fillId="0" borderId="3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4" fontId="5" fillId="0" borderId="7" xfId="0" applyNumberFormat="1" applyFont="1" applyBorder="1" applyAlignment="1">
      <alignment horizontal="right" vertical="top" wrapText="1"/>
    </xf>
    <xf numFmtId="0" fontId="5" fillId="0" borderId="8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center" vertical="top" wrapText="1"/>
    </xf>
    <xf numFmtId="4" fontId="5" fillId="0" borderId="22" xfId="0" applyNumberFormat="1" applyFont="1" applyBorder="1" applyAlignment="1">
      <alignment horizontal="right" vertical="top" wrapText="1"/>
    </xf>
    <xf numFmtId="4" fontId="5" fillId="0" borderId="12" xfId="0" applyNumberFormat="1" applyFont="1" applyBorder="1" applyAlignment="1">
      <alignment horizontal="right" vertical="top" wrapText="1"/>
    </xf>
    <xf numFmtId="0" fontId="5" fillId="0" borderId="21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left" vertical="top" wrapText="1"/>
    </xf>
    <xf numFmtId="4" fontId="5" fillId="0" borderId="21" xfId="0" applyNumberFormat="1" applyFont="1" applyBorder="1" applyAlignment="1">
      <alignment horizontal="right" vertical="top" wrapText="1"/>
    </xf>
    <xf numFmtId="0" fontId="5" fillId="0" borderId="22" xfId="0" applyFont="1" applyBorder="1" applyAlignment="1">
      <alignment horizontal="right" vertical="top" wrapText="1"/>
    </xf>
    <xf numFmtId="0" fontId="1" fillId="0" borderId="0" xfId="0" applyFont="1"/>
    <xf numFmtId="17" fontId="5" fillId="0" borderId="13" xfId="0" applyNumberFormat="1" applyFont="1" applyBorder="1"/>
    <xf numFmtId="17" fontId="5" fillId="0" borderId="0" xfId="0" applyNumberFormat="1" applyFont="1"/>
    <xf numFmtId="0" fontId="5" fillId="0" borderId="24" xfId="0" applyFont="1" applyBorder="1" applyAlignment="1">
      <alignment horizontal="center" vertical="top" wrapText="1"/>
    </xf>
    <xf numFmtId="17" fontId="5" fillId="0" borderId="8" xfId="0" applyNumberFormat="1" applyFont="1" applyBorder="1" applyAlignment="1">
      <alignment horizontal="center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17" fontId="5" fillId="0" borderId="17" xfId="0" applyNumberFormat="1" applyFont="1" applyBorder="1"/>
    <xf numFmtId="17" fontId="5" fillId="0" borderId="19" xfId="0" applyNumberFormat="1" applyFont="1" applyBorder="1"/>
    <xf numFmtId="17" fontId="5" fillId="0" borderId="20" xfId="0" applyNumberFormat="1" applyFont="1" applyBorder="1"/>
    <xf numFmtId="17" fontId="0" fillId="0" borderId="0" xfId="0" applyNumberFormat="1"/>
    <xf numFmtId="0" fontId="5" fillId="2" borderId="0" xfId="0" applyFont="1" applyFill="1"/>
    <xf numFmtId="9" fontId="5" fillId="2" borderId="0" xfId="0" applyNumberFormat="1" applyFont="1" applyFill="1"/>
    <xf numFmtId="17" fontId="0" fillId="0" borderId="12" xfId="0" applyNumberFormat="1" applyBorder="1"/>
    <xf numFmtId="0" fontId="3" fillId="0" borderId="12" xfId="0" applyFont="1" applyBorder="1"/>
    <xf numFmtId="0" fontId="3" fillId="0" borderId="10" xfId="0" applyFont="1" applyBorder="1"/>
    <xf numFmtId="0" fontId="6" fillId="0" borderId="15" xfId="0" applyFont="1" applyBorder="1" applyAlignment="1">
      <alignment horizontal="left" vertical="top" wrapText="1"/>
    </xf>
    <xf numFmtId="4" fontId="6" fillId="0" borderId="16" xfId="0" applyNumberFormat="1" applyFont="1" applyBorder="1" applyAlignment="1">
      <alignment horizontal="right" vertical="top" wrapText="1"/>
    </xf>
    <xf numFmtId="0" fontId="6" fillId="0" borderId="16" xfId="0" applyFont="1" applyBorder="1" applyAlignment="1">
      <alignment horizontal="right" vertical="top" wrapText="1"/>
    </xf>
    <xf numFmtId="0" fontId="6" fillId="0" borderId="27" xfId="0" applyFont="1" applyBorder="1" applyAlignment="1">
      <alignment horizontal="right" vertical="top" wrapText="1"/>
    </xf>
    <xf numFmtId="10" fontId="5" fillId="2" borderId="0" xfId="0" applyNumberFormat="1" applyFont="1" applyFill="1"/>
    <xf numFmtId="4" fontId="3" fillId="0" borderId="0" xfId="0" applyNumberFormat="1" applyFont="1"/>
    <xf numFmtId="4" fontId="7" fillId="0" borderId="5" xfId="0" applyNumberFormat="1" applyFont="1" applyBorder="1" applyAlignment="1">
      <alignment horizontal="right" wrapText="1"/>
    </xf>
    <xf numFmtId="4" fontId="0" fillId="0" borderId="0" xfId="0" applyNumberFormat="1"/>
    <xf numFmtId="0" fontId="5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left" indent="2"/>
    </xf>
    <xf numFmtId="0" fontId="0" fillId="0" borderId="16" xfId="0" applyFill="1" applyBorder="1"/>
    <xf numFmtId="0" fontId="1" fillId="0" borderId="18" xfId="0" applyFont="1" applyBorder="1"/>
    <xf numFmtId="0" fontId="5" fillId="0" borderId="0" xfId="0" applyFont="1"/>
    <xf numFmtId="0" fontId="2" fillId="0" borderId="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zoomScale="85" zoomScaleNormal="85" workbookViewId="0">
      <selection activeCell="F33" sqref="F33"/>
    </sheetView>
  </sheetViews>
  <sheetFormatPr defaultColWidth="9" defaultRowHeight="14.4"/>
  <cols>
    <col min="2" max="2" width="43.77734375" customWidth="1"/>
    <col min="3" max="5" width="14.6640625" customWidth="1"/>
    <col min="6" max="6" width="14.6640625" bestFit="1" customWidth="1"/>
  </cols>
  <sheetData>
    <row r="1" spans="1:15" ht="15" thickBot="1">
      <c r="A1" s="2"/>
      <c r="B1" s="3" t="s">
        <v>0</v>
      </c>
      <c r="C1" s="36" t="s">
        <v>1</v>
      </c>
      <c r="D1" s="4" t="s">
        <v>2</v>
      </c>
      <c r="E1" s="5" t="s">
        <v>3</v>
      </c>
      <c r="F1" s="78">
        <v>43891</v>
      </c>
      <c r="G1" s="79">
        <v>44256</v>
      </c>
      <c r="H1" s="78">
        <v>44621</v>
      </c>
      <c r="I1" s="79">
        <v>44986</v>
      </c>
      <c r="J1" s="78">
        <v>45352</v>
      </c>
      <c r="K1" s="79">
        <v>45717</v>
      </c>
      <c r="L1" s="78">
        <v>46082</v>
      </c>
      <c r="M1" s="79">
        <v>46447</v>
      </c>
      <c r="N1" s="78">
        <v>46813</v>
      </c>
      <c r="O1" s="79">
        <v>47178</v>
      </c>
    </row>
    <row r="2" spans="1:15" ht="15.6">
      <c r="A2" s="6" t="s">
        <v>4</v>
      </c>
      <c r="B2" s="7" t="s">
        <v>5</v>
      </c>
      <c r="C2" s="8"/>
      <c r="D2" s="8"/>
      <c r="E2" s="9"/>
    </row>
    <row r="3" spans="1:15">
      <c r="A3" s="10"/>
      <c r="B3" s="11"/>
      <c r="C3" s="8"/>
      <c r="D3" s="8"/>
      <c r="E3" s="9"/>
    </row>
    <row r="4" spans="1:15">
      <c r="A4" s="12">
        <v>1</v>
      </c>
      <c r="B4" s="13" t="s">
        <v>6</v>
      </c>
      <c r="C4" s="8"/>
      <c r="D4" s="8"/>
      <c r="E4" s="9"/>
    </row>
    <row r="5" spans="1:15">
      <c r="A5" s="10"/>
      <c r="B5" s="11" t="s">
        <v>7</v>
      </c>
      <c r="C5" s="8">
        <v>1577.8</v>
      </c>
      <c r="D5" s="8">
        <v>1556.45</v>
      </c>
      <c r="E5" s="9">
        <v>1470.51</v>
      </c>
      <c r="F5">
        <f>'Fixed Assets'!C4</f>
        <v>1670.51</v>
      </c>
      <c r="G5">
        <f>'Fixed Assets'!D4</f>
        <v>1870.51</v>
      </c>
      <c r="H5">
        <f>'Fixed Assets'!E4</f>
        <v>2070.5100000000002</v>
      </c>
      <c r="I5">
        <f>'Fixed Assets'!F4</f>
        <v>2270.5100000000002</v>
      </c>
      <c r="J5">
        <f>'Fixed Assets'!G4</f>
        <v>2470.5100000000002</v>
      </c>
      <c r="K5">
        <f>'Fixed Assets'!H4</f>
        <v>2670.51</v>
      </c>
      <c r="L5">
        <f>'Fixed Assets'!I4</f>
        <v>2870.51</v>
      </c>
      <c r="M5">
        <f>'Fixed Assets'!J4</f>
        <v>3070.51</v>
      </c>
      <c r="N5">
        <f>'Fixed Assets'!K4</f>
        <v>3270.51</v>
      </c>
      <c r="O5">
        <f>'Fixed Assets'!L4</f>
        <v>3470.51</v>
      </c>
    </row>
    <row r="6" spans="1:15">
      <c r="A6" s="10"/>
      <c r="B6" s="11" t="s">
        <v>8</v>
      </c>
      <c r="C6" s="8">
        <v>168.29</v>
      </c>
      <c r="D6" s="8">
        <v>76.52</v>
      </c>
      <c r="E6" s="9">
        <v>403.75</v>
      </c>
      <c r="F6">
        <f>Assumptions!$F$13</f>
        <v>200</v>
      </c>
      <c r="G6">
        <f>Assumptions!$F$13</f>
        <v>200</v>
      </c>
      <c r="H6">
        <f>Assumptions!$F$13</f>
        <v>200</v>
      </c>
      <c r="I6">
        <f>Assumptions!$F$13</f>
        <v>200</v>
      </c>
      <c r="J6">
        <f>Assumptions!$F$13</f>
        <v>200</v>
      </c>
      <c r="K6">
        <f>Assumptions!$F$13</f>
        <v>200</v>
      </c>
      <c r="L6">
        <f>Assumptions!$F$13</f>
        <v>200</v>
      </c>
      <c r="M6">
        <f>Assumptions!$F$13</f>
        <v>200</v>
      </c>
      <c r="N6">
        <f>Assumptions!$F$13</f>
        <v>200</v>
      </c>
      <c r="O6">
        <f>Assumptions!$F$13</f>
        <v>200</v>
      </c>
    </row>
    <row r="7" spans="1:15">
      <c r="A7" s="10"/>
      <c r="B7" s="11" t="s">
        <v>9</v>
      </c>
      <c r="C7" s="8">
        <v>0</v>
      </c>
      <c r="D7" s="8">
        <v>276.14999999999998</v>
      </c>
      <c r="E7" s="9">
        <v>276.56</v>
      </c>
      <c r="F7">
        <f>Assumptions!$F$14*'P&amp;L'!F4</f>
        <v>335.79269849999997</v>
      </c>
      <c r="G7">
        <f>Assumptions!$F$14*'P&amp;L'!G4</f>
        <v>384.39582874499996</v>
      </c>
      <c r="H7">
        <f>Assumptions!$F$14*'P&amp;L'!H4</f>
        <v>440.25411303614993</v>
      </c>
      <c r="I7">
        <f>Assumptions!$F$14*'P&amp;L'!I4</f>
        <v>504.45511817056041</v>
      </c>
      <c r="J7">
        <f>Assumptions!$F$14*'P&amp;L'!J4</f>
        <v>578.24953183871219</v>
      </c>
      <c r="K7">
        <f>Assumptions!$F$14*'P&amp;L'!K4</f>
        <v>663.07563047593794</v>
      </c>
      <c r="L7">
        <f>Assumptions!$F$14*'P&amp;L'!L4</f>
        <v>760.58741728597613</v>
      </c>
      <c r="M7">
        <f>Assumptions!$F$14*'P&amp;L'!M4</f>
        <v>872.68698096229298</v>
      </c>
      <c r="N7">
        <f>Assumptions!$F$14*'P&amp;L'!N4</f>
        <v>1001.5617082117258</v>
      </c>
      <c r="O7">
        <f>Assumptions!$F$14*'P&amp;L'!O4</f>
        <v>1149.7270781506752</v>
      </c>
    </row>
    <row r="8" spans="1:15">
      <c r="A8" s="10"/>
      <c r="B8" s="11" t="s">
        <v>10</v>
      </c>
      <c r="C8" s="14">
        <v>126.18</v>
      </c>
      <c r="D8" s="14">
        <v>65.63</v>
      </c>
      <c r="E8" s="9">
        <v>75.48</v>
      </c>
      <c r="F8">
        <f>Assumptions!$F$15*'P&amp;L'!F4</f>
        <v>89.544719599999993</v>
      </c>
      <c r="G8">
        <f>Assumptions!$F$15*'P&amp;L'!G4</f>
        <v>102.505554332</v>
      </c>
      <c r="H8">
        <f>Assumptions!$F$15*'P&amp;L'!H4</f>
        <v>117.40109680963999</v>
      </c>
      <c r="I8">
        <f>Assumptions!$F$15*'P&amp;L'!I4</f>
        <v>134.52136484548279</v>
      </c>
      <c r="J8">
        <f>Assumptions!$F$15*'P&amp;L'!J4</f>
        <v>154.19987515698995</v>
      </c>
      <c r="K8">
        <f>Assumptions!$F$15*'P&amp;L'!K4</f>
        <v>176.8201681269168</v>
      </c>
      <c r="L8">
        <f>Assumptions!$F$15*'P&amp;L'!L4</f>
        <v>202.82331127626031</v>
      </c>
      <c r="M8">
        <f>Assumptions!$F$15*'P&amp;L'!M4</f>
        <v>232.71652825661147</v>
      </c>
      <c r="N8">
        <f>Assumptions!$F$15*'P&amp;L'!N4</f>
        <v>267.08312218979358</v>
      </c>
      <c r="O8">
        <f>Assumptions!$F$15*'P&amp;L'!O4</f>
        <v>306.59388750684673</v>
      </c>
    </row>
    <row r="9" spans="1:15">
      <c r="A9" s="12" t="s">
        <v>164</v>
      </c>
      <c r="B9" s="11" t="s">
        <v>11</v>
      </c>
      <c r="C9" s="8"/>
      <c r="D9" s="8"/>
      <c r="E9" s="9"/>
    </row>
    <row r="10" spans="1:15">
      <c r="A10" s="12"/>
      <c r="B10" s="15" t="s">
        <v>12</v>
      </c>
      <c r="C10" s="10">
        <v>0.03</v>
      </c>
      <c r="D10" s="8">
        <v>0.03</v>
      </c>
      <c r="E10" s="9">
        <v>0.03</v>
      </c>
    </row>
    <row r="11" spans="1:15">
      <c r="A11" s="12"/>
      <c r="B11" s="15" t="s">
        <v>13</v>
      </c>
      <c r="C11" s="16">
        <v>22</v>
      </c>
      <c r="D11" s="14">
        <v>20.59</v>
      </c>
      <c r="E11" s="9">
        <v>23.92</v>
      </c>
    </row>
    <row r="12" spans="1:15">
      <c r="A12" s="12"/>
      <c r="B12" s="15" t="s">
        <v>14</v>
      </c>
      <c r="C12" s="16">
        <v>4.09</v>
      </c>
      <c r="D12" s="14">
        <v>9.67</v>
      </c>
      <c r="E12" s="9">
        <v>0.81</v>
      </c>
    </row>
    <row r="13" spans="1:15">
      <c r="A13" s="12" t="s">
        <v>165</v>
      </c>
      <c r="B13" s="11" t="s">
        <v>15</v>
      </c>
      <c r="C13" s="16">
        <v>575.17999999999995</v>
      </c>
      <c r="D13" s="14">
        <v>463.5</v>
      </c>
      <c r="E13" s="9">
        <v>770.76</v>
      </c>
    </row>
    <row r="14" spans="1:15">
      <c r="A14" s="12" t="s">
        <v>166</v>
      </c>
      <c r="B14" s="11" t="s">
        <v>16</v>
      </c>
      <c r="C14" s="16">
        <v>124.09</v>
      </c>
      <c r="D14" s="14">
        <v>120.25</v>
      </c>
      <c r="E14" s="9">
        <v>228.72</v>
      </c>
    </row>
    <row r="15" spans="1:15">
      <c r="A15" s="10"/>
      <c r="B15" s="102" t="s">
        <v>167</v>
      </c>
      <c r="C15" s="8">
        <f>SUM(C10:C14)</f>
        <v>725.39</v>
      </c>
      <c r="D15" s="8">
        <f t="shared" ref="D15:E15" si="0">SUM(D10:D14)</f>
        <v>614.04</v>
      </c>
      <c r="E15" s="9">
        <f t="shared" si="0"/>
        <v>1024.24</v>
      </c>
      <c r="F15">
        <f>Assumptions!$F$16*'P&amp;L'!F4</f>
        <v>1119.3089950000001</v>
      </c>
      <c r="G15">
        <f>Assumptions!$F$16*'P&amp;L'!G4</f>
        <v>1281.3194291500001</v>
      </c>
      <c r="H15">
        <f>Assumptions!$F$16*'P&amp;L'!H4</f>
        <v>1467.5137101205</v>
      </c>
      <c r="I15">
        <f>Assumptions!$F$16*'P&amp;L'!I4</f>
        <v>1681.5170605685348</v>
      </c>
      <c r="J15">
        <f>Assumptions!$F$16*'P&amp;L'!J4</f>
        <v>1927.4984394623743</v>
      </c>
      <c r="K15">
        <f>Assumptions!$F$16*'P&amp;L'!K4</f>
        <v>2210.25210158646</v>
      </c>
      <c r="L15">
        <f>Assumptions!$F$16*'P&amp;L'!L4</f>
        <v>2535.291390953254</v>
      </c>
      <c r="M15">
        <f>Assumptions!$F$16*'P&amp;L'!M4</f>
        <v>2908.9566032076436</v>
      </c>
      <c r="N15">
        <f>Assumptions!$F$16*'P&amp;L'!N4</f>
        <v>3338.5390273724197</v>
      </c>
      <c r="O15">
        <f>Assumptions!$F$16*'P&amp;L'!O4</f>
        <v>3832.4235938355846</v>
      </c>
    </row>
    <row r="16" spans="1:15">
      <c r="A16" s="10"/>
      <c r="B16" s="17" t="s">
        <v>17</v>
      </c>
      <c r="C16" s="14">
        <v>2597.67</v>
      </c>
      <c r="D16" s="14">
        <v>2588.79</v>
      </c>
      <c r="E16" s="9">
        <v>3250.54</v>
      </c>
      <c r="F16">
        <f>SUM(F5:F14)</f>
        <v>2295.8474181000001</v>
      </c>
      <c r="G16">
        <f t="shared" ref="G16:O16" si="1">SUM(G5:G14)</f>
        <v>2557.4113830770002</v>
      </c>
      <c r="H16">
        <f t="shared" si="1"/>
        <v>2828.1652098457903</v>
      </c>
      <c r="I16">
        <f t="shared" si="1"/>
        <v>3109.4864830160436</v>
      </c>
      <c r="J16">
        <f t="shared" si="1"/>
        <v>3402.9594069957025</v>
      </c>
      <c r="K16">
        <f t="shared" si="1"/>
        <v>3710.4057986028552</v>
      </c>
      <c r="L16">
        <f t="shared" si="1"/>
        <v>4033.9207285622369</v>
      </c>
      <c r="M16">
        <f t="shared" si="1"/>
        <v>4375.9135092189044</v>
      </c>
      <c r="N16">
        <f t="shared" si="1"/>
        <v>4739.1548304015196</v>
      </c>
      <c r="O16">
        <f t="shared" si="1"/>
        <v>5126.830965657522</v>
      </c>
    </row>
    <row r="17" spans="1:15">
      <c r="A17" s="10"/>
      <c r="B17" s="11"/>
      <c r="C17" s="8"/>
      <c r="D17" s="8"/>
      <c r="E17" s="9"/>
    </row>
    <row r="18" spans="1:15">
      <c r="A18" s="12">
        <v>2</v>
      </c>
      <c r="B18" s="13" t="s">
        <v>18</v>
      </c>
      <c r="E18" s="9"/>
    </row>
    <row r="19" spans="1:15">
      <c r="A19" s="10"/>
      <c r="B19" s="11" t="s">
        <v>19</v>
      </c>
      <c r="C19" s="14">
        <v>65.8</v>
      </c>
      <c r="D19" s="14">
        <v>74.06</v>
      </c>
      <c r="E19" s="9">
        <v>78.900000000000006</v>
      </c>
      <c r="F19">
        <f>Assumptions!$F$17*'P&amp;L'!F4</f>
        <v>96.260573569999991</v>
      </c>
      <c r="G19">
        <f>Assumptions!$F$17*'P&amp;L'!G4</f>
        <v>110.1934709069</v>
      </c>
      <c r="H19">
        <f>Assumptions!$F$17*'P&amp;L'!H4</f>
        <v>126.20617907036299</v>
      </c>
      <c r="I19">
        <f>Assumptions!$F$17*'P&amp;L'!I4</f>
        <v>144.61046720889399</v>
      </c>
      <c r="J19">
        <f>Assumptions!$F$17*'P&amp;L'!J4</f>
        <v>165.76486579376419</v>
      </c>
      <c r="K19">
        <f>Assumptions!$F$17*'P&amp;L'!K4</f>
        <v>190.08168073643557</v>
      </c>
      <c r="L19">
        <f>Assumptions!$F$17*'P&amp;L'!L4</f>
        <v>218.03505962197983</v>
      </c>
      <c r="M19">
        <f>Assumptions!$F$17*'P&amp;L'!M4</f>
        <v>250.17026787585732</v>
      </c>
      <c r="N19">
        <f>Assumptions!$F$17*'P&amp;L'!N4</f>
        <v>287.11435635402808</v>
      </c>
      <c r="O19">
        <f>Assumptions!$F$17*'P&amp;L'!O4</f>
        <v>329.58842906986024</v>
      </c>
    </row>
    <row r="20" spans="1:15">
      <c r="A20" s="12" t="s">
        <v>171</v>
      </c>
      <c r="B20" s="11" t="s">
        <v>11</v>
      </c>
      <c r="E20" s="9"/>
    </row>
    <row r="21" spans="1:15">
      <c r="A21" s="12"/>
      <c r="B21" s="15" t="s">
        <v>20</v>
      </c>
      <c r="C21" s="14">
        <v>2894</v>
      </c>
      <c r="D21" s="14">
        <v>5509.24</v>
      </c>
      <c r="E21" s="9">
        <v>5817.33</v>
      </c>
    </row>
    <row r="22" spans="1:15">
      <c r="A22" s="12"/>
      <c r="B22" s="15" t="s">
        <v>22</v>
      </c>
      <c r="C22" s="14">
        <v>3668.45</v>
      </c>
      <c r="D22" s="14">
        <v>3407.14</v>
      </c>
      <c r="E22" s="9">
        <v>6799.66</v>
      </c>
    </row>
    <row r="23" spans="1:15">
      <c r="A23" s="12"/>
      <c r="B23" s="15" t="s">
        <v>13</v>
      </c>
      <c r="C23" s="14">
        <v>95.78</v>
      </c>
      <c r="D23" s="14">
        <v>89.86</v>
      </c>
      <c r="E23" s="9">
        <v>83.51</v>
      </c>
    </row>
    <row r="24" spans="1:15">
      <c r="A24" s="12"/>
      <c r="B24" s="15" t="s">
        <v>23</v>
      </c>
      <c r="C24" s="14">
        <v>159.19</v>
      </c>
      <c r="D24" s="14">
        <v>170.65</v>
      </c>
      <c r="E24" s="9">
        <v>347.3</v>
      </c>
    </row>
    <row r="25" spans="1:15">
      <c r="A25" s="12" t="s">
        <v>172</v>
      </c>
      <c r="B25" s="11" t="s">
        <v>24</v>
      </c>
      <c r="C25" s="14">
        <v>68.36</v>
      </c>
      <c r="D25" s="14">
        <v>82.82</v>
      </c>
      <c r="E25" s="9">
        <v>100.85</v>
      </c>
    </row>
    <row r="26" spans="1:15">
      <c r="A26" s="12" t="s">
        <v>173</v>
      </c>
      <c r="B26" s="11" t="s">
        <v>25</v>
      </c>
      <c r="C26" s="14">
        <v>3854.1</v>
      </c>
      <c r="D26" s="14">
        <v>6336.89</v>
      </c>
      <c r="E26" s="9">
        <v>4759</v>
      </c>
    </row>
    <row r="27" spans="1:15">
      <c r="A27" s="10"/>
      <c r="B27" s="102" t="s">
        <v>174</v>
      </c>
      <c r="C27" s="14">
        <f>SUM(C21:C26)</f>
        <v>10739.88</v>
      </c>
      <c r="D27" s="14">
        <f t="shared" ref="D27:E27" si="2">SUM(D21:D26)</f>
        <v>15596.599999999999</v>
      </c>
      <c r="E27" s="104">
        <f t="shared" si="2"/>
        <v>17907.650000000001</v>
      </c>
      <c r="F27">
        <f>Assumptions!$F$18*'P&amp;L'!F4</f>
        <v>21266.870905</v>
      </c>
      <c r="G27">
        <f>Assumptions!$F$18*'P&amp;L'!G4</f>
        <v>24345.06915385</v>
      </c>
      <c r="H27">
        <f>Assumptions!$F$18*'P&amp;L'!H4</f>
        <v>27882.760492289497</v>
      </c>
      <c r="I27">
        <f>Assumptions!$F$18*'P&amp;L'!I4</f>
        <v>31948.824150802157</v>
      </c>
      <c r="J27">
        <f>Assumptions!$F$18*'P&amp;L'!J4</f>
        <v>36622.470349785108</v>
      </c>
      <c r="K27">
        <f>Assumptions!$F$18*'P&amp;L'!K4</f>
        <v>41994.789930142739</v>
      </c>
      <c r="L27">
        <f>Assumptions!$F$18*'P&amp;L'!L4</f>
        <v>48170.536428111816</v>
      </c>
      <c r="M27">
        <f>Assumptions!$F$18*'P&amp;L'!M4</f>
        <v>55270.175460945218</v>
      </c>
      <c r="N27">
        <f>Assumptions!$F$18*'P&amp;L'!N4</f>
        <v>63432.241520075964</v>
      </c>
      <c r="O27">
        <f>Assumptions!$F$18*'P&amp;L'!O4</f>
        <v>72816.048282876101</v>
      </c>
    </row>
    <row r="28" spans="1:15">
      <c r="A28" s="10"/>
      <c r="B28" s="103" t="s">
        <v>21</v>
      </c>
      <c r="C28" s="8">
        <v>4861.18</v>
      </c>
      <c r="D28" s="8">
        <v>4931.59</v>
      </c>
      <c r="E28" s="9">
        <v>4600.7</v>
      </c>
      <c r="F28">
        <f>IF(F63&gt;0,F63,0)</f>
        <v>7942.1725915649986</v>
      </c>
      <c r="G28">
        <f t="shared" ref="G28:O28" si="3">IF(G63&gt;0,G63,0)</f>
        <v>11293.725628421053</v>
      </c>
      <c r="H28">
        <f t="shared" si="3"/>
        <v>15337.805885664937</v>
      </c>
      <c r="I28">
        <f t="shared" si="3"/>
        <v>19946.815938764026</v>
      </c>
      <c r="J28">
        <f t="shared" si="3"/>
        <v>25274.637107353949</v>
      </c>
      <c r="K28">
        <f t="shared" si="3"/>
        <v>31433.032098020885</v>
      </c>
      <c r="L28">
        <f t="shared" si="3"/>
        <v>38550.519328124115</v>
      </c>
      <c r="M28">
        <f t="shared" si="3"/>
        <v>46774.886108507846</v>
      </c>
      <c r="N28">
        <f t="shared" si="3"/>
        <v>56276.078800141448</v>
      </c>
      <c r="O28">
        <f t="shared" si="3"/>
        <v>67249.526490708187</v>
      </c>
    </row>
    <row r="29" spans="1:15">
      <c r="A29" s="10"/>
      <c r="B29" s="103" t="s">
        <v>178</v>
      </c>
      <c r="C29" s="8"/>
      <c r="D29" s="8"/>
      <c r="E29" s="9"/>
      <c r="F29">
        <f>IF(F63&lt;0,-F63,0)</f>
        <v>0</v>
      </c>
    </row>
    <row r="30" spans="1:15">
      <c r="A30" s="10"/>
      <c r="B30" s="11" t="s">
        <v>26</v>
      </c>
      <c r="C30" s="14">
        <v>15666.86</v>
      </c>
      <c r="D30" s="14">
        <v>20602.259999999998</v>
      </c>
      <c r="E30" s="9">
        <v>22587.25</v>
      </c>
      <c r="F30">
        <f>SUM(F19:F29)</f>
        <v>29305.304070135</v>
      </c>
      <c r="G30">
        <f>SUM(G19:G29)</f>
        <v>35748.988253177951</v>
      </c>
      <c r="H30">
        <f t="shared" ref="H30:O30" si="4">SUM(H19:H29)</f>
        <v>43346.7725570248</v>
      </c>
      <c r="I30">
        <f t="shared" si="4"/>
        <v>52040.250556775078</v>
      </c>
      <c r="J30">
        <f t="shared" si="4"/>
        <v>62062.872322932817</v>
      </c>
      <c r="K30">
        <f t="shared" si="4"/>
        <v>73617.903708900063</v>
      </c>
      <c r="L30">
        <f t="shared" si="4"/>
        <v>86939.090815857911</v>
      </c>
      <c r="M30">
        <f t="shared" si="4"/>
        <v>102295.23183732893</v>
      </c>
      <c r="N30">
        <f t="shared" si="4"/>
        <v>119995.43467657143</v>
      </c>
      <c r="O30">
        <f t="shared" si="4"/>
        <v>140395.16320265416</v>
      </c>
    </row>
    <row r="31" spans="1:15">
      <c r="A31" s="18"/>
      <c r="B31" s="19"/>
      <c r="C31" s="8"/>
      <c r="D31" s="8"/>
      <c r="E31" s="9"/>
    </row>
    <row r="32" spans="1:15">
      <c r="A32" s="3"/>
      <c r="B32" s="20" t="s">
        <v>27</v>
      </c>
      <c r="C32" s="4">
        <v>18264.54</v>
      </c>
      <c r="D32" s="4">
        <v>23191.06</v>
      </c>
      <c r="E32" s="5">
        <v>25837.8</v>
      </c>
      <c r="F32">
        <f>SUM(F16,F30)</f>
        <v>31601.151488235002</v>
      </c>
      <c r="G32">
        <f t="shared" ref="G32:N32" si="5">SUM(G16,G30)</f>
        <v>38306.399636254951</v>
      </c>
      <c r="H32">
        <f t="shared" si="5"/>
        <v>46174.937766870593</v>
      </c>
      <c r="I32">
        <f t="shared" si="5"/>
        <v>55149.737039791122</v>
      </c>
      <c r="J32">
        <f t="shared" si="5"/>
        <v>65465.831729928519</v>
      </c>
      <c r="K32">
        <f t="shared" si="5"/>
        <v>77328.309507502912</v>
      </c>
      <c r="L32">
        <f t="shared" si="5"/>
        <v>90973.011544420151</v>
      </c>
      <c r="M32">
        <f t="shared" si="5"/>
        <v>106671.14534654784</v>
      </c>
      <c r="N32">
        <f t="shared" si="5"/>
        <v>124734.58950697294</v>
      </c>
      <c r="O32">
        <f>SUM(O16,O30)</f>
        <v>145521.99416831168</v>
      </c>
    </row>
    <row r="33" spans="1:15">
      <c r="A33" s="10"/>
      <c r="B33" s="11"/>
      <c r="C33" s="8"/>
      <c r="D33" s="8"/>
      <c r="E33" s="9"/>
    </row>
    <row r="34" spans="1:15">
      <c r="A34" s="12" t="s">
        <v>28</v>
      </c>
      <c r="B34" s="13" t="s">
        <v>29</v>
      </c>
      <c r="C34" s="8"/>
      <c r="D34" s="8"/>
      <c r="E34" s="9"/>
    </row>
    <row r="35" spans="1:15">
      <c r="A35" s="10"/>
      <c r="B35" s="11"/>
      <c r="C35" s="8"/>
      <c r="D35" s="8"/>
      <c r="E35" s="9"/>
    </row>
    <row r="36" spans="1:15">
      <c r="A36" s="12">
        <v>1</v>
      </c>
      <c r="B36" s="13" t="s">
        <v>30</v>
      </c>
      <c r="C36" s="8"/>
      <c r="D36" s="8"/>
      <c r="E36" s="9"/>
    </row>
    <row r="37" spans="1:15">
      <c r="A37" s="10"/>
      <c r="B37" s="11" t="s">
        <v>31</v>
      </c>
      <c r="C37">
        <v>400</v>
      </c>
      <c r="D37" s="8">
        <v>400</v>
      </c>
      <c r="E37" s="9">
        <v>1600</v>
      </c>
      <c r="F37">
        <f>E37</f>
        <v>1600</v>
      </c>
      <c r="G37">
        <f t="shared" ref="G37:O37" si="6">F37</f>
        <v>1600</v>
      </c>
      <c r="H37">
        <f t="shared" si="6"/>
        <v>1600</v>
      </c>
      <c r="I37">
        <f t="shared" si="6"/>
        <v>1600</v>
      </c>
      <c r="J37">
        <f t="shared" si="6"/>
        <v>1600</v>
      </c>
      <c r="K37">
        <f t="shared" si="6"/>
        <v>1600</v>
      </c>
      <c r="L37">
        <f t="shared" si="6"/>
        <v>1600</v>
      </c>
      <c r="M37">
        <f t="shared" si="6"/>
        <v>1600</v>
      </c>
      <c r="N37">
        <f t="shared" si="6"/>
        <v>1600</v>
      </c>
      <c r="O37">
        <f t="shared" si="6"/>
        <v>1600</v>
      </c>
    </row>
    <row r="38" spans="1:15">
      <c r="A38" s="10"/>
      <c r="B38" s="11" t="s">
        <v>32</v>
      </c>
      <c r="C38" s="10">
        <v>7465.59</v>
      </c>
      <c r="D38" s="8">
        <v>9145.26</v>
      </c>
      <c r="E38" s="9">
        <v>8828.42</v>
      </c>
      <c r="F38" s="101">
        <f>E38+'P&amp;L'!F29</f>
        <v>12570.376563235001</v>
      </c>
      <c r="G38" s="101">
        <f>F38+'P&amp;L'!G29</f>
        <v>16858.784199004953</v>
      </c>
      <c r="H38" s="101">
        <f>G38+'P&amp;L'!H29</f>
        <v>21779.568115063092</v>
      </c>
      <c r="I38" s="101">
        <f>H38+'P&amp;L'!I29</f>
        <v>27431.533935263098</v>
      </c>
      <c r="J38" s="101">
        <f>I38+'P&amp;L'!J29</f>
        <v>33928.299594672913</v>
      </c>
      <c r="K38" s="101">
        <f>J38+'P&amp;L'!K29</f>
        <v>41400.517015609606</v>
      </c>
      <c r="L38" s="101">
        <f>K38+'P&amp;L'!L29</f>
        <v>49998.427031666521</v>
      </c>
      <c r="M38" s="101">
        <f>L38+'P&amp;L'!M29</f>
        <v>59894.797546863279</v>
      </c>
      <c r="N38" s="101">
        <f>M38+'P&amp;L'!N29</f>
        <v>71288.30241511749</v>
      </c>
      <c r="O38" s="101">
        <f>N38+'P&amp;L'!O29</f>
        <v>84407.407148015322</v>
      </c>
    </row>
    <row r="39" spans="1:15">
      <c r="A39" s="10"/>
      <c r="B39" s="11" t="s">
        <v>33</v>
      </c>
      <c r="C39">
        <v>7865.59</v>
      </c>
      <c r="D39" s="8">
        <v>9545.26</v>
      </c>
      <c r="E39" s="9">
        <v>10428.42</v>
      </c>
      <c r="F39">
        <f>SUM(F37:F38)</f>
        <v>14170.376563235001</v>
      </c>
      <c r="G39">
        <f t="shared" ref="G39:O39" si="7">SUM(G37:G38)</f>
        <v>18458.784199004953</v>
      </c>
      <c r="H39">
        <f t="shared" si="7"/>
        <v>23379.568115063092</v>
      </c>
      <c r="I39">
        <f t="shared" si="7"/>
        <v>29031.533935263098</v>
      </c>
      <c r="J39">
        <f t="shared" si="7"/>
        <v>35528.299594672913</v>
      </c>
      <c r="K39">
        <f t="shared" si="7"/>
        <v>43000.517015609606</v>
      </c>
      <c r="L39">
        <f t="shared" si="7"/>
        <v>51598.427031666521</v>
      </c>
      <c r="M39">
        <f t="shared" si="7"/>
        <v>61494.797546863279</v>
      </c>
      <c r="N39">
        <f t="shared" si="7"/>
        <v>72888.30241511749</v>
      </c>
      <c r="O39">
        <f t="shared" si="7"/>
        <v>86007.407148015322</v>
      </c>
    </row>
    <row r="40" spans="1:15">
      <c r="A40" s="10"/>
      <c r="B40" s="11"/>
      <c r="C40" s="8"/>
      <c r="D40" s="8"/>
      <c r="E40" s="9"/>
    </row>
    <row r="41" spans="1:15">
      <c r="A41" s="12">
        <v>2</v>
      </c>
      <c r="B41" s="13" t="s">
        <v>34</v>
      </c>
      <c r="C41" s="8"/>
      <c r="D41" s="8"/>
      <c r="E41" s="9"/>
    </row>
    <row r="42" spans="1:15">
      <c r="A42" s="12" t="s">
        <v>35</v>
      </c>
      <c r="B42" s="13" t="s">
        <v>36</v>
      </c>
      <c r="C42" s="8"/>
      <c r="D42" s="8"/>
      <c r="E42" s="9"/>
    </row>
    <row r="43" spans="1:15">
      <c r="A43" s="10"/>
      <c r="B43" s="11" t="s">
        <v>37</v>
      </c>
      <c r="C43" s="8"/>
      <c r="D43" s="8"/>
      <c r="E43" s="9"/>
    </row>
    <row r="44" spans="1:15">
      <c r="A44" s="10"/>
      <c r="B44" s="15" t="s">
        <v>38</v>
      </c>
      <c r="C44" s="8">
        <v>58.83</v>
      </c>
      <c r="D44" s="8">
        <v>242.32</v>
      </c>
      <c r="E44" s="9">
        <v>147.22</v>
      </c>
    </row>
    <row r="45" spans="1:15">
      <c r="A45" s="10"/>
      <c r="B45" s="11" t="s">
        <v>39</v>
      </c>
      <c r="C45" s="8">
        <v>779.74</v>
      </c>
      <c r="D45" s="8">
        <v>584.70000000000005</v>
      </c>
      <c r="E45" s="9">
        <v>461.61</v>
      </c>
      <c r="F45" s="14">
        <f>'P&amp;L'!F4*Assumptions!$F$6</f>
        <v>447.72359799999998</v>
      </c>
      <c r="G45" s="14">
        <f>'P&amp;L'!G4*Assumptions!$F$6</f>
        <v>512.52777165999998</v>
      </c>
      <c r="H45" s="14">
        <f>'P&amp;L'!H4*Assumptions!$F$6</f>
        <v>587.00548404819995</v>
      </c>
      <c r="I45" s="14">
        <f>'P&amp;L'!I4*Assumptions!$F$6</f>
        <v>672.60682422741388</v>
      </c>
      <c r="J45" s="14">
        <f>'P&amp;L'!J4*Assumptions!$F$6</f>
        <v>770.99937578494973</v>
      </c>
      <c r="K45" s="14">
        <f>'P&amp;L'!K4*Assumptions!$F$6</f>
        <v>884.10084063458407</v>
      </c>
      <c r="L45" s="14">
        <f>'P&amp;L'!L4*Assumptions!$F$6</f>
        <v>1014.1165563813015</v>
      </c>
      <c r="M45" s="14">
        <f>'P&amp;L'!M4*Assumptions!$F$6</f>
        <v>1163.5826412830572</v>
      </c>
      <c r="N45" s="14">
        <f>'P&amp;L'!N4*Assumptions!$F$6</f>
        <v>1335.4156109489679</v>
      </c>
      <c r="O45" s="14">
        <f>'P&amp;L'!O4*Assumptions!$F$6</f>
        <v>1532.9694375342337</v>
      </c>
    </row>
    <row r="46" spans="1:15">
      <c r="A46" s="10"/>
      <c r="B46" s="11" t="s">
        <v>40</v>
      </c>
      <c r="C46" s="8">
        <v>83.31</v>
      </c>
      <c r="D46" s="8">
        <v>69.349999999999994</v>
      </c>
      <c r="E46" s="9">
        <v>58.1</v>
      </c>
    </row>
    <row r="47" spans="1:15">
      <c r="A47" s="10"/>
      <c r="B47" s="11" t="s">
        <v>41</v>
      </c>
      <c r="C47" s="8">
        <v>921.87</v>
      </c>
      <c r="D47" s="14">
        <v>896.36</v>
      </c>
      <c r="E47" s="9">
        <v>666.93</v>
      </c>
      <c r="F47">
        <f>'P&amp;L'!C4*Assumptions!$F$9</f>
        <v>641.14</v>
      </c>
      <c r="G47">
        <f>'P&amp;L'!D4*Assumptions!$F$9</f>
        <v>627.82400000000007</v>
      </c>
      <c r="H47">
        <f>'P&amp;L'!E4*Assumptions!$F$9</f>
        <v>782.66399999999999</v>
      </c>
      <c r="I47">
        <f>'P&amp;L'!F4*Assumptions!$F$9</f>
        <v>895.44719599999996</v>
      </c>
      <c r="J47">
        <f>'P&amp;L'!G4*Assumptions!$F$9</f>
        <v>1025.05554332</v>
      </c>
      <c r="K47">
        <f>'P&amp;L'!H4*Assumptions!$F$9</f>
        <v>1174.0109680963999</v>
      </c>
      <c r="L47">
        <f>'P&amp;L'!I4*Assumptions!$F$9</f>
        <v>1345.2136484548278</v>
      </c>
      <c r="M47">
        <f>'P&amp;L'!J4*Assumptions!$F$9</f>
        <v>1541.9987515698995</v>
      </c>
      <c r="N47">
        <f>'P&amp;L'!K4*Assumptions!$F$9</f>
        <v>1768.2016812691681</v>
      </c>
      <c r="O47">
        <f>'P&amp;L'!L4*Assumptions!$F$9</f>
        <v>2028.233112762603</v>
      </c>
    </row>
    <row r="48" spans="1:15">
      <c r="A48" s="12" t="s">
        <v>42</v>
      </c>
      <c r="B48" s="13" t="s">
        <v>43</v>
      </c>
      <c r="C48" s="8"/>
      <c r="D48" s="8"/>
      <c r="E48" s="9"/>
    </row>
    <row r="49" spans="1:15">
      <c r="A49" s="10"/>
      <c r="B49" s="11" t="s">
        <v>37</v>
      </c>
      <c r="C49" s="8"/>
      <c r="D49" s="8"/>
      <c r="E49" s="9"/>
    </row>
    <row r="50" spans="1:15">
      <c r="A50" s="10"/>
      <c r="B50" s="15" t="s">
        <v>44</v>
      </c>
      <c r="C50" s="14">
        <v>0</v>
      </c>
      <c r="D50" s="14">
        <v>0</v>
      </c>
      <c r="E50" s="9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</row>
    <row r="51" spans="1:15">
      <c r="A51" s="10"/>
      <c r="B51" s="21" t="s">
        <v>45</v>
      </c>
      <c r="C51" s="14">
        <v>3.63</v>
      </c>
      <c r="D51" s="14">
        <v>8.6199999999999992</v>
      </c>
      <c r="E51" s="9">
        <v>19.77</v>
      </c>
    </row>
    <row r="52" spans="1:15">
      <c r="A52" s="10"/>
      <c r="B52" s="21" t="s">
        <v>46</v>
      </c>
      <c r="C52" s="14">
        <v>1372.12</v>
      </c>
      <c r="D52" s="14">
        <v>1499.65</v>
      </c>
      <c r="E52" s="9">
        <v>1899.79</v>
      </c>
    </row>
    <row r="53" spans="1:15">
      <c r="A53" s="10"/>
      <c r="B53" s="15" t="s">
        <v>23</v>
      </c>
      <c r="C53" s="14">
        <v>4231.93</v>
      </c>
      <c r="D53" s="14">
        <v>5209.45</v>
      </c>
      <c r="E53" s="9">
        <v>6259.3</v>
      </c>
    </row>
    <row r="54" spans="1:15">
      <c r="A54" s="10"/>
      <c r="B54" s="11" t="s">
        <v>47</v>
      </c>
      <c r="C54" s="14">
        <v>3802.14</v>
      </c>
      <c r="D54" s="14">
        <v>5998.98</v>
      </c>
      <c r="E54" s="9">
        <v>6171.58</v>
      </c>
    </row>
    <row r="55" spans="1:15">
      <c r="A55" s="10"/>
      <c r="B55" s="11" t="s">
        <v>39</v>
      </c>
      <c r="C55" s="14">
        <v>12.12</v>
      </c>
      <c r="D55" s="14">
        <v>32.75</v>
      </c>
      <c r="E55" s="9">
        <v>137.53</v>
      </c>
      <c r="F55">
        <f>'P&amp;L'!F4*Assumptions!$F$7</f>
        <v>156.70325929999998</v>
      </c>
      <c r="G55">
        <f>'P&amp;L'!G4*Assumptions!$F$7</f>
        <v>179.38472008100001</v>
      </c>
      <c r="H55">
        <f>'P&amp;L'!H4*Assumptions!$F$7</f>
        <v>205.45191941686997</v>
      </c>
      <c r="I55">
        <f>'P&amp;L'!I4*Assumptions!$F$7</f>
        <v>235.41238847959485</v>
      </c>
      <c r="J55">
        <f>'P&amp;L'!J4*Assumptions!$F$7</f>
        <v>269.84978152473241</v>
      </c>
      <c r="K55">
        <f>'P&amp;L'!K4*Assumptions!$F$7</f>
        <v>309.4352942221044</v>
      </c>
      <c r="L55">
        <f>'P&amp;L'!L4*Assumptions!$F$7</f>
        <v>354.9407947334555</v>
      </c>
      <c r="M55">
        <f>'P&amp;L'!M4*Assumptions!$F$7</f>
        <v>407.25392444907004</v>
      </c>
      <c r="N55">
        <f>'P&amp;L'!N4*Assumptions!$F$7</f>
        <v>467.39546383213872</v>
      </c>
      <c r="O55">
        <f>'P&amp;L'!O4*Assumptions!$F$7</f>
        <v>536.53930313698186</v>
      </c>
    </row>
    <row r="56" spans="1:15">
      <c r="A56" s="10"/>
      <c r="B56" s="11" t="s">
        <v>48</v>
      </c>
      <c r="C56" s="14">
        <v>55.14</v>
      </c>
      <c r="D56" s="14">
        <v>0</v>
      </c>
      <c r="E56" s="9">
        <v>254.48</v>
      </c>
    </row>
    <row r="57" spans="1:15">
      <c r="A57" s="10"/>
      <c r="B57" s="11"/>
      <c r="C57" s="8"/>
      <c r="D57" s="8"/>
      <c r="E57" s="9"/>
    </row>
    <row r="58" spans="1:15">
      <c r="A58" s="10"/>
      <c r="B58" s="11" t="s">
        <v>49</v>
      </c>
      <c r="C58" s="14">
        <v>9477.08</v>
      </c>
      <c r="D58" s="14">
        <v>12749.44</v>
      </c>
      <c r="E58" s="9">
        <v>14742.45</v>
      </c>
      <c r="F58">
        <f>'P&amp;L'!F4*Assumptions!$F$10</f>
        <v>16789.634924999998</v>
      </c>
      <c r="G58">
        <f>'P&amp;L'!G4*Assumptions!$F$10</f>
        <v>19219.791437250002</v>
      </c>
      <c r="H58">
        <f>'P&amp;L'!H4*Assumptions!$F$10</f>
        <v>22012.705651807497</v>
      </c>
      <c r="I58">
        <f>'P&amp;L'!I4*Assumptions!$F$10</f>
        <v>25222.755908528023</v>
      </c>
      <c r="J58">
        <f>'P&amp;L'!J4*Assumptions!$F$10</f>
        <v>28912.476591935614</v>
      </c>
      <c r="K58">
        <f>'P&amp;L'!K4*Assumptions!$F$10</f>
        <v>33153.781523796904</v>
      </c>
      <c r="L58">
        <f>'P&amp;L'!L4*Assumptions!$F$10</f>
        <v>38029.370864298806</v>
      </c>
      <c r="M58">
        <f>'P&amp;L'!M4*Assumptions!$F$10</f>
        <v>43634.349048114651</v>
      </c>
      <c r="N58">
        <f>'P&amp;L'!N4*Assumptions!$F$10</f>
        <v>50078.085410586296</v>
      </c>
      <c r="O58">
        <f>'P&amp;L'!O4*Assumptions!$F$10</f>
        <v>57486.353907533761</v>
      </c>
    </row>
    <row r="59" spans="1:15">
      <c r="A59" s="19"/>
      <c r="B59" s="105" t="s">
        <v>178</v>
      </c>
      <c r="C59" s="18"/>
      <c r="D59" s="22"/>
      <c r="E59" s="23"/>
    </row>
    <row r="60" spans="1:15">
      <c r="A60" s="18"/>
      <c r="B60" s="20" t="s">
        <v>50</v>
      </c>
      <c r="C60" s="22">
        <v>18264.54</v>
      </c>
      <c r="D60" s="22">
        <v>23191.06</v>
      </c>
      <c r="E60" s="23">
        <v>25837.8</v>
      </c>
      <c r="F60">
        <f>F58+F47+F39</f>
        <v>31601.151488234998</v>
      </c>
      <c r="G60">
        <f t="shared" ref="G60:O60" si="8">G58+G47+G39</f>
        <v>38306.399636254951</v>
      </c>
      <c r="H60">
        <f t="shared" si="8"/>
        <v>46174.937766870586</v>
      </c>
      <c r="I60">
        <f t="shared" si="8"/>
        <v>55149.737039791122</v>
      </c>
      <c r="J60">
        <f t="shared" si="8"/>
        <v>65465.831729928526</v>
      </c>
      <c r="K60">
        <f t="shared" si="8"/>
        <v>77328.309507502912</v>
      </c>
      <c r="L60">
        <f t="shared" si="8"/>
        <v>90973.011544420151</v>
      </c>
      <c r="M60">
        <f t="shared" si="8"/>
        <v>106671.14534654783</v>
      </c>
      <c r="N60">
        <f t="shared" si="8"/>
        <v>124734.58950697296</v>
      </c>
      <c r="O60">
        <f t="shared" si="8"/>
        <v>145521.99416831168</v>
      </c>
    </row>
    <row r="62" spans="1:15">
      <c r="A62" s="77" t="s">
        <v>176</v>
      </c>
      <c r="F62">
        <f>F60-F32</f>
        <v>0</v>
      </c>
      <c r="G62">
        <f t="shared" ref="G62:O62" si="9">G60-G32</f>
        <v>0</v>
      </c>
      <c r="H62">
        <f t="shared" si="9"/>
        <v>0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</row>
    <row r="63" spans="1:15">
      <c r="A63" s="77" t="s">
        <v>177</v>
      </c>
      <c r="F63">
        <f>F60-SUM(F16,F19,F27)</f>
        <v>7942.1725915649986</v>
      </c>
      <c r="G63">
        <f t="shared" ref="G63:O63" si="10">G60-SUM(G16,G19,G27)</f>
        <v>11293.725628421053</v>
      </c>
      <c r="H63">
        <f t="shared" si="10"/>
        <v>15337.805885664937</v>
      </c>
      <c r="I63">
        <f t="shared" si="10"/>
        <v>19946.815938764026</v>
      </c>
      <c r="J63">
        <f t="shared" si="10"/>
        <v>25274.637107353949</v>
      </c>
      <c r="K63">
        <f t="shared" si="10"/>
        <v>31433.032098020885</v>
      </c>
      <c r="L63">
        <f t="shared" si="10"/>
        <v>38550.519328124115</v>
      </c>
      <c r="M63">
        <f t="shared" si="10"/>
        <v>46774.886108507846</v>
      </c>
      <c r="N63">
        <f t="shared" si="10"/>
        <v>56276.078800141448</v>
      </c>
      <c r="O63">
        <f t="shared" si="10"/>
        <v>67249.526490708187</v>
      </c>
    </row>
    <row r="65" spans="1:15">
      <c r="A65" s="77" t="s">
        <v>190</v>
      </c>
      <c r="C65">
        <f>C30-C58</f>
        <v>6189.7800000000007</v>
      </c>
      <c r="D65">
        <f t="shared" ref="D65:O65" si="11">D30-D58</f>
        <v>7852.8199999999979</v>
      </c>
      <c r="E65">
        <f t="shared" si="11"/>
        <v>7844.7999999999993</v>
      </c>
      <c r="F65">
        <f t="shared" si="11"/>
        <v>12515.669145135002</v>
      </c>
      <c r="G65">
        <f t="shared" si="11"/>
        <v>16529.19681592795</v>
      </c>
      <c r="H65">
        <f t="shared" si="11"/>
        <v>21334.066905217303</v>
      </c>
      <c r="I65">
        <f t="shared" si="11"/>
        <v>26817.494648247055</v>
      </c>
      <c r="J65">
        <f t="shared" si="11"/>
        <v>33150.395730997203</v>
      </c>
      <c r="K65">
        <f t="shared" si="11"/>
        <v>40464.122185103159</v>
      </c>
      <c r="L65">
        <f t="shared" si="11"/>
        <v>48909.719951559106</v>
      </c>
      <c r="M65">
        <f t="shared" si="11"/>
        <v>58660.88278921428</v>
      </c>
      <c r="N65">
        <f t="shared" si="11"/>
        <v>69917.349265985133</v>
      </c>
      <c r="O65">
        <f t="shared" si="11"/>
        <v>82908.809295120402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topLeftCell="A4" zoomScaleNormal="100" workbookViewId="0">
      <selection activeCell="F4" sqref="F4"/>
    </sheetView>
  </sheetViews>
  <sheetFormatPr defaultColWidth="9" defaultRowHeight="15.6"/>
  <cols>
    <col min="1" max="1" width="4" style="1" bestFit="1" customWidth="1"/>
    <col min="2" max="2" width="32.21875" style="1" bestFit="1" customWidth="1"/>
    <col min="3" max="5" width="14.6640625" style="1" bestFit="1" customWidth="1"/>
    <col min="6" max="15" width="13.33203125" style="1" bestFit="1" customWidth="1"/>
    <col min="16" max="16384" width="9" style="1"/>
  </cols>
  <sheetData>
    <row r="1" spans="1:15" ht="16.2" thickBot="1">
      <c r="A1" s="39"/>
      <c r="B1" s="42" t="s">
        <v>0</v>
      </c>
      <c r="C1" s="40" t="s">
        <v>1</v>
      </c>
      <c r="D1" s="40" t="s">
        <v>2</v>
      </c>
      <c r="E1" s="41" t="s">
        <v>3</v>
      </c>
      <c r="F1" s="78">
        <v>43891</v>
      </c>
      <c r="G1" s="79">
        <v>44256</v>
      </c>
      <c r="H1" s="78">
        <v>44621</v>
      </c>
      <c r="I1" s="79">
        <v>44986</v>
      </c>
      <c r="J1" s="78">
        <v>45352</v>
      </c>
      <c r="K1" s="79">
        <v>45717</v>
      </c>
      <c r="L1" s="78">
        <v>46082</v>
      </c>
      <c r="M1" s="79">
        <v>46447</v>
      </c>
      <c r="N1" s="78">
        <v>46813</v>
      </c>
      <c r="O1" s="79">
        <v>47178</v>
      </c>
    </row>
    <row r="2" spans="1:15">
      <c r="A2" s="50" t="s">
        <v>130</v>
      </c>
      <c r="B2" s="43" t="s">
        <v>51</v>
      </c>
      <c r="C2" s="29">
        <v>15353.85</v>
      </c>
      <c r="D2" s="29">
        <v>14704.61</v>
      </c>
      <c r="E2" s="29">
        <v>18678.830000000002</v>
      </c>
      <c r="F2" s="1">
        <f>E2*(1+Assumptions!$F$2)</f>
        <v>21480.654500000001</v>
      </c>
      <c r="G2" s="1">
        <f>F2*(1+Assumptions!$F$2)</f>
        <v>24702.752675</v>
      </c>
      <c r="H2" s="1">
        <f>G2*(1+Assumptions!$F$2)</f>
        <v>28408.165576249998</v>
      </c>
      <c r="I2" s="1">
        <f>H2*(1+Assumptions!$F$2)</f>
        <v>32669.390412687495</v>
      </c>
      <c r="J2" s="1">
        <f>I2*(1+Assumptions!$F$2)</f>
        <v>37569.798974590616</v>
      </c>
      <c r="K2" s="1">
        <f>J2*(1+Assumptions!$F$2)</f>
        <v>43205.268820779202</v>
      </c>
      <c r="L2" s="1">
        <f>K2*(1+Assumptions!$F$2)</f>
        <v>49686.059143896076</v>
      </c>
      <c r="M2" s="1">
        <f>L2*(1+Assumptions!$F$2)</f>
        <v>57138.968015480481</v>
      </c>
      <c r="N2" s="1">
        <f>M2*(1+Assumptions!$F$2)</f>
        <v>65709.813217802555</v>
      </c>
      <c r="O2" s="1">
        <f>N2*(1+Assumptions!$F$2)</f>
        <v>75566.285200472936</v>
      </c>
    </row>
    <row r="3" spans="1:15" ht="16.2" thickBot="1">
      <c r="A3" s="50" t="s">
        <v>132</v>
      </c>
      <c r="B3" s="44" t="s">
        <v>52</v>
      </c>
      <c r="C3" s="25">
        <v>674.65</v>
      </c>
      <c r="D3" s="25">
        <v>990.99</v>
      </c>
      <c r="E3" s="25">
        <v>887.77</v>
      </c>
      <c r="F3" s="1">
        <f>E3*(1+Assumptions!$F$3)</f>
        <v>905.52539999999999</v>
      </c>
      <c r="G3" s="1">
        <f>F3*(1+Assumptions!$F$3)</f>
        <v>923.63590799999997</v>
      </c>
      <c r="H3" s="1">
        <f>G3*(1+Assumptions!$F$3)</f>
        <v>942.10862615999997</v>
      </c>
      <c r="I3" s="1">
        <f>H3*(1+Assumptions!$F$3)</f>
        <v>960.95079868319999</v>
      </c>
      <c r="J3" s="1">
        <f>I3*(1+Assumptions!$F$3)</f>
        <v>980.16981465686399</v>
      </c>
      <c r="K3" s="1">
        <f>J3*(1+Assumptions!$F$3)</f>
        <v>999.77321095000127</v>
      </c>
      <c r="L3" s="1">
        <f>K3*(1+Assumptions!$F$3)</f>
        <v>1019.7686751690013</v>
      </c>
      <c r="M3" s="1">
        <f>L3*(1+Assumptions!$F$3)</f>
        <v>1040.1640486723813</v>
      </c>
      <c r="N3" s="1">
        <f>M3*(1+Assumptions!$F$3)</f>
        <v>1060.9673296458291</v>
      </c>
      <c r="O3" s="1">
        <f>N3*(1+Assumptions!$F$3)</f>
        <v>1082.1866762387456</v>
      </c>
    </row>
    <row r="4" spans="1:15" ht="16.2" thickBot="1">
      <c r="A4" s="39" t="s">
        <v>133</v>
      </c>
      <c r="B4" s="45" t="s">
        <v>53</v>
      </c>
      <c r="C4" s="26">
        <v>16028.5</v>
      </c>
      <c r="D4" s="26">
        <v>15695.6</v>
      </c>
      <c r="E4" s="26">
        <v>19566.599999999999</v>
      </c>
      <c r="F4" s="1">
        <f>SUM(F2:F3)</f>
        <v>22386.179899999999</v>
      </c>
      <c r="G4" s="1">
        <f t="shared" ref="G4:O4" si="0">SUM(G2:G3)</f>
        <v>25626.388583</v>
      </c>
      <c r="H4" s="1">
        <f t="shared" si="0"/>
        <v>29350.274202409997</v>
      </c>
      <c r="I4" s="1">
        <f t="shared" si="0"/>
        <v>33630.341211370695</v>
      </c>
      <c r="J4" s="1">
        <f t="shared" si="0"/>
        <v>38549.968789247483</v>
      </c>
      <c r="K4" s="1">
        <f t="shared" si="0"/>
        <v>44205.042031729201</v>
      </c>
      <c r="L4" s="1">
        <f t="shared" si="0"/>
        <v>50705.827819065074</v>
      </c>
      <c r="M4" s="1">
        <f t="shared" si="0"/>
        <v>58179.132064152865</v>
      </c>
      <c r="N4" s="1">
        <f t="shared" si="0"/>
        <v>66770.78054744839</v>
      </c>
      <c r="O4" s="1">
        <f t="shared" si="0"/>
        <v>76648.471876711686</v>
      </c>
    </row>
    <row r="5" spans="1:15">
      <c r="A5" s="50"/>
      <c r="B5" s="46" t="s">
        <v>54</v>
      </c>
      <c r="C5" s="27"/>
      <c r="D5" s="27"/>
      <c r="E5" s="27"/>
    </row>
    <row r="6" spans="1:15">
      <c r="A6" s="50"/>
      <c r="B6" s="43" t="s">
        <v>55</v>
      </c>
      <c r="C6" s="28">
        <v>959.39</v>
      </c>
      <c r="D6" s="28">
        <v>948.11</v>
      </c>
      <c r="E6" s="28">
        <v>933.1</v>
      </c>
    </row>
    <row r="7" spans="1:15">
      <c r="A7" s="50"/>
      <c r="B7" s="43" t="s">
        <v>56</v>
      </c>
      <c r="C7" s="28">
        <v>157.36000000000001</v>
      </c>
      <c r="D7" s="28">
        <v>43.67</v>
      </c>
      <c r="E7" s="28">
        <v>0</v>
      </c>
    </row>
    <row r="8" spans="1:15">
      <c r="A8" s="50"/>
      <c r="B8" s="43" t="s">
        <v>58</v>
      </c>
      <c r="C8" s="29">
        <v>1149.2</v>
      </c>
      <c r="D8" s="29">
        <v>1580.05</v>
      </c>
      <c r="E8" s="28">
        <v>309.51</v>
      </c>
    </row>
    <row r="9" spans="1:15" ht="43.2">
      <c r="A9" s="50"/>
      <c r="B9" s="43" t="s">
        <v>59</v>
      </c>
      <c r="C9" s="28">
        <v>6.33</v>
      </c>
      <c r="D9" s="28">
        <v>-4.0199999999999996</v>
      </c>
      <c r="E9" s="28">
        <v>-1.46</v>
      </c>
    </row>
    <row r="10" spans="1:15">
      <c r="A10" s="50"/>
      <c r="B10" s="43" t="s">
        <v>60</v>
      </c>
      <c r="C10" s="28">
        <v>780.91</v>
      </c>
      <c r="D10" s="29">
        <v>2462.7199999999998</v>
      </c>
      <c r="E10" s="29">
        <v>6391.02</v>
      </c>
    </row>
    <row r="11" spans="1:15">
      <c r="A11" s="50"/>
      <c r="B11" s="33" t="s">
        <v>61</v>
      </c>
      <c r="C11" s="29">
        <v>4155.7700000000004</v>
      </c>
      <c r="D11" s="29">
        <v>3052.04</v>
      </c>
      <c r="E11" s="29">
        <v>3090.09</v>
      </c>
    </row>
    <row r="12" spans="1:15">
      <c r="A12" s="50"/>
      <c r="B12" s="33" t="s">
        <v>62</v>
      </c>
      <c r="C12" s="29">
        <v>2377.61</v>
      </c>
      <c r="D12" s="28">
        <v>670.89</v>
      </c>
      <c r="E12" s="28">
        <v>612.65</v>
      </c>
    </row>
    <row r="13" spans="1:15">
      <c r="A13" s="50"/>
      <c r="B13" s="33" t="s">
        <v>63</v>
      </c>
      <c r="C13" s="29">
        <v>1638.49</v>
      </c>
      <c r="D13" s="29">
        <v>1921.86</v>
      </c>
      <c r="E13" s="29">
        <v>1950.58</v>
      </c>
    </row>
    <row r="14" spans="1:15" ht="16.2" thickBot="1">
      <c r="A14" s="50"/>
      <c r="B14" s="43" t="s">
        <v>66</v>
      </c>
      <c r="C14" s="29">
        <v>1003.28</v>
      </c>
      <c r="D14" s="95">
        <v>1298.25</v>
      </c>
      <c r="E14" s="29">
        <v>1671.59</v>
      </c>
    </row>
    <row r="15" spans="1:15" ht="16.2" thickBot="1">
      <c r="A15" s="93"/>
      <c r="B15" s="93" t="s">
        <v>148</v>
      </c>
      <c r="C15" s="93">
        <f>SUM(C6:C14)</f>
        <v>12228.34</v>
      </c>
      <c r="D15" s="92">
        <f t="shared" ref="D15:E15" si="1">SUM(D6:D14)</f>
        <v>11973.57</v>
      </c>
      <c r="E15" s="92">
        <f t="shared" si="1"/>
        <v>14957.08</v>
      </c>
      <c r="F15" s="1">
        <f>F4*Assumptions!$F$4</f>
        <v>17069.462173749998</v>
      </c>
      <c r="G15" s="1">
        <f>G4*Assumptions!$F$4</f>
        <v>19540.121294537497</v>
      </c>
      <c r="H15" s="1">
        <f>H4*Assumptions!$F$4</f>
        <v>22379.584079337623</v>
      </c>
      <c r="I15" s="1">
        <f>I4*Assumptions!$F$4</f>
        <v>25643.135173670154</v>
      </c>
      <c r="J15" s="1">
        <f>J4*Assumptions!$F$4</f>
        <v>29394.351201801204</v>
      </c>
      <c r="K15" s="1">
        <f>K4*Assumptions!$F$4</f>
        <v>33706.344549193513</v>
      </c>
      <c r="L15" s="1">
        <f>L4*Assumptions!$F$4</f>
        <v>38663.193712037115</v>
      </c>
      <c r="M15" s="1">
        <f>M4*Assumptions!$F$4</f>
        <v>44361.588198916557</v>
      </c>
      <c r="N15" s="1">
        <f>N4*Assumptions!$F$4</f>
        <v>50912.720167429397</v>
      </c>
      <c r="O15" s="1">
        <f>O4*Assumptions!$F$4</f>
        <v>58444.459805992657</v>
      </c>
    </row>
    <row r="16" spans="1:15">
      <c r="A16" s="50"/>
      <c r="B16" s="94" t="s">
        <v>64</v>
      </c>
      <c r="C16" s="28">
        <v>25.35</v>
      </c>
      <c r="D16" s="96">
        <v>29.08</v>
      </c>
      <c r="E16" s="28">
        <v>23.48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ht="29.4" thickBot="1">
      <c r="A17" s="38"/>
      <c r="B17" s="33" t="s">
        <v>65</v>
      </c>
      <c r="C17" s="97">
        <v>224.14</v>
      </c>
      <c r="D17" s="97">
        <v>236.61</v>
      </c>
      <c r="E17" s="97">
        <v>286.39999999999998</v>
      </c>
      <c r="F17" s="1">
        <f>'Fixed Assets'!C6</f>
        <v>314.10200000000003</v>
      </c>
      <c r="G17" s="1">
        <f>'Fixed Assets'!D6</f>
        <v>354.10200000000003</v>
      </c>
      <c r="H17" s="1">
        <f>'Fixed Assets'!E6</f>
        <v>394.10200000000009</v>
      </c>
      <c r="I17" s="1">
        <f>'Fixed Assets'!F6</f>
        <v>434.10200000000009</v>
      </c>
      <c r="J17" s="1">
        <f>'Fixed Assets'!G6</f>
        <v>474.10200000000009</v>
      </c>
      <c r="K17" s="1">
        <f>'Fixed Assets'!H6</f>
        <v>514.10200000000009</v>
      </c>
      <c r="L17" s="1">
        <f>'Fixed Assets'!I6</f>
        <v>554.10200000000009</v>
      </c>
      <c r="M17" s="1">
        <f>'Fixed Assets'!J6</f>
        <v>594.10200000000009</v>
      </c>
      <c r="N17" s="1">
        <f>'Fixed Assets'!K6</f>
        <v>634.10200000000009</v>
      </c>
      <c r="O17" s="1">
        <f>'Fixed Assets'!L6</f>
        <v>674.10200000000009</v>
      </c>
    </row>
    <row r="18" spans="1:15" ht="16.2" thickBot="1">
      <c r="A18" s="51" t="s">
        <v>134</v>
      </c>
      <c r="B18" s="47" t="s">
        <v>67</v>
      </c>
      <c r="C18" s="26">
        <v>12477.82</v>
      </c>
      <c r="D18" s="26">
        <v>12239.27</v>
      </c>
      <c r="E18" s="26">
        <v>15266.97</v>
      </c>
      <c r="F18" s="1">
        <f>SUM(F15:F17)</f>
        <v>17383.564173749997</v>
      </c>
      <c r="G18" s="1">
        <f t="shared" ref="G18:O18" si="2">SUM(G15:G17)</f>
        <v>19894.223294537496</v>
      </c>
      <c r="H18" s="1">
        <f t="shared" si="2"/>
        <v>22773.686079337622</v>
      </c>
      <c r="I18" s="1">
        <f t="shared" si="2"/>
        <v>26077.237173670153</v>
      </c>
      <c r="J18" s="1">
        <f t="shared" si="2"/>
        <v>29868.453201801203</v>
      </c>
      <c r="K18" s="1">
        <f t="shared" si="2"/>
        <v>34220.446549193512</v>
      </c>
      <c r="L18" s="1">
        <f t="shared" si="2"/>
        <v>39217.295712037114</v>
      </c>
      <c r="M18" s="1">
        <f t="shared" si="2"/>
        <v>44955.690198916556</v>
      </c>
      <c r="N18" s="1">
        <f t="shared" si="2"/>
        <v>51546.822167429396</v>
      </c>
      <c r="O18" s="1">
        <f t="shared" si="2"/>
        <v>59118.561805992656</v>
      </c>
    </row>
    <row r="19" spans="1:15" ht="28.8">
      <c r="A19" s="50" t="s">
        <v>131</v>
      </c>
      <c r="B19" s="48" t="s">
        <v>68</v>
      </c>
      <c r="C19" s="30">
        <v>3550.68</v>
      </c>
      <c r="D19" s="30">
        <v>3456.34</v>
      </c>
      <c r="E19" s="30">
        <v>4299.63</v>
      </c>
      <c r="F19" s="99">
        <f>F4-F18</f>
        <v>5002.6157262500019</v>
      </c>
      <c r="G19" s="99">
        <f t="shared" ref="G19:O19" si="3">G4-G18</f>
        <v>5732.1652884625037</v>
      </c>
      <c r="H19" s="99">
        <f t="shared" si="3"/>
        <v>6576.5881230723753</v>
      </c>
      <c r="I19" s="99">
        <f t="shared" si="3"/>
        <v>7553.1040377005411</v>
      </c>
      <c r="J19" s="99">
        <f t="shared" si="3"/>
        <v>8681.5155874462798</v>
      </c>
      <c r="K19" s="99">
        <f t="shared" si="3"/>
        <v>9984.5954825356894</v>
      </c>
      <c r="L19" s="99">
        <f t="shared" si="3"/>
        <v>11488.532107027961</v>
      </c>
      <c r="M19" s="99">
        <f t="shared" si="3"/>
        <v>13223.441865236309</v>
      </c>
      <c r="N19" s="99">
        <f t="shared" si="3"/>
        <v>15223.958380018994</v>
      </c>
      <c r="O19" s="99">
        <f t="shared" si="3"/>
        <v>17529.91007071903</v>
      </c>
    </row>
    <row r="20" spans="1:15">
      <c r="A20" s="50" t="s">
        <v>135</v>
      </c>
      <c r="B20" s="43" t="s">
        <v>69</v>
      </c>
      <c r="C20" s="31">
        <v>0</v>
      </c>
      <c r="D20" s="31">
        <v>0</v>
      </c>
      <c r="E20" s="31">
        <v>0</v>
      </c>
      <c r="F20" s="1">
        <v>0</v>
      </c>
      <c r="G20" s="1">
        <v>1</v>
      </c>
      <c r="H20" s="1">
        <v>2</v>
      </c>
      <c r="I20" s="1">
        <v>3</v>
      </c>
      <c r="J20" s="1">
        <v>4</v>
      </c>
      <c r="K20" s="1">
        <v>5</v>
      </c>
      <c r="L20" s="1">
        <v>6</v>
      </c>
      <c r="M20" s="1">
        <v>7</v>
      </c>
      <c r="N20" s="1">
        <v>8</v>
      </c>
      <c r="O20" s="1">
        <v>9</v>
      </c>
    </row>
    <row r="21" spans="1:15">
      <c r="A21" s="50" t="s">
        <v>136</v>
      </c>
      <c r="B21" s="48" t="s">
        <v>70</v>
      </c>
      <c r="C21" s="32">
        <v>3550.68</v>
      </c>
      <c r="D21" s="32">
        <v>3456.34</v>
      </c>
      <c r="E21" s="32">
        <v>4299.63</v>
      </c>
      <c r="F21" s="99">
        <f>F19+F20</f>
        <v>5002.6157262500019</v>
      </c>
      <c r="G21" s="99">
        <f t="shared" ref="G21:O21" si="4">G19+G20</f>
        <v>5733.1652884625037</v>
      </c>
      <c r="H21" s="99">
        <f t="shared" si="4"/>
        <v>6578.5881230723753</v>
      </c>
      <c r="I21" s="99">
        <f t="shared" si="4"/>
        <v>7556.1040377005411</v>
      </c>
      <c r="J21" s="99">
        <f t="shared" si="4"/>
        <v>8685.5155874462798</v>
      </c>
      <c r="K21" s="99">
        <f t="shared" si="4"/>
        <v>9989.5954825356894</v>
      </c>
      <c r="L21" s="99">
        <f t="shared" si="4"/>
        <v>11494.532107027961</v>
      </c>
      <c r="M21" s="99">
        <f t="shared" si="4"/>
        <v>13230.441865236309</v>
      </c>
      <c r="N21" s="99">
        <f t="shared" si="4"/>
        <v>15231.958380018994</v>
      </c>
      <c r="O21" s="99">
        <f t="shared" si="4"/>
        <v>17538.91007071903</v>
      </c>
    </row>
    <row r="22" spans="1:15">
      <c r="A22" s="50" t="s">
        <v>137</v>
      </c>
      <c r="B22" s="43" t="s">
        <v>71</v>
      </c>
      <c r="C22" s="33"/>
      <c r="D22" s="33"/>
      <c r="E22" s="33"/>
    </row>
    <row r="23" spans="1:15">
      <c r="A23" s="50"/>
      <c r="B23" s="43" t="s">
        <v>72</v>
      </c>
      <c r="C23" s="34">
        <v>1178.71</v>
      </c>
      <c r="D23" s="34">
        <v>1160.3599999999999</v>
      </c>
      <c r="E23" s="34">
        <v>1882.34</v>
      </c>
    </row>
    <row r="24" spans="1:15">
      <c r="A24" s="50"/>
      <c r="B24" s="43" t="s">
        <v>73</v>
      </c>
      <c r="C24" s="35">
        <v>81.150000000000006</v>
      </c>
      <c r="D24" s="35">
        <v>89.78</v>
      </c>
      <c r="E24" s="35">
        <v>-308.66000000000003</v>
      </c>
    </row>
    <row r="25" spans="1:15" ht="28.8">
      <c r="A25" s="50" t="s">
        <v>138</v>
      </c>
      <c r="B25" s="48" t="s">
        <v>74</v>
      </c>
      <c r="C25" s="100">
        <v>2290.81</v>
      </c>
      <c r="D25" s="100">
        <v>2206.19</v>
      </c>
      <c r="E25" s="100">
        <v>2725.95</v>
      </c>
      <c r="F25" s="99">
        <f t="shared" ref="F25:O25" si="5">(1-tr)*F21</f>
        <v>3741.9565632350013</v>
      </c>
      <c r="G25" s="99">
        <f t="shared" si="5"/>
        <v>4288.4076357699523</v>
      </c>
      <c r="H25" s="99">
        <f t="shared" si="5"/>
        <v>4920.783916058137</v>
      </c>
      <c r="I25" s="99">
        <f t="shared" si="5"/>
        <v>5651.9658202000046</v>
      </c>
      <c r="J25" s="99">
        <f t="shared" si="5"/>
        <v>6496.7656594098171</v>
      </c>
      <c r="K25" s="99">
        <f t="shared" si="5"/>
        <v>7472.2174209366958</v>
      </c>
      <c r="L25" s="99">
        <f t="shared" si="5"/>
        <v>8597.9100160569142</v>
      </c>
      <c r="M25" s="99">
        <f t="shared" si="5"/>
        <v>9896.3705151967588</v>
      </c>
      <c r="N25" s="99">
        <f t="shared" si="5"/>
        <v>11393.504868254207</v>
      </c>
      <c r="O25" s="99">
        <f t="shared" si="5"/>
        <v>13119.104732897835</v>
      </c>
    </row>
    <row r="26" spans="1:15" ht="28.8">
      <c r="A26" s="50" t="s">
        <v>139</v>
      </c>
      <c r="B26" s="43" t="s">
        <v>75</v>
      </c>
      <c r="C26" s="31" t="s">
        <v>57</v>
      </c>
      <c r="D26" s="31" t="s">
        <v>57</v>
      </c>
      <c r="E26" s="31" t="s">
        <v>57</v>
      </c>
    </row>
    <row r="27" spans="1:15" ht="28.8">
      <c r="A27" s="50" t="s">
        <v>140</v>
      </c>
      <c r="B27" s="43" t="s">
        <v>76</v>
      </c>
      <c r="C27" s="31" t="s">
        <v>57</v>
      </c>
      <c r="D27" s="31" t="s">
        <v>57</v>
      </c>
      <c r="E27" s="31" t="s">
        <v>57</v>
      </c>
    </row>
    <row r="28" spans="1:15" ht="28.8">
      <c r="A28" s="50" t="s">
        <v>141</v>
      </c>
      <c r="B28" s="43" t="s">
        <v>77</v>
      </c>
      <c r="C28" s="31" t="s">
        <v>57</v>
      </c>
      <c r="D28" s="31" t="s">
        <v>57</v>
      </c>
      <c r="E28" s="31" t="s">
        <v>57</v>
      </c>
    </row>
    <row r="29" spans="1:15" ht="16.2" thickBot="1">
      <c r="A29" s="38" t="s">
        <v>142</v>
      </c>
      <c r="B29" s="49" t="s">
        <v>78</v>
      </c>
      <c r="C29" s="37">
        <v>2290.81</v>
      </c>
      <c r="D29" s="37">
        <v>2206.19</v>
      </c>
      <c r="E29" s="37">
        <v>2725.95</v>
      </c>
      <c r="F29" s="99">
        <f>F25</f>
        <v>3741.9565632350013</v>
      </c>
      <c r="G29" s="99">
        <f t="shared" ref="G29:O29" si="6">G25</f>
        <v>4288.4076357699523</v>
      </c>
      <c r="H29" s="99">
        <f t="shared" si="6"/>
        <v>4920.783916058137</v>
      </c>
      <c r="I29" s="99">
        <f t="shared" si="6"/>
        <v>5651.9658202000046</v>
      </c>
      <c r="J29" s="99">
        <f t="shared" si="6"/>
        <v>6496.7656594098171</v>
      </c>
      <c r="K29" s="99">
        <f t="shared" si="6"/>
        <v>7472.2174209366958</v>
      </c>
      <c r="L29" s="99">
        <f t="shared" si="6"/>
        <v>8597.9100160569142</v>
      </c>
      <c r="M29" s="99">
        <f t="shared" si="6"/>
        <v>9896.3705151967588</v>
      </c>
      <c r="N29" s="99">
        <f t="shared" si="6"/>
        <v>11393.504868254207</v>
      </c>
      <c r="O29" s="99">
        <f t="shared" si="6"/>
        <v>13119.104732897835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3"/>
  <sheetViews>
    <sheetView topLeftCell="A13" workbookViewId="0">
      <selection activeCell="O37" sqref="O37"/>
    </sheetView>
  </sheetViews>
  <sheetFormatPr defaultColWidth="21.44140625" defaultRowHeight="14.4"/>
  <cols>
    <col min="1" max="1" width="48.88671875" style="24" customWidth="1"/>
    <col min="2" max="2" width="11.33203125" style="24" customWidth="1"/>
    <col min="3" max="4" width="16.44140625" style="24" bestFit="1" customWidth="1"/>
    <col min="5" max="5" width="14.88671875" style="24" bestFit="1" customWidth="1"/>
    <col min="6" max="15" width="11" style="24" bestFit="1" customWidth="1"/>
    <col min="16" max="16384" width="21.44140625" style="24"/>
  </cols>
  <sheetData>
    <row r="1" spans="1:15" ht="17.100000000000001" customHeight="1" thickBot="1">
      <c r="A1" s="112" t="s">
        <v>0</v>
      </c>
      <c r="B1" s="112"/>
      <c r="C1" s="52" t="s">
        <v>79</v>
      </c>
      <c r="D1" s="52" t="s">
        <v>79</v>
      </c>
      <c r="E1" s="80" t="s">
        <v>143</v>
      </c>
      <c r="F1" s="82" t="s">
        <v>144</v>
      </c>
      <c r="G1" s="83" t="s">
        <v>144</v>
      </c>
      <c r="H1" s="83" t="s">
        <v>144</v>
      </c>
      <c r="I1" s="83" t="s">
        <v>144</v>
      </c>
      <c r="J1" s="83" t="s">
        <v>144</v>
      </c>
      <c r="K1" s="83" t="s">
        <v>144</v>
      </c>
      <c r="L1" s="83" t="s">
        <v>144</v>
      </c>
      <c r="M1" s="83" t="s">
        <v>144</v>
      </c>
      <c r="N1" s="83" t="s">
        <v>144</v>
      </c>
      <c r="O1" s="84" t="s">
        <v>144</v>
      </c>
    </row>
    <row r="2" spans="1:15" ht="15" thickBot="1">
      <c r="A2" s="112"/>
      <c r="B2" s="112"/>
      <c r="C2" s="53" t="s">
        <v>1</v>
      </c>
      <c r="D2" s="53" t="s">
        <v>2</v>
      </c>
      <c r="E2" s="81" t="s">
        <v>3</v>
      </c>
      <c r="F2" s="85">
        <v>43891</v>
      </c>
      <c r="G2" s="86">
        <v>44256</v>
      </c>
      <c r="H2" s="86">
        <v>44621</v>
      </c>
      <c r="I2" s="86">
        <v>44986</v>
      </c>
      <c r="J2" s="86">
        <v>45352</v>
      </c>
      <c r="K2" s="86">
        <v>45717</v>
      </c>
      <c r="L2" s="86">
        <v>46082</v>
      </c>
      <c r="M2" s="86">
        <v>46447</v>
      </c>
      <c r="N2" s="86">
        <v>46813</v>
      </c>
      <c r="O2" s="87">
        <v>47178</v>
      </c>
    </row>
    <row r="3" spans="1:15" ht="15.9" customHeight="1" thickBot="1">
      <c r="A3" s="54"/>
      <c r="B3" s="107"/>
      <c r="C3" s="108"/>
      <c r="D3" s="107"/>
      <c r="E3" s="107"/>
    </row>
    <row r="4" spans="1:15">
      <c r="A4" s="54" t="s">
        <v>80</v>
      </c>
      <c r="B4" s="107"/>
      <c r="C4" s="108"/>
      <c r="D4" s="107"/>
      <c r="E4" s="107"/>
    </row>
    <row r="5" spans="1:15">
      <c r="A5" s="55" t="s">
        <v>81</v>
      </c>
      <c r="B5" s="33"/>
      <c r="C5" s="34">
        <v>3550.68</v>
      </c>
      <c r="D5" s="34">
        <v>3456.34</v>
      </c>
      <c r="E5" s="34">
        <v>4299.63</v>
      </c>
    </row>
    <row r="6" spans="1:15">
      <c r="A6" s="56" t="s">
        <v>82</v>
      </c>
      <c r="B6" s="33"/>
      <c r="C6" s="33"/>
      <c r="D6" s="33"/>
      <c r="E6" s="33"/>
    </row>
    <row r="7" spans="1:15">
      <c r="A7" s="55" t="s">
        <v>83</v>
      </c>
      <c r="B7" s="33"/>
      <c r="C7" s="35">
        <v>224.14</v>
      </c>
      <c r="D7" s="35">
        <v>236.61</v>
      </c>
      <c r="E7" s="35">
        <v>286.39999999999998</v>
      </c>
    </row>
    <row r="8" spans="1:15">
      <c r="A8" s="55" t="s">
        <v>84</v>
      </c>
      <c r="B8" s="33"/>
      <c r="C8" s="35">
        <v>9.1999999999999993</v>
      </c>
      <c r="D8" s="35">
        <v>4.07</v>
      </c>
      <c r="E8" s="35">
        <v>1.45</v>
      </c>
    </row>
    <row r="9" spans="1:15">
      <c r="A9" s="55" t="s">
        <v>85</v>
      </c>
      <c r="B9" s="33"/>
      <c r="C9" s="35" t="s">
        <v>57</v>
      </c>
      <c r="D9" s="35" t="s">
        <v>57</v>
      </c>
      <c r="E9" s="35" t="s">
        <v>57</v>
      </c>
    </row>
    <row r="10" spans="1:15">
      <c r="A10" s="55" t="s">
        <v>86</v>
      </c>
      <c r="B10" s="33"/>
      <c r="C10" s="35">
        <v>-443.91</v>
      </c>
      <c r="D10" s="35">
        <v>-456.81</v>
      </c>
      <c r="E10" s="35">
        <v>-572.54999999999995</v>
      </c>
    </row>
    <row r="11" spans="1:15">
      <c r="A11" s="55" t="s">
        <v>87</v>
      </c>
      <c r="B11" s="33"/>
      <c r="C11" s="35" t="s">
        <v>57</v>
      </c>
      <c r="D11" s="35">
        <v>-38.89</v>
      </c>
      <c r="E11" s="35">
        <v>-63.73</v>
      </c>
    </row>
    <row r="12" spans="1:15" ht="15" thickBot="1">
      <c r="A12" s="55" t="s">
        <v>88</v>
      </c>
      <c r="B12" s="33"/>
      <c r="C12" s="35" t="s">
        <v>57</v>
      </c>
      <c r="D12" s="35">
        <v>63.28</v>
      </c>
      <c r="E12" s="35">
        <v>4</v>
      </c>
    </row>
    <row r="13" spans="1:15" ht="15" thickBot="1">
      <c r="A13" s="69" t="s">
        <v>89</v>
      </c>
      <c r="B13" s="70">
        <v>1</v>
      </c>
      <c r="C13" s="71">
        <v>3340.11</v>
      </c>
      <c r="D13" s="71">
        <v>3264.6</v>
      </c>
      <c r="E13" s="72">
        <v>3955.2</v>
      </c>
    </row>
    <row r="14" spans="1:15">
      <c r="A14" s="56" t="s">
        <v>82</v>
      </c>
      <c r="B14" s="33"/>
      <c r="C14" s="33"/>
      <c r="D14" s="33"/>
      <c r="E14" s="33"/>
    </row>
    <row r="15" spans="1:15">
      <c r="A15" s="55" t="s">
        <v>90</v>
      </c>
      <c r="B15" s="33"/>
      <c r="C15" s="35">
        <v>16.8</v>
      </c>
      <c r="D15" s="35">
        <v>-8.26</v>
      </c>
      <c r="E15" s="35">
        <v>-4.84</v>
      </c>
    </row>
    <row r="16" spans="1:15">
      <c r="A16" s="55" t="s">
        <v>91</v>
      </c>
      <c r="B16" s="33"/>
      <c r="C16" s="35">
        <v>-371.86</v>
      </c>
      <c r="D16" s="34">
        <v>-2615.2399999999998</v>
      </c>
      <c r="E16" s="35">
        <v>-308.08999999999997</v>
      </c>
    </row>
    <row r="17" spans="1:5" ht="28.8">
      <c r="A17" s="55" t="s">
        <v>92</v>
      </c>
      <c r="B17" s="33"/>
      <c r="C17" s="35" t="s">
        <v>57</v>
      </c>
      <c r="D17" s="35">
        <v>-5.58</v>
      </c>
      <c r="E17" s="35">
        <v>8.86</v>
      </c>
    </row>
    <row r="18" spans="1:5">
      <c r="A18" s="55" t="s">
        <v>93</v>
      </c>
      <c r="B18" s="33"/>
      <c r="C18" s="35">
        <v>8.8800000000000008</v>
      </c>
      <c r="D18" s="35">
        <v>0.33</v>
      </c>
      <c r="E18" s="35">
        <v>-8.75</v>
      </c>
    </row>
    <row r="19" spans="1:5">
      <c r="A19" s="55" t="s">
        <v>94</v>
      </c>
      <c r="B19" s="33"/>
      <c r="C19" s="35">
        <v>12.82</v>
      </c>
      <c r="D19" s="35" t="s">
        <v>57</v>
      </c>
      <c r="E19" s="35">
        <v>-18.03</v>
      </c>
    </row>
    <row r="20" spans="1:5">
      <c r="A20" s="55" t="s">
        <v>95</v>
      </c>
      <c r="B20" s="33"/>
      <c r="C20" s="35">
        <v>-728.79</v>
      </c>
      <c r="D20" s="34">
        <v>-2482.7800000000002</v>
      </c>
      <c r="E20" s="34">
        <v>1577.9</v>
      </c>
    </row>
    <row r="21" spans="1:5">
      <c r="A21" s="55" t="s">
        <v>96</v>
      </c>
      <c r="B21" s="33"/>
      <c r="C21" s="35">
        <v>58.07</v>
      </c>
      <c r="D21" s="35">
        <v>33.049999999999997</v>
      </c>
      <c r="E21" s="35">
        <v>-108.47</v>
      </c>
    </row>
    <row r="22" spans="1:5">
      <c r="A22" s="55" t="s">
        <v>97</v>
      </c>
      <c r="B22" s="33"/>
      <c r="C22" s="35">
        <v>-10.63</v>
      </c>
      <c r="D22" s="35">
        <v>7.33</v>
      </c>
      <c r="E22" s="35">
        <v>3.02</v>
      </c>
    </row>
    <row r="23" spans="1:5" ht="28.8">
      <c r="A23" s="55" t="s">
        <v>98</v>
      </c>
      <c r="B23" s="33"/>
      <c r="C23" s="35">
        <v>43.22</v>
      </c>
      <c r="D23" s="35">
        <v>183.49</v>
      </c>
      <c r="E23" s="35">
        <v>-95.1</v>
      </c>
    </row>
    <row r="24" spans="1:5">
      <c r="A24" s="55" t="s">
        <v>99</v>
      </c>
      <c r="B24" s="33"/>
      <c r="C24" s="35">
        <v>-55.81</v>
      </c>
      <c r="D24" s="35">
        <v>-195.04</v>
      </c>
      <c r="E24" s="35">
        <v>-123.09</v>
      </c>
    </row>
    <row r="25" spans="1:5">
      <c r="A25" s="55" t="s">
        <v>100</v>
      </c>
      <c r="B25" s="33"/>
      <c r="C25" s="35">
        <v>2.54</v>
      </c>
      <c r="D25" s="35">
        <v>-13.96</v>
      </c>
      <c r="E25" s="35">
        <v>-11.25</v>
      </c>
    </row>
    <row r="26" spans="1:5">
      <c r="A26" s="55" t="s">
        <v>101</v>
      </c>
      <c r="B26" s="33"/>
      <c r="C26" s="35">
        <v>858.81</v>
      </c>
      <c r="D26" s="35">
        <v>132.51</v>
      </c>
      <c r="E26" s="35">
        <v>411.31</v>
      </c>
    </row>
    <row r="27" spans="1:5">
      <c r="A27" s="55" t="s">
        <v>102</v>
      </c>
      <c r="B27" s="33"/>
      <c r="C27" s="35">
        <v>633.62</v>
      </c>
      <c r="D27" s="35">
        <v>977.52</v>
      </c>
      <c r="E27" s="34">
        <v>1049.8499999999999</v>
      </c>
    </row>
    <row r="28" spans="1:5">
      <c r="A28" s="55" t="s">
        <v>103</v>
      </c>
      <c r="B28" s="33"/>
      <c r="C28" s="35">
        <v>969.19</v>
      </c>
      <c r="D28" s="34">
        <v>2196.84</v>
      </c>
      <c r="E28" s="35">
        <v>121.17</v>
      </c>
    </row>
    <row r="29" spans="1:5" ht="15" thickBot="1">
      <c r="A29" s="67" t="s">
        <v>104</v>
      </c>
      <c r="B29" s="68"/>
      <c r="C29" s="57">
        <v>-13.76</v>
      </c>
      <c r="D29" s="57">
        <v>20.64</v>
      </c>
      <c r="E29" s="57">
        <v>104.78</v>
      </c>
    </row>
    <row r="30" spans="1:5">
      <c r="A30" s="55"/>
      <c r="B30" s="58">
        <v>2</v>
      </c>
      <c r="C30" s="34">
        <v>1423.1</v>
      </c>
      <c r="D30" s="34">
        <v>-1769.16</v>
      </c>
      <c r="E30" s="34">
        <v>2599.2800000000002</v>
      </c>
    </row>
    <row r="31" spans="1:5" ht="15" thickBot="1">
      <c r="A31" s="74" t="s">
        <v>105</v>
      </c>
      <c r="B31" s="73" t="s">
        <v>106</v>
      </c>
      <c r="C31" s="75">
        <v>4763.2</v>
      </c>
      <c r="D31" s="26">
        <v>1495.44</v>
      </c>
      <c r="E31" s="26">
        <v>6554.48</v>
      </c>
    </row>
    <row r="32" spans="1:5" ht="15" thickBot="1">
      <c r="A32" s="55" t="s">
        <v>107</v>
      </c>
      <c r="B32" s="33"/>
      <c r="C32" s="34">
        <v>-1380.83</v>
      </c>
      <c r="D32" s="34">
        <v>-1259.18</v>
      </c>
      <c r="E32" s="34">
        <v>-1627.86</v>
      </c>
    </row>
    <row r="33" spans="1:15" ht="15" thickBot="1">
      <c r="A33" s="69" t="s">
        <v>108</v>
      </c>
      <c r="B33" s="66"/>
      <c r="C33" s="71">
        <v>3382.37</v>
      </c>
      <c r="D33" s="76">
        <v>236.25</v>
      </c>
      <c r="E33" s="72">
        <v>4926.62</v>
      </c>
    </row>
    <row r="34" spans="1:15">
      <c r="A34" s="54" t="s">
        <v>109</v>
      </c>
      <c r="B34" s="33"/>
      <c r="C34" s="33"/>
      <c r="D34" s="33"/>
      <c r="E34" s="33"/>
    </row>
    <row r="35" spans="1:15" ht="15.6" customHeight="1">
      <c r="A35" s="109" t="s">
        <v>110</v>
      </c>
      <c r="B35" s="109"/>
      <c r="C35" s="35">
        <v>1.17</v>
      </c>
      <c r="D35" s="35">
        <v>2.09</v>
      </c>
      <c r="E35" s="35">
        <v>3.41</v>
      </c>
    </row>
    <row r="36" spans="1:15" ht="15.6" customHeight="1">
      <c r="A36" s="109" t="s">
        <v>111</v>
      </c>
      <c r="B36" s="109"/>
      <c r="C36" s="35">
        <v>-321.25</v>
      </c>
      <c r="D36" s="35">
        <v>-345.26</v>
      </c>
      <c r="E36" s="35">
        <v>-542.79999999999995</v>
      </c>
      <c r="F36" s="24">
        <f>E36*(1+Assumptions!$F$19)</f>
        <v>-559.08399999999995</v>
      </c>
      <c r="G36" s="24">
        <f>F36*(1+Assumptions!$F$19)</f>
        <v>-575.85651999999993</v>
      </c>
      <c r="H36" s="24">
        <f>G36*(1+Assumptions!$F$19)</f>
        <v>-593.13221559999999</v>
      </c>
      <c r="I36" s="24">
        <f>H36*(1+Assumptions!$F$19)</f>
        <v>-610.926182068</v>
      </c>
      <c r="J36" s="24">
        <f>I36*(1+Assumptions!$F$19)</f>
        <v>-629.25396753003997</v>
      </c>
      <c r="K36" s="24">
        <f>J36*(1+Assumptions!$F$19)</f>
        <v>-648.13158655594123</v>
      </c>
      <c r="L36" s="24">
        <f>K36*(1+Assumptions!$F$19)</f>
        <v>-667.57553415261953</v>
      </c>
      <c r="M36" s="24">
        <f>L36*(1+Assumptions!$F$19)</f>
        <v>-687.60280017719811</v>
      </c>
      <c r="N36" s="24">
        <f>M36*(1+Assumptions!$F$19)</f>
        <v>-708.23088418251405</v>
      </c>
      <c r="O36" s="24">
        <f>N36*(1+Assumptions!$F$19)</f>
        <v>-729.47781070798953</v>
      </c>
    </row>
    <row r="37" spans="1:15">
      <c r="A37" s="55" t="s">
        <v>112</v>
      </c>
      <c r="B37" s="33"/>
      <c r="C37" s="35">
        <v>647.98</v>
      </c>
      <c r="D37" s="35">
        <v>445.02</v>
      </c>
      <c r="E37" s="35">
        <v>404.65</v>
      </c>
    </row>
    <row r="38" spans="1:15">
      <c r="A38" s="55" t="s">
        <v>87</v>
      </c>
      <c r="B38" s="33"/>
      <c r="C38" s="33"/>
      <c r="D38" s="35">
        <v>38.89</v>
      </c>
      <c r="E38" s="35">
        <v>63.73</v>
      </c>
    </row>
    <row r="39" spans="1:15" ht="15" thickBot="1">
      <c r="A39" s="55" t="s">
        <v>113</v>
      </c>
      <c r="B39" s="33"/>
      <c r="C39" s="57">
        <v>607.76</v>
      </c>
      <c r="D39" s="57">
        <v>261.31</v>
      </c>
      <c r="E39" s="59">
        <v>-3392.52</v>
      </c>
    </row>
    <row r="40" spans="1:15" ht="15" thickBot="1">
      <c r="A40" s="54" t="s">
        <v>114</v>
      </c>
      <c r="B40" s="33"/>
      <c r="C40" s="60">
        <v>935.66</v>
      </c>
      <c r="D40" s="60">
        <v>402.06</v>
      </c>
      <c r="E40" s="26">
        <v>-3463.53</v>
      </c>
    </row>
    <row r="41" spans="1:15" ht="14.4" customHeight="1">
      <c r="A41" s="54"/>
      <c r="B41" s="107"/>
      <c r="C41" s="61"/>
      <c r="D41" s="61"/>
      <c r="E41" s="61"/>
    </row>
    <row r="42" spans="1:15">
      <c r="A42" s="54" t="s">
        <v>115</v>
      </c>
      <c r="B42" s="107"/>
      <c r="C42" s="61"/>
      <c r="D42" s="61"/>
      <c r="E42" s="61"/>
    </row>
    <row r="43" spans="1:15" ht="15" thickBot="1">
      <c r="A43" s="55" t="s">
        <v>116</v>
      </c>
      <c r="B43" s="33"/>
      <c r="C43" s="62">
        <v>-1359.49</v>
      </c>
      <c r="D43" s="63">
        <v>-567.91</v>
      </c>
      <c r="E43" s="62">
        <v>-1793.98</v>
      </c>
    </row>
    <row r="44" spans="1:15" ht="15" thickBot="1">
      <c r="A44" s="54" t="s">
        <v>117</v>
      </c>
      <c r="B44" s="33"/>
      <c r="C44" s="26">
        <v>-1359.49</v>
      </c>
      <c r="D44" s="60">
        <v>-567.91</v>
      </c>
      <c r="E44" s="26">
        <v>-1793.98</v>
      </c>
    </row>
    <row r="45" spans="1:15" ht="14.4" customHeight="1">
      <c r="A45" s="110"/>
      <c r="B45" s="111"/>
      <c r="C45" s="61"/>
      <c r="D45" s="61"/>
      <c r="E45" s="52"/>
    </row>
    <row r="46" spans="1:15" ht="15.6" customHeight="1">
      <c r="A46" s="110" t="s">
        <v>118</v>
      </c>
      <c r="B46" s="111"/>
      <c r="C46" s="34">
        <v>2958.54</v>
      </c>
      <c r="D46" s="35">
        <v>70.41</v>
      </c>
      <c r="E46" s="35">
        <v>-330.89</v>
      </c>
    </row>
    <row r="47" spans="1:15" ht="15" thickBot="1">
      <c r="A47" s="55" t="s">
        <v>119</v>
      </c>
      <c r="B47" s="33"/>
      <c r="C47" s="59">
        <v>1902.63</v>
      </c>
      <c r="D47" s="59">
        <v>4861.18</v>
      </c>
      <c r="E47" s="59">
        <v>4931.59</v>
      </c>
    </row>
    <row r="48" spans="1:15" ht="15" thickBot="1">
      <c r="A48" s="54" t="s">
        <v>120</v>
      </c>
      <c r="B48" s="33"/>
      <c r="C48" s="64">
        <v>4861.18</v>
      </c>
      <c r="D48" s="64">
        <v>4931.59</v>
      </c>
      <c r="E48" s="64">
        <v>4600.7</v>
      </c>
    </row>
    <row r="49" spans="1:5" ht="15" thickTop="1">
      <c r="A49" s="54" t="s">
        <v>121</v>
      </c>
      <c r="B49" s="33"/>
      <c r="C49" s="33"/>
      <c r="D49" s="33"/>
      <c r="E49" s="33"/>
    </row>
    <row r="50" spans="1:5">
      <c r="A50" s="55" t="s">
        <v>122</v>
      </c>
      <c r="B50" s="33"/>
      <c r="C50" s="33"/>
      <c r="D50" s="33"/>
      <c r="E50" s="33"/>
    </row>
    <row r="51" spans="1:5">
      <c r="A51" s="55" t="s">
        <v>123</v>
      </c>
      <c r="B51" s="33"/>
      <c r="C51" s="35">
        <v>6.33</v>
      </c>
      <c r="D51" s="35">
        <v>5.56</v>
      </c>
      <c r="E51" s="35">
        <v>3.39</v>
      </c>
    </row>
    <row r="52" spans="1:5">
      <c r="A52" s="55" t="s">
        <v>124</v>
      </c>
      <c r="B52" s="33"/>
      <c r="C52" s="35">
        <v>5.33</v>
      </c>
      <c r="D52" s="35">
        <v>809.09</v>
      </c>
      <c r="E52" s="35">
        <v>4.1100000000000003</v>
      </c>
    </row>
    <row r="53" spans="1:5">
      <c r="A53" s="55" t="s">
        <v>125</v>
      </c>
      <c r="B53" s="33"/>
      <c r="C53" s="33"/>
      <c r="D53" s="33"/>
      <c r="E53" s="33"/>
    </row>
    <row r="54" spans="1:5">
      <c r="A54" s="55" t="s">
        <v>126</v>
      </c>
      <c r="B54" s="33"/>
      <c r="C54" s="34">
        <v>2724.34</v>
      </c>
      <c r="D54" s="34">
        <v>3097.89</v>
      </c>
      <c r="E54" s="34">
        <v>4377.2700000000004</v>
      </c>
    </row>
    <row r="55" spans="1:5">
      <c r="A55" s="55" t="s">
        <v>127</v>
      </c>
      <c r="B55" s="33"/>
      <c r="C55" s="34">
        <v>2125.1799999999998</v>
      </c>
      <c r="D55" s="34">
        <v>1019.04</v>
      </c>
      <c r="E55" s="35">
        <v>215.93</v>
      </c>
    </row>
    <row r="56" spans="1:5" ht="28.8">
      <c r="A56" s="55" t="s">
        <v>128</v>
      </c>
      <c r="B56" s="33"/>
      <c r="C56" s="35" t="s">
        <v>57</v>
      </c>
      <c r="D56" s="35" t="s">
        <v>57</v>
      </c>
      <c r="E56" s="31" t="s">
        <v>57</v>
      </c>
    </row>
    <row r="57" spans="1:5" ht="15" thickBot="1">
      <c r="A57" s="65" t="s">
        <v>129</v>
      </c>
      <c r="B57" s="63"/>
      <c r="C57" s="26">
        <v>4861.18</v>
      </c>
      <c r="D57" s="26">
        <v>4931.59</v>
      </c>
      <c r="E57" s="26">
        <v>4600.7</v>
      </c>
    </row>
    <row r="58" spans="1:5" ht="14.4" customHeight="1"/>
    <row r="60" spans="1:5" ht="15.6" customHeight="1"/>
    <row r="61" spans="1:5" ht="14.4" customHeight="1"/>
    <row r="62" spans="1:5" ht="15.6" customHeight="1"/>
    <row r="63" spans="1:5" ht="15.6" customHeight="1"/>
  </sheetData>
  <mergeCells count="10">
    <mergeCell ref="A45:B45"/>
    <mergeCell ref="A46:B46"/>
    <mergeCell ref="A1:B2"/>
    <mergeCell ref="B3:B4"/>
    <mergeCell ref="B41:B42"/>
    <mergeCell ref="E3:E4"/>
    <mergeCell ref="D3:D4"/>
    <mergeCell ref="C3:C4"/>
    <mergeCell ref="A35:B35"/>
    <mergeCell ref="A36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F62F-025C-4F1E-A8B6-02D4F05CE1B9}">
  <dimension ref="A1:G26"/>
  <sheetViews>
    <sheetView workbookViewId="0">
      <selection activeCell="F3" sqref="F3"/>
    </sheetView>
  </sheetViews>
  <sheetFormatPr defaultRowHeight="14.4"/>
  <cols>
    <col min="1" max="1" width="27.77734375" bestFit="1" customWidth="1"/>
    <col min="5" max="5" width="12" bestFit="1" customWidth="1"/>
    <col min="6" max="6" width="8.88671875" style="89"/>
  </cols>
  <sheetData>
    <row r="1" spans="1:7" ht="15" thickBot="1">
      <c r="A1" s="3"/>
      <c r="B1" s="91">
        <v>42795</v>
      </c>
      <c r="C1" s="91">
        <v>43160</v>
      </c>
      <c r="D1" s="91">
        <v>43525</v>
      </c>
      <c r="F1" s="89" t="s">
        <v>146</v>
      </c>
    </row>
    <row r="2" spans="1:7">
      <c r="A2" s="77" t="s">
        <v>145</v>
      </c>
      <c r="C2">
        <f>('P&amp;L'!D2-'P&amp;L'!C2)/'P&amp;L'!C2</f>
        <v>-4.2285159748206458E-2</v>
      </c>
      <c r="D2">
        <f>('P&amp;L'!E2-'P&amp;L'!D2)/'P&amp;L'!D2</f>
        <v>0.27027034379014481</v>
      </c>
      <c r="E2">
        <f>AVERAGE(C2:D2)</f>
        <v>0.11399259202096917</v>
      </c>
      <c r="F2" s="90">
        <v>0.15</v>
      </c>
    </row>
    <row r="3" spans="1:7">
      <c r="A3" s="77" t="s">
        <v>147</v>
      </c>
      <c r="C3">
        <f>('P&amp;L'!D3-'P&amp;L'!C3)/'P&amp;L'!C3</f>
        <v>0.46889498258356194</v>
      </c>
      <c r="D3">
        <f>('P&amp;L'!E3-'P&amp;L'!D3)/'P&amp;L'!D3</f>
        <v>-0.10415846779483146</v>
      </c>
      <c r="E3">
        <f>AVERAGE(C3:D3)</f>
        <v>0.18236825739436524</v>
      </c>
      <c r="F3" s="90">
        <v>0.02</v>
      </c>
    </row>
    <row r="4" spans="1:7">
      <c r="A4" s="77" t="s">
        <v>149</v>
      </c>
      <c r="B4">
        <f>'P&amp;L'!C15/'P&amp;L'!C4</f>
        <v>0.76291231244346014</v>
      </c>
      <c r="C4">
        <f>'P&amp;L'!D15/'P&amp;L'!D4</f>
        <v>0.76286156629883528</v>
      </c>
      <c r="D4">
        <f>'P&amp;L'!E15/'P&amp;L'!E4</f>
        <v>0.76441895883801991</v>
      </c>
      <c r="E4">
        <f>AVERAGE(B4:D4)</f>
        <v>0.76339761252677185</v>
      </c>
      <c r="F4" s="98">
        <v>0.76249999999999996</v>
      </c>
    </row>
    <row r="5" spans="1:7">
      <c r="A5" s="77" t="s">
        <v>150</v>
      </c>
      <c r="B5">
        <f>SUM('P&amp;L'!C23:C24)/'P&amp;L'!C21</f>
        <v>0.35482217490734175</v>
      </c>
      <c r="C5">
        <f>SUM('P&amp;L'!D23:D24)/'P&amp;L'!D21</f>
        <v>0.36169474067944701</v>
      </c>
      <c r="D5">
        <f>SUM('P&amp;L'!E23:E24)/'P&amp;L'!E21</f>
        <v>0.36600358635510494</v>
      </c>
      <c r="E5">
        <f>AVERAGE(B5:D5)</f>
        <v>0.36084016731396457</v>
      </c>
      <c r="F5" s="98">
        <v>0.252</v>
      </c>
      <c r="G5" s="77" t="s">
        <v>151</v>
      </c>
    </row>
    <row r="6" spans="1:7">
      <c r="A6" s="77" t="s">
        <v>152</v>
      </c>
      <c r="B6">
        <f>'Balance Sheet'!C45/'P&amp;L'!C4</f>
        <v>4.8647097357831362E-2</v>
      </c>
      <c r="C6">
        <f>'Balance Sheet'!D45/'P&amp;L'!D4</f>
        <v>3.725247840159026E-2</v>
      </c>
      <c r="D6">
        <f>'Balance Sheet'!E45/'P&amp;L'!E4</f>
        <v>2.3591732850878542E-2</v>
      </c>
      <c r="F6" s="90">
        <v>0.02</v>
      </c>
    </row>
    <row r="7" spans="1:7">
      <c r="A7" s="77" t="s">
        <v>153</v>
      </c>
      <c r="B7">
        <f>'Balance Sheet'!C55/'P&amp;L'!C4</f>
        <v>7.5615310228655203E-4</v>
      </c>
      <c r="C7">
        <f>'Balance Sheet'!D55/'P&amp;L'!D4</f>
        <v>2.0865720329264251E-3</v>
      </c>
      <c r="D7">
        <f>'Balance Sheet'!E55/'P&amp;L'!E4</f>
        <v>7.028814408226264E-3</v>
      </c>
      <c r="E7">
        <f>AVERAGE(B7:D7)</f>
        <v>3.2905131811464135E-3</v>
      </c>
      <c r="F7" s="98">
        <v>7.0000000000000001E-3</v>
      </c>
    </row>
    <row r="8" spans="1:7">
      <c r="A8" s="77" t="s">
        <v>64</v>
      </c>
      <c r="F8" s="89">
        <v>0</v>
      </c>
      <c r="G8" s="77" t="s">
        <v>154</v>
      </c>
    </row>
    <row r="9" spans="1:7">
      <c r="A9" s="77" t="s">
        <v>155</v>
      </c>
      <c r="B9">
        <f>'Balance Sheet'!C47/'P&amp;L'!C4</f>
        <v>5.7514427426147173E-2</v>
      </c>
      <c r="C9">
        <f>'Balance Sheet'!D47/'P&amp;L'!D4</f>
        <v>5.7108998700272688E-2</v>
      </c>
      <c r="D9">
        <f>'Balance Sheet'!E47/'P&amp;L'!E4</f>
        <v>3.4085124651191318E-2</v>
      </c>
      <c r="E9">
        <f>AVERAGE(B9:D9)</f>
        <v>4.9569516925870395E-2</v>
      </c>
      <c r="F9" s="90">
        <v>0.04</v>
      </c>
    </row>
    <row r="10" spans="1:7">
      <c r="A10" s="77" t="s">
        <v>156</v>
      </c>
      <c r="B10">
        <f>'Balance Sheet'!C58/'P&amp;L'!C4</f>
        <v>0.59126431044701622</v>
      </c>
      <c r="C10">
        <f>'Balance Sheet'!D58/'P&amp;L'!D4</f>
        <v>0.8122938912816331</v>
      </c>
      <c r="D10">
        <f>'Balance Sheet'!E58/'P&amp;L'!E4</f>
        <v>0.75344975621722743</v>
      </c>
      <c r="E10">
        <f>AVERAGE(B10:D10)</f>
        <v>0.71900265264862551</v>
      </c>
      <c r="F10" s="90">
        <v>0.75</v>
      </c>
    </row>
    <row r="11" spans="1:7">
      <c r="A11" s="77" t="s">
        <v>157</v>
      </c>
      <c r="F11" s="90">
        <v>0.2</v>
      </c>
    </row>
    <row r="12" spans="1:7">
      <c r="A12" s="77" t="s">
        <v>161</v>
      </c>
      <c r="F12" s="89">
        <v>200</v>
      </c>
    </row>
    <row r="13" spans="1:7">
      <c r="A13" s="77" t="s">
        <v>162</v>
      </c>
      <c r="F13" s="89">
        <v>200</v>
      </c>
    </row>
    <row r="14" spans="1:7">
      <c r="A14" s="77" t="s">
        <v>163</v>
      </c>
      <c r="B14">
        <f>'Balance Sheet'!C7/'P&amp;L'!C4</f>
        <v>0</v>
      </c>
      <c r="C14">
        <f>'Balance Sheet'!D7/'P&amp;L'!D4</f>
        <v>1.75941028058819E-2</v>
      </c>
      <c r="D14">
        <f>'Balance Sheet'!E7/'P&amp;L'!E4</f>
        <v>1.4134290065724246E-2</v>
      </c>
      <c r="E14">
        <f>AVERAGE(C14:D14)</f>
        <v>1.5864196435803071E-2</v>
      </c>
      <c r="F14" s="98">
        <v>1.4999999999999999E-2</v>
      </c>
    </row>
    <row r="15" spans="1:7">
      <c r="A15" s="77" t="s">
        <v>168</v>
      </c>
      <c r="B15">
        <f>'Balance Sheet'!C8/'P&amp;L'!C$4</f>
        <v>7.872227594597124E-3</v>
      </c>
      <c r="C15">
        <f>'Balance Sheet'!D8/'P&amp;L'!D$4</f>
        <v>4.1814266418614132E-3</v>
      </c>
      <c r="D15">
        <f>'Balance Sheet'!E8/'P&amp;L'!E$4</f>
        <v>3.857594063352857E-3</v>
      </c>
      <c r="E15">
        <f t="shared" ref="E15:E19" si="0">AVERAGE(C15:D15)</f>
        <v>4.0195103526071349E-3</v>
      </c>
      <c r="F15" s="98">
        <v>4.0000000000000001E-3</v>
      </c>
    </row>
    <row r="16" spans="1:7">
      <c r="A16" s="77" t="s">
        <v>169</v>
      </c>
      <c r="B16">
        <f>'Balance Sheet'!C15/'P&amp;L'!C$4</f>
        <v>4.5256262282808747E-2</v>
      </c>
      <c r="C16">
        <f>'Balance Sheet'!D15/'P&amp;L'!D$4</f>
        <v>3.9121792094599754E-2</v>
      </c>
      <c r="D16">
        <f>'Balance Sheet'!E15/'P&amp;L'!E$4</f>
        <v>5.2346345302709721E-2</v>
      </c>
      <c r="E16">
        <f t="shared" si="0"/>
        <v>4.5734068698654734E-2</v>
      </c>
      <c r="F16" s="90">
        <v>0.05</v>
      </c>
    </row>
    <row r="17" spans="1:6">
      <c r="A17" s="77" t="s">
        <v>170</v>
      </c>
      <c r="B17">
        <f>'Balance Sheet'!C19/'P&amp;L'!C4</f>
        <v>4.105187634526E-3</v>
      </c>
      <c r="C17">
        <f>'Balance Sheet'!D19/'P&amp;L'!D4</f>
        <v>4.7185198399551471E-3</v>
      </c>
      <c r="D17">
        <f>'Balance Sheet'!E19/'P&amp;L'!E4</f>
        <v>4.0323817116923741E-3</v>
      </c>
      <c r="E17">
        <f t="shared" si="0"/>
        <v>4.3754507758237606E-3</v>
      </c>
      <c r="F17" s="98">
        <v>4.3E-3</v>
      </c>
    </row>
    <row r="18" spans="1:6">
      <c r="A18" s="77" t="s">
        <v>175</v>
      </c>
      <c r="B18">
        <f>'Balance Sheet'!C27/'P&amp;L'!C4</f>
        <v>0.67004897526281304</v>
      </c>
      <c r="C18">
        <f>'Balance Sheet'!D27/'P&amp;L'!D4</f>
        <v>0.99369249980886354</v>
      </c>
      <c r="D18">
        <f>'Balance Sheet'!E27/'P&amp;L'!E4</f>
        <v>0.91521521368045566</v>
      </c>
      <c r="E18">
        <f t="shared" si="0"/>
        <v>0.95445385674465966</v>
      </c>
      <c r="F18" s="90">
        <v>0.95</v>
      </c>
    </row>
    <row r="19" spans="1:6">
      <c r="A19" s="77" t="s">
        <v>189</v>
      </c>
      <c r="B19">
        <f>-'Cash Flow'!C36/'P&amp;L'!C2</f>
        <v>2.0923090951129521E-2</v>
      </c>
      <c r="C19">
        <f>-'Cash Flow'!D36/'P&amp;L'!D2</f>
        <v>2.347971146463592E-2</v>
      </c>
      <c r="D19">
        <f>-'Cash Flow'!E36/'P&amp;L'!E2</f>
        <v>2.9059635962209618E-2</v>
      </c>
      <c r="E19">
        <f t="shared" si="0"/>
        <v>2.6269673713422769E-2</v>
      </c>
      <c r="F19" s="90">
        <v>0.03</v>
      </c>
    </row>
    <row r="21" spans="1:6">
      <c r="A21" s="77" t="s">
        <v>191</v>
      </c>
      <c r="F21" s="98">
        <f>F26+F24*F25</f>
        <v>9.3067653907999995E-2</v>
      </c>
    </row>
    <row r="22" spans="1:6">
      <c r="A22" s="77" t="s">
        <v>192</v>
      </c>
      <c r="F22" s="90">
        <v>0.03</v>
      </c>
    </row>
    <row r="24" spans="1:6">
      <c r="A24" s="77" t="s">
        <v>194</v>
      </c>
      <c r="F24" s="89">
        <v>0.32303988</v>
      </c>
    </row>
    <row r="25" spans="1:6">
      <c r="A25" s="77" t="s">
        <v>195</v>
      </c>
      <c r="F25" s="98">
        <v>8.4099999999999994E-2</v>
      </c>
    </row>
    <row r="26" spans="1:6">
      <c r="A26" s="77" t="s">
        <v>196</v>
      </c>
      <c r="F26" s="98">
        <v>6.59E-2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AC50-85F5-4836-81A4-00CF9438C0D6}">
  <dimension ref="A1:I18"/>
  <sheetViews>
    <sheetView workbookViewId="0">
      <selection activeCell="C10" sqref="C10"/>
    </sheetView>
  </sheetViews>
  <sheetFormatPr defaultRowHeight="14.4"/>
  <cols>
    <col min="1" max="1" width="17.6640625" bestFit="1" customWidth="1"/>
    <col min="2" max="2" width="12.6640625" bestFit="1" customWidth="1"/>
    <col min="3" max="3" width="12.7773437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" bestFit="1" customWidth="1"/>
  </cols>
  <sheetData>
    <row r="1" spans="1:9">
      <c r="A1" t="s">
        <v>197</v>
      </c>
    </row>
    <row r="3" spans="1:9">
      <c r="A3" t="s">
        <v>198</v>
      </c>
    </row>
    <row r="4" spans="1:9">
      <c r="A4" t="s">
        <v>199</v>
      </c>
      <c r="B4">
        <v>8.6353750000000007E-2</v>
      </c>
    </row>
    <row r="5" spans="1:9">
      <c r="A5" t="s">
        <v>200</v>
      </c>
      <c r="B5">
        <v>7.4569700000000003E-3</v>
      </c>
    </row>
    <row r="6" spans="1:9">
      <c r="A6" t="s">
        <v>201</v>
      </c>
      <c r="B6">
        <v>-8.0515150000000004E-3</v>
      </c>
    </row>
    <row r="7" spans="1:9">
      <c r="A7" t="s">
        <v>202</v>
      </c>
      <c r="B7">
        <v>2.2867703999999999E-2</v>
      </c>
    </row>
    <row r="8" spans="1:9">
      <c r="A8" t="s">
        <v>203</v>
      </c>
      <c r="B8">
        <v>66</v>
      </c>
    </row>
    <row r="10" spans="1:9">
      <c r="A10" t="s">
        <v>204</v>
      </c>
    </row>
    <row r="11" spans="1:9">
      <c r="B11" t="s">
        <v>205</v>
      </c>
      <c r="C11" t="s">
        <v>206</v>
      </c>
      <c r="D11" t="s">
        <v>207</v>
      </c>
      <c r="E11" t="s">
        <v>173</v>
      </c>
      <c r="F11" t="s">
        <v>208</v>
      </c>
    </row>
    <row r="12" spans="1:9">
      <c r="A12" t="s">
        <v>209</v>
      </c>
      <c r="B12">
        <v>1</v>
      </c>
      <c r="C12">
        <v>2.51442E-4</v>
      </c>
      <c r="D12">
        <v>2.51442E-4</v>
      </c>
      <c r="E12">
        <v>0.48083163499999998</v>
      </c>
      <c r="F12">
        <v>0.49055486700000001</v>
      </c>
    </row>
    <row r="13" spans="1:9">
      <c r="A13" t="s">
        <v>210</v>
      </c>
      <c r="B13">
        <v>64</v>
      </c>
      <c r="C13">
        <v>3.3467641999999999E-2</v>
      </c>
      <c r="D13">
        <v>5.2293200000000004E-4</v>
      </c>
    </row>
    <row r="14" spans="1:9">
      <c r="A14" t="s">
        <v>211</v>
      </c>
      <c r="B14">
        <v>65</v>
      </c>
      <c r="C14">
        <v>3.3719084000000003E-2</v>
      </c>
    </row>
    <row r="16" spans="1:9">
      <c r="B16" t="s">
        <v>212</v>
      </c>
      <c r="C16" t="s">
        <v>202</v>
      </c>
      <c r="D16" t="s">
        <v>213</v>
      </c>
      <c r="E16" t="s">
        <v>214</v>
      </c>
      <c r="F16" t="s">
        <v>215</v>
      </c>
      <c r="G16" t="s">
        <v>216</v>
      </c>
      <c r="H16" t="s">
        <v>217</v>
      </c>
      <c r="I16" t="s">
        <v>218</v>
      </c>
    </row>
    <row r="17" spans="1:9">
      <c r="A17" t="s">
        <v>219</v>
      </c>
      <c r="B17">
        <v>4.6866670000000003E-3</v>
      </c>
      <c r="C17">
        <v>2.8905979999999999E-3</v>
      </c>
      <c r="D17">
        <v>1.6213484119999999</v>
      </c>
      <c r="E17">
        <v>0.109859784</v>
      </c>
      <c r="F17">
        <v>-1.087967E-3</v>
      </c>
      <c r="G17">
        <v>1.0461300999999999E-2</v>
      </c>
      <c r="H17">
        <v>-1.087967E-3</v>
      </c>
      <c r="I17">
        <v>1.0461300999999999E-2</v>
      </c>
    </row>
    <row r="18" spans="1:9">
      <c r="A18" t="s">
        <v>220</v>
      </c>
      <c r="B18">
        <v>0.32303988</v>
      </c>
      <c r="C18">
        <v>0.46586450699999998</v>
      </c>
      <c r="D18">
        <v>0.69342024400000002</v>
      </c>
      <c r="E18">
        <v>0.49055486700000001</v>
      </c>
      <c r="F18">
        <v>-0.60763146000000001</v>
      </c>
      <c r="G18">
        <v>1.25371122</v>
      </c>
      <c r="H18">
        <v>-0.60763146000000001</v>
      </c>
      <c r="I18">
        <v>1.25371122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1314-4C35-4781-914F-B4068E30A8BC}">
  <dimension ref="A1:L6"/>
  <sheetViews>
    <sheetView workbookViewId="0">
      <selection activeCell="H28" sqref="H28"/>
    </sheetView>
  </sheetViews>
  <sheetFormatPr defaultRowHeight="14.4"/>
  <cols>
    <col min="1" max="1" width="25.109375" bestFit="1" customWidth="1"/>
  </cols>
  <sheetData>
    <row r="1" spans="1:12">
      <c r="B1" s="88">
        <v>43525</v>
      </c>
      <c r="C1" s="88">
        <v>43891</v>
      </c>
      <c r="D1" s="88">
        <v>44256</v>
      </c>
      <c r="E1" s="88">
        <v>44621</v>
      </c>
      <c r="F1" s="88">
        <v>44986</v>
      </c>
      <c r="G1" s="88">
        <v>45352</v>
      </c>
      <c r="H1" s="88">
        <v>45717</v>
      </c>
      <c r="I1" s="88">
        <v>46082</v>
      </c>
      <c r="J1" s="88">
        <v>46447</v>
      </c>
      <c r="K1" s="88">
        <v>46813</v>
      </c>
      <c r="L1" s="88">
        <v>47178</v>
      </c>
    </row>
    <row r="2" spans="1:12">
      <c r="A2" s="77" t="s">
        <v>158</v>
      </c>
      <c r="C2">
        <f>B4</f>
        <v>1470.51</v>
      </c>
      <c r="D2">
        <f t="shared" ref="D2:K2" si="0">C4</f>
        <v>1670.51</v>
      </c>
      <c r="E2">
        <f t="shared" si="0"/>
        <v>1870.51</v>
      </c>
      <c r="F2">
        <f t="shared" si="0"/>
        <v>2070.5100000000002</v>
      </c>
      <c r="G2">
        <f t="shared" si="0"/>
        <v>2270.5100000000002</v>
      </c>
      <c r="H2">
        <f t="shared" si="0"/>
        <v>2470.5100000000002</v>
      </c>
      <c r="I2">
        <f t="shared" si="0"/>
        <v>2670.51</v>
      </c>
      <c r="J2">
        <f t="shared" si="0"/>
        <v>2870.51</v>
      </c>
      <c r="K2">
        <f t="shared" si="0"/>
        <v>3070.51</v>
      </c>
      <c r="L2">
        <f>K4</f>
        <v>3270.51</v>
      </c>
    </row>
    <row r="3" spans="1:12">
      <c r="A3" s="77" t="s">
        <v>160</v>
      </c>
      <c r="C3">
        <f>Assumptions!$F$12</f>
        <v>200</v>
      </c>
      <c r="D3">
        <f>Assumptions!$F$12</f>
        <v>200</v>
      </c>
      <c r="E3">
        <f>Assumptions!$F$12</f>
        <v>200</v>
      </c>
      <c r="F3">
        <f>Assumptions!$F$12</f>
        <v>200</v>
      </c>
      <c r="G3">
        <f>Assumptions!$F$12</f>
        <v>200</v>
      </c>
      <c r="H3">
        <f>Assumptions!$F$12</f>
        <v>200</v>
      </c>
      <c r="I3">
        <f>Assumptions!$F$12</f>
        <v>200</v>
      </c>
      <c r="J3">
        <f>Assumptions!$F$12</f>
        <v>200</v>
      </c>
      <c r="K3">
        <f>Assumptions!$F$12</f>
        <v>200</v>
      </c>
      <c r="L3">
        <f>Assumptions!$F$12</f>
        <v>200</v>
      </c>
    </row>
    <row r="4" spans="1:12">
      <c r="A4" s="77" t="s">
        <v>159</v>
      </c>
      <c r="B4">
        <f>'Balance Sheet'!E5</f>
        <v>1470.51</v>
      </c>
      <c r="C4">
        <f>SUM(C2:C3)</f>
        <v>1670.51</v>
      </c>
      <c r="D4">
        <f t="shared" ref="D4:L4" si="1">SUM(D2:D3)</f>
        <v>1870.51</v>
      </c>
      <c r="E4">
        <f t="shared" si="1"/>
        <v>2070.5100000000002</v>
      </c>
      <c r="F4">
        <f t="shared" si="1"/>
        <v>2270.5100000000002</v>
      </c>
      <c r="G4">
        <f t="shared" si="1"/>
        <v>2470.5100000000002</v>
      </c>
      <c r="H4">
        <f t="shared" si="1"/>
        <v>2670.51</v>
      </c>
      <c r="I4">
        <f t="shared" si="1"/>
        <v>2870.51</v>
      </c>
      <c r="J4">
        <f t="shared" si="1"/>
        <v>3070.51</v>
      </c>
      <c r="K4">
        <f t="shared" si="1"/>
        <v>3270.51</v>
      </c>
      <c r="L4">
        <f t="shared" si="1"/>
        <v>3470.51</v>
      </c>
    </row>
    <row r="6" spans="1:12">
      <c r="A6" s="77" t="s">
        <v>83</v>
      </c>
      <c r="C6">
        <f>AVERAGE(C2,C4)*Assumptions!$F$11</f>
        <v>314.10200000000003</v>
      </c>
      <c r="D6">
        <f>AVERAGE(D2,D4)*Assumptions!$F$11</f>
        <v>354.10200000000003</v>
      </c>
      <c r="E6">
        <f>AVERAGE(E2,E4)*Assumptions!$F$11</f>
        <v>394.10200000000009</v>
      </c>
      <c r="F6">
        <f>AVERAGE(F2,F4)*Assumptions!$F$11</f>
        <v>434.10200000000009</v>
      </c>
      <c r="G6">
        <f>AVERAGE(G2,G4)*Assumptions!$F$11</f>
        <v>474.10200000000009</v>
      </c>
      <c r="H6">
        <f>AVERAGE(H2,H4)*Assumptions!$F$11</f>
        <v>514.10200000000009</v>
      </c>
      <c r="I6">
        <f>AVERAGE(I2,I4)*Assumptions!$F$11</f>
        <v>554.10200000000009</v>
      </c>
      <c r="J6">
        <f>AVERAGE(J2,J4)*Assumptions!$F$11</f>
        <v>594.10200000000009</v>
      </c>
      <c r="K6">
        <f>AVERAGE(K2,K4)*Assumptions!$F$11</f>
        <v>634.10200000000009</v>
      </c>
      <c r="L6">
        <f>AVERAGE(L2,L4)*Assumptions!$F$11</f>
        <v>674.10200000000009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61BC-7CA9-460D-A740-41D06E605395}">
  <dimension ref="A1:K14"/>
  <sheetViews>
    <sheetView tabSelected="1" workbookViewId="0">
      <selection sqref="A1:K14"/>
    </sheetView>
  </sheetViews>
  <sheetFormatPr defaultRowHeight="14.4"/>
  <cols>
    <col min="1" max="1" width="25.88671875" bestFit="1" customWidth="1"/>
  </cols>
  <sheetData>
    <row r="1" spans="1:11">
      <c r="B1" s="79">
        <v>43891</v>
      </c>
      <c r="C1" s="79">
        <v>44256</v>
      </c>
      <c r="D1" s="79">
        <v>44621</v>
      </c>
      <c r="E1" s="79">
        <v>44986</v>
      </c>
      <c r="F1" s="79">
        <v>45352</v>
      </c>
      <c r="G1" s="79">
        <v>45717</v>
      </c>
      <c r="H1" s="79">
        <v>46082</v>
      </c>
      <c r="I1" s="79">
        <v>46447</v>
      </c>
      <c r="J1" s="79">
        <v>46813</v>
      </c>
      <c r="K1" s="79">
        <v>47178</v>
      </c>
    </row>
    <row r="2" spans="1:11">
      <c r="B2" s="106">
        <v>1</v>
      </c>
      <c r="C2" s="106">
        <v>2</v>
      </c>
      <c r="D2" s="106">
        <v>3</v>
      </c>
      <c r="E2" s="106">
        <v>4</v>
      </c>
      <c r="F2" s="106">
        <v>5</v>
      </c>
      <c r="G2" s="106">
        <v>6</v>
      </c>
      <c r="H2" s="106">
        <v>7</v>
      </c>
      <c r="I2" s="106">
        <v>8</v>
      </c>
      <c r="J2" s="106">
        <v>9</v>
      </c>
      <c r="K2" s="106">
        <v>10</v>
      </c>
    </row>
    <row r="3" spans="1:11">
      <c r="A3" s="77" t="s">
        <v>179</v>
      </c>
      <c r="B3">
        <f>'P&amp;L'!F4-'P&amp;L'!F15-'P&amp;L'!F17</f>
        <v>5002.615726250001</v>
      </c>
      <c r="C3">
        <f>'P&amp;L'!G4-'P&amp;L'!G15-'P&amp;L'!G17</f>
        <v>5732.1652884625028</v>
      </c>
      <c r="D3">
        <f>'P&amp;L'!H4-'P&amp;L'!H15-'P&amp;L'!H17</f>
        <v>6576.5881230723744</v>
      </c>
      <c r="E3">
        <f>'P&amp;L'!I4-'P&amp;L'!I15-'P&amp;L'!I17</f>
        <v>7553.1040377005402</v>
      </c>
      <c r="F3">
        <f>'P&amp;L'!J4-'P&amp;L'!J15-'P&amp;L'!J17</f>
        <v>8681.515587446278</v>
      </c>
      <c r="G3">
        <f>'P&amp;L'!K4-'P&amp;L'!K15-'P&amp;L'!K17</f>
        <v>9984.5954825356876</v>
      </c>
      <c r="H3">
        <f>'P&amp;L'!L4-'P&amp;L'!L15-'P&amp;L'!L17</f>
        <v>11488.532107027959</v>
      </c>
      <c r="I3">
        <f>'P&amp;L'!M4-'P&amp;L'!M15-'P&amp;L'!M17</f>
        <v>13223.441865236307</v>
      </c>
      <c r="J3">
        <f>'P&amp;L'!N4-'P&amp;L'!N15-'P&amp;L'!N17</f>
        <v>15223.958380018992</v>
      </c>
      <c r="K3">
        <f>'P&amp;L'!O4-'P&amp;L'!O15-'P&amp;L'!O17</f>
        <v>17529.91007071903</v>
      </c>
    </row>
    <row r="4" spans="1:11">
      <c r="A4" s="77" t="s">
        <v>180</v>
      </c>
      <c r="B4">
        <f t="shared" ref="B4:K4" si="0">B3*tr</f>
        <v>1260.6591630150003</v>
      </c>
      <c r="C4">
        <f t="shared" si="0"/>
        <v>1444.5056526925507</v>
      </c>
      <c r="D4">
        <f t="shared" si="0"/>
        <v>1657.3002070142384</v>
      </c>
      <c r="E4">
        <f t="shared" si="0"/>
        <v>1903.3822175005362</v>
      </c>
      <c r="F4">
        <f t="shared" si="0"/>
        <v>2187.741928036462</v>
      </c>
      <c r="G4">
        <f t="shared" si="0"/>
        <v>2516.1180615989933</v>
      </c>
      <c r="H4">
        <f t="shared" si="0"/>
        <v>2895.1100909710458</v>
      </c>
      <c r="I4">
        <f t="shared" si="0"/>
        <v>3332.3073500395494</v>
      </c>
      <c r="J4">
        <f t="shared" si="0"/>
        <v>3836.437511764786</v>
      </c>
      <c r="K4">
        <f t="shared" si="0"/>
        <v>4417.5373378211953</v>
      </c>
    </row>
    <row r="5" spans="1:11">
      <c r="A5" s="77" t="s">
        <v>181</v>
      </c>
      <c r="B5">
        <f>B3-B4</f>
        <v>3741.9565632350004</v>
      </c>
      <c r="C5">
        <f t="shared" ref="C5:K5" si="1">C3-C4</f>
        <v>4287.6596357699518</v>
      </c>
      <c r="D5">
        <f t="shared" si="1"/>
        <v>4919.287916058136</v>
      </c>
      <c r="E5">
        <f t="shared" si="1"/>
        <v>5649.721820200004</v>
      </c>
      <c r="F5">
        <f t="shared" si="1"/>
        <v>6493.773659409816</v>
      </c>
      <c r="G5">
        <f t="shared" si="1"/>
        <v>7468.4774209366942</v>
      </c>
      <c r="H5">
        <f t="shared" si="1"/>
        <v>8593.422016056913</v>
      </c>
      <c r="I5">
        <f t="shared" si="1"/>
        <v>9891.134515196758</v>
      </c>
      <c r="J5">
        <f t="shared" si="1"/>
        <v>11387.520868254207</v>
      </c>
      <c r="K5">
        <f t="shared" si="1"/>
        <v>13112.372732897835</v>
      </c>
    </row>
    <row r="6" spans="1:11">
      <c r="A6" s="77" t="s">
        <v>182</v>
      </c>
      <c r="B6">
        <f>'Cash Flow'!F36</f>
        <v>-559.08399999999995</v>
      </c>
      <c r="C6">
        <f>'Cash Flow'!G36</f>
        <v>-575.85651999999993</v>
      </c>
      <c r="D6">
        <f>'Cash Flow'!H36</f>
        <v>-593.13221559999999</v>
      </c>
      <c r="E6">
        <f>'Cash Flow'!I36</f>
        <v>-610.926182068</v>
      </c>
      <c r="F6">
        <f>'Cash Flow'!J36</f>
        <v>-629.25396753003997</v>
      </c>
      <c r="G6">
        <f>'Cash Flow'!K36</f>
        <v>-648.13158655594123</v>
      </c>
      <c r="H6">
        <f>'Cash Flow'!L36</f>
        <v>-667.57553415261953</v>
      </c>
      <c r="I6">
        <f>'Cash Flow'!M36</f>
        <v>-687.60280017719811</v>
      </c>
      <c r="J6">
        <f>'Cash Flow'!N36</f>
        <v>-708.23088418251405</v>
      </c>
      <c r="K6">
        <f>'Cash Flow'!O36</f>
        <v>-729.47781070798953</v>
      </c>
    </row>
    <row r="7" spans="1:11">
      <c r="A7" s="77" t="s">
        <v>83</v>
      </c>
      <c r="B7">
        <f>'Fixed Assets'!C6</f>
        <v>314.10200000000003</v>
      </c>
      <c r="C7">
        <f>'Fixed Assets'!D6</f>
        <v>354.10200000000003</v>
      </c>
      <c r="D7">
        <f>'Fixed Assets'!E6</f>
        <v>394.10200000000009</v>
      </c>
      <c r="E7">
        <f>'Fixed Assets'!F6</f>
        <v>434.10200000000009</v>
      </c>
      <c r="F7">
        <f>'Fixed Assets'!G6</f>
        <v>474.10200000000009</v>
      </c>
      <c r="G7">
        <f>'Fixed Assets'!H6</f>
        <v>514.10200000000009</v>
      </c>
      <c r="H7">
        <f>'Fixed Assets'!I6</f>
        <v>554.10200000000009</v>
      </c>
      <c r="I7">
        <f>'Fixed Assets'!J6</f>
        <v>594.10200000000009</v>
      </c>
      <c r="J7">
        <f>'Fixed Assets'!K6</f>
        <v>634.10200000000009</v>
      </c>
      <c r="K7">
        <f>'Fixed Assets'!L6</f>
        <v>674.10200000000009</v>
      </c>
    </row>
    <row r="8" spans="1:11">
      <c r="A8" s="77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77" t="s">
        <v>184</v>
      </c>
      <c r="B9">
        <f>B5+B6+B7</f>
        <v>3496.9745632350005</v>
      </c>
      <c r="C9">
        <f>C5+C6+C7</f>
        <v>4065.9051157699519</v>
      </c>
      <c r="D9">
        <f>D5+D6+D7</f>
        <v>4720.2577004581362</v>
      </c>
      <c r="E9">
        <f>E5+E6+E7</f>
        <v>5472.8976381320035</v>
      </c>
      <c r="F9">
        <f>F5+F6+F7</f>
        <v>6338.6216918797754</v>
      </c>
      <c r="G9">
        <f t="shared" ref="G9:K9" si="2">G5+G6+G7</f>
        <v>7334.4478343807532</v>
      </c>
      <c r="H9">
        <f t="shared" si="2"/>
        <v>8479.9484819042937</v>
      </c>
      <c r="I9">
        <f t="shared" si="2"/>
        <v>9797.6337150195614</v>
      </c>
      <c r="J9">
        <f t="shared" si="2"/>
        <v>11313.391984071694</v>
      </c>
      <c r="K9">
        <f t="shared" si="2"/>
        <v>13056.996922189846</v>
      </c>
    </row>
    <row r="10" spans="1:11">
      <c r="A10" s="77" t="s">
        <v>185</v>
      </c>
      <c r="B10" s="77">
        <f t="shared" ref="B10:K10" si="3">B9/(1+keu)^B2</f>
        <v>3199.2297555713139</v>
      </c>
      <c r="C10" s="77">
        <f t="shared" si="3"/>
        <v>3403.0094397751918</v>
      </c>
      <c r="D10" s="77">
        <f t="shared" si="3"/>
        <v>3614.3031887141583</v>
      </c>
      <c r="E10" s="77">
        <f t="shared" si="3"/>
        <v>3833.7973608267953</v>
      </c>
      <c r="F10" s="77">
        <f t="shared" si="3"/>
        <v>4062.1842535631299</v>
      </c>
      <c r="G10" s="77">
        <f t="shared" si="3"/>
        <v>4300.1654650871124</v>
      </c>
      <c r="H10" s="77">
        <f t="shared" si="3"/>
        <v>4548.4551210246054</v>
      </c>
      <c r="I10" s="77">
        <f t="shared" si="3"/>
        <v>4807.7829902488656</v>
      </c>
      <c r="J10" s="77">
        <f t="shared" si="3"/>
        <v>5078.8975118911239</v>
      </c>
      <c r="K10" s="77">
        <f t="shared" si="3"/>
        <v>5362.5687541616508</v>
      </c>
    </row>
    <row r="11" spans="1:11">
      <c r="A11" s="77" t="s">
        <v>186</v>
      </c>
      <c r="B11">
        <f>SUM(B10:K10)+K11</f>
        <v>129790.08762246287</v>
      </c>
      <c r="K11">
        <f>K9*(1+gr)/(keu-gr)/(1+keu)^K2</f>
        <v>87579.693781598922</v>
      </c>
    </row>
    <row r="13" spans="1:11">
      <c r="A13" s="77" t="s">
        <v>187</v>
      </c>
      <c r="B13">
        <v>160</v>
      </c>
      <c r="C13" s="77" t="s">
        <v>193</v>
      </c>
    </row>
    <row r="14" spans="1:11">
      <c r="A14" s="77" t="s">
        <v>188</v>
      </c>
      <c r="B14">
        <f>B11/B13</f>
        <v>811.18804764039294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Balance Sheet</vt:lpstr>
      <vt:lpstr>P&amp;L</vt:lpstr>
      <vt:lpstr>Cash Flow</vt:lpstr>
      <vt:lpstr>Assumptions</vt:lpstr>
      <vt:lpstr>Beta</vt:lpstr>
      <vt:lpstr>Fixed Assets</vt:lpstr>
      <vt:lpstr>Valuation</vt:lpstr>
      <vt:lpstr>gr</vt:lpstr>
      <vt:lpstr>keu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Divyam Jain</dc:creator>
  <cp:lastModifiedBy>Divyam Jain</cp:lastModifiedBy>
  <dcterms:created xsi:type="dcterms:W3CDTF">2020-01-19T13:15:00Z</dcterms:created>
  <dcterms:modified xsi:type="dcterms:W3CDTF">2020-01-21T17:48:42Z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