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ivyam Jain\IIT Kharagpur\Spring Semester 2020\Financial Analytics\2. IPO Valuation\"/>
    </mc:Choice>
  </mc:AlternateContent>
  <xr:revisionPtr revIDLastSave="0" documentId="13_ncr:1_{11080906-34BE-40E2-BEDC-3F67AE5DC48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Balance Sheet" sheetId="1" r:id="rId1"/>
    <sheet name="Fixed Assets" sheetId="9" r:id="rId2"/>
    <sheet name="PnL" sheetId="2" r:id="rId3"/>
    <sheet name="Assumptions" sheetId="7" r:id="rId4"/>
    <sheet name="Cash Flows" sheetId="3" r:id="rId5"/>
    <sheet name="Debt" sheetId="8" r:id="rId6"/>
    <sheet name="Valuation" sheetId="11" r:id="rId7"/>
    <sheet name="CAPM" sheetId="12" r:id="rId8"/>
    <sheet name="Balance Sheet N.F" sheetId="5" r:id="rId9"/>
    <sheet name="PnL N.F" sheetId="4" r:id="rId10"/>
    <sheet name="Cash Flows N.F" sheetId="6" r:id="rId11"/>
  </sheets>
  <definedNames>
    <definedName name="eu">Assumptions!$I$19</definedName>
    <definedName name="gr">Assumptions!$I$21</definedName>
    <definedName name="ir">Assumptions!$I$8</definedName>
    <definedName name="kd">Assumptions!$I$8</definedName>
    <definedName name="keu">Assumptions!$I$20</definedName>
    <definedName name="tr">Assumptions!$I$3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4" i="12"/>
  <c r="C22" i="7" s="1"/>
  <c r="C6" i="12" l="1"/>
  <c r="C15" i="11"/>
  <c r="D15" i="11"/>
  <c r="E15" i="11"/>
  <c r="F15" i="11"/>
  <c r="G15" i="11"/>
  <c r="H15" i="11"/>
  <c r="I15" i="11"/>
  <c r="J15" i="11"/>
  <c r="K15" i="11"/>
  <c r="B15" i="11"/>
  <c r="K16" i="11"/>
  <c r="C11" i="11"/>
  <c r="D11" i="11"/>
  <c r="E11" i="11"/>
  <c r="F11" i="11"/>
  <c r="G11" i="11"/>
  <c r="H11" i="11"/>
  <c r="I11" i="11"/>
  <c r="J11" i="11"/>
  <c r="K11" i="11"/>
  <c r="K12" i="11" s="1"/>
  <c r="B11" i="11"/>
  <c r="B10" i="11"/>
  <c r="B8" i="11"/>
  <c r="I36" i="1"/>
  <c r="B7" i="11"/>
  <c r="B5" i="11"/>
  <c r="B4" i="11"/>
  <c r="B3" i="11"/>
  <c r="I39" i="1"/>
  <c r="I37" i="1"/>
  <c r="I33" i="1"/>
  <c r="I42" i="1"/>
  <c r="I28" i="1"/>
  <c r="J24" i="1"/>
  <c r="K24" i="1"/>
  <c r="L24" i="1"/>
  <c r="M24" i="1"/>
  <c r="N24" i="1"/>
  <c r="O24" i="1"/>
  <c r="P24" i="1"/>
  <c r="Q24" i="1"/>
  <c r="R24" i="1"/>
  <c r="I24" i="1"/>
  <c r="C3" i="9"/>
  <c r="B4" i="9"/>
  <c r="C2" i="9" s="1"/>
  <c r="C6" i="9"/>
  <c r="C17" i="7"/>
  <c r="C8" i="7"/>
  <c r="C4" i="8"/>
  <c r="C3" i="8"/>
  <c r="C2" i="8"/>
  <c r="I7" i="1"/>
  <c r="C3" i="7"/>
  <c r="C4" i="7"/>
  <c r="C6" i="7"/>
  <c r="B21" i="2"/>
  <c r="G21" i="2"/>
  <c r="D5" i="7"/>
  <c r="G5" i="7"/>
  <c r="F5" i="7"/>
  <c r="E5" i="7"/>
  <c r="B16" i="11" l="1"/>
  <c r="K6" i="11"/>
  <c r="K9" i="11"/>
  <c r="C6" i="11"/>
  <c r="D6" i="11"/>
  <c r="E6" i="11"/>
  <c r="F6" i="11"/>
  <c r="G6" i="11"/>
  <c r="H6" i="11"/>
  <c r="I6" i="11"/>
  <c r="J6" i="11"/>
  <c r="C9" i="11"/>
  <c r="D9" i="11"/>
  <c r="E9" i="11"/>
  <c r="F9" i="11"/>
  <c r="G9" i="11"/>
  <c r="H9" i="11"/>
  <c r="I9" i="11"/>
  <c r="J9" i="11"/>
  <c r="J25" i="1"/>
  <c r="K25" i="1"/>
  <c r="L25" i="1" s="1"/>
  <c r="M25" i="1" s="1"/>
  <c r="N25" i="1" s="1"/>
  <c r="O25" i="1" s="1"/>
  <c r="P25" i="1" s="1"/>
  <c r="Q25" i="1" s="1"/>
  <c r="R25" i="1" s="1"/>
  <c r="J26" i="1"/>
  <c r="K26" i="1"/>
  <c r="L26" i="1"/>
  <c r="M26" i="1"/>
  <c r="N26" i="1"/>
  <c r="O26" i="1"/>
  <c r="P26" i="1"/>
  <c r="Q26" i="1"/>
  <c r="R26" i="1"/>
  <c r="J27" i="1"/>
  <c r="K27" i="1"/>
  <c r="L27" i="1"/>
  <c r="M27" i="1"/>
  <c r="N27" i="1"/>
  <c r="O27" i="1"/>
  <c r="P27" i="1"/>
  <c r="Q27" i="1"/>
  <c r="R27" i="1"/>
  <c r="J30" i="1"/>
  <c r="K30" i="1"/>
  <c r="L30" i="1"/>
  <c r="M30" i="1"/>
  <c r="N30" i="1"/>
  <c r="O30" i="1"/>
  <c r="P30" i="1"/>
  <c r="Q30" i="1"/>
  <c r="R30" i="1"/>
  <c r="J32" i="1"/>
  <c r="K32" i="1"/>
  <c r="L32" i="1"/>
  <c r="M32" i="1"/>
  <c r="N32" i="1"/>
  <c r="O32" i="1"/>
  <c r="P32" i="1"/>
  <c r="Q32" i="1"/>
  <c r="R32" i="1"/>
  <c r="J34" i="1"/>
  <c r="K34" i="1"/>
  <c r="L34" i="1"/>
  <c r="M34" i="1"/>
  <c r="N34" i="1"/>
  <c r="O34" i="1"/>
  <c r="P34" i="1"/>
  <c r="Q34" i="1"/>
  <c r="R34" i="1"/>
  <c r="J7" i="1"/>
  <c r="K7" i="1"/>
  <c r="L7" i="1" s="1"/>
  <c r="M7" i="1" s="1"/>
  <c r="N7" i="1" s="1"/>
  <c r="O7" i="1" s="1"/>
  <c r="P7" i="1" s="1"/>
  <c r="Q7" i="1" s="1"/>
  <c r="R7" i="1" s="1"/>
  <c r="J8" i="1"/>
  <c r="K8" i="1" s="1"/>
  <c r="B6" i="11"/>
  <c r="B9" i="11"/>
  <c r="I26" i="1"/>
  <c r="I30" i="1"/>
  <c r="I32" i="1"/>
  <c r="I34" i="1"/>
  <c r="I27" i="1"/>
  <c r="D15" i="7"/>
  <c r="E15" i="7"/>
  <c r="F15" i="7"/>
  <c r="G15" i="7"/>
  <c r="C15" i="7"/>
  <c r="D17" i="7"/>
  <c r="E17" i="7"/>
  <c r="F17" i="7"/>
  <c r="G17" i="7"/>
  <c r="D16" i="7"/>
  <c r="E16" i="7"/>
  <c r="F16" i="7"/>
  <c r="G16" i="7"/>
  <c r="C16" i="7"/>
  <c r="D14" i="7"/>
  <c r="E14" i="7"/>
  <c r="F14" i="7"/>
  <c r="G14" i="7"/>
  <c r="C14" i="7"/>
  <c r="C13" i="7"/>
  <c r="G13" i="7"/>
  <c r="D13" i="7"/>
  <c r="E13" i="7"/>
  <c r="F13" i="7"/>
  <c r="I25" i="1"/>
  <c r="D3" i="9"/>
  <c r="E3" i="9"/>
  <c r="F3" i="9"/>
  <c r="G3" i="9"/>
  <c r="H3" i="9"/>
  <c r="I3" i="9"/>
  <c r="J3" i="9"/>
  <c r="K3" i="9"/>
  <c r="L3" i="9"/>
  <c r="B8" i="9"/>
  <c r="D8" i="7"/>
  <c r="E8" i="7"/>
  <c r="F8" i="7"/>
  <c r="G8" i="7"/>
  <c r="D3" i="8"/>
  <c r="E3" i="8"/>
  <c r="F3" i="8"/>
  <c r="G3" i="8"/>
  <c r="H3" i="8"/>
  <c r="I3" i="8"/>
  <c r="J3" i="8"/>
  <c r="K3" i="8"/>
  <c r="L3" i="8"/>
  <c r="B4" i="8"/>
  <c r="I8" i="1"/>
  <c r="C61" i="2"/>
  <c r="D61" i="2"/>
  <c r="E61" i="2"/>
  <c r="F61" i="2"/>
  <c r="B61" i="2"/>
  <c r="B24" i="2"/>
  <c r="C21" i="2"/>
  <c r="C24" i="2" s="1"/>
  <c r="D21" i="2"/>
  <c r="D6" i="7" s="1"/>
  <c r="E21" i="2"/>
  <c r="E6" i="7" s="1"/>
  <c r="F21" i="2"/>
  <c r="F24" i="2" s="1"/>
  <c r="D4" i="7"/>
  <c r="E4" i="7"/>
  <c r="F4" i="7"/>
  <c r="G4" i="7"/>
  <c r="G37" i="2"/>
  <c r="D3" i="7"/>
  <c r="E3" i="7"/>
  <c r="F3" i="7"/>
  <c r="G24" i="2"/>
  <c r="G11" i="2"/>
  <c r="L8" i="1" l="1"/>
  <c r="H8" i="7"/>
  <c r="C4" i="9"/>
  <c r="F6" i="7"/>
  <c r="I14" i="1"/>
  <c r="D24" i="2"/>
  <c r="H11" i="2"/>
  <c r="E24" i="2"/>
  <c r="G13" i="2"/>
  <c r="G6" i="7" s="1"/>
  <c r="C7" i="9" l="1"/>
  <c r="M8" i="1"/>
  <c r="G30" i="2"/>
  <c r="G32" i="2" s="1"/>
  <c r="G38" i="2" s="1"/>
  <c r="G61" i="2" s="1"/>
  <c r="I21" i="1"/>
  <c r="D2" i="9"/>
  <c r="D2" i="8"/>
  <c r="C6" i="8"/>
  <c r="H13" i="2"/>
  <c r="I11" i="2"/>
  <c r="G3" i="7"/>
  <c r="C8" i="9" l="1"/>
  <c r="H23" i="2"/>
  <c r="H22" i="2"/>
  <c r="B14" i="11"/>
  <c r="N8" i="1"/>
  <c r="D4" i="8"/>
  <c r="D6" i="8"/>
  <c r="D4" i="9"/>
  <c r="D6" i="9"/>
  <c r="I22" i="1"/>
  <c r="I23" i="1" s="1"/>
  <c r="H21" i="2"/>
  <c r="H24" i="2" s="1"/>
  <c r="J11" i="2"/>
  <c r="I13" i="2"/>
  <c r="E2" i="9" l="1"/>
  <c r="J21" i="1"/>
  <c r="E2" i="8"/>
  <c r="J14" i="1"/>
  <c r="I22" i="2"/>
  <c r="C14" i="11"/>
  <c r="O8" i="1"/>
  <c r="D7" i="9"/>
  <c r="E4" i="9"/>
  <c r="E4" i="8"/>
  <c r="H30" i="2"/>
  <c r="H32" i="2" s="1"/>
  <c r="K11" i="2"/>
  <c r="J13" i="2"/>
  <c r="I21" i="2"/>
  <c r="I23" i="2" l="1"/>
  <c r="C3" i="11" s="1"/>
  <c r="C8" i="11"/>
  <c r="F2" i="9"/>
  <c r="K21" i="1"/>
  <c r="F2" i="8"/>
  <c r="K14" i="1"/>
  <c r="P8" i="1"/>
  <c r="D8" i="9"/>
  <c r="E7" i="9"/>
  <c r="F4" i="8"/>
  <c r="F4" i="9"/>
  <c r="I24" i="2"/>
  <c r="I30" i="2" s="1"/>
  <c r="I32" i="2" s="1"/>
  <c r="I37" i="2" s="1"/>
  <c r="I38" i="2" s="1"/>
  <c r="E6" i="8"/>
  <c r="H37" i="2"/>
  <c r="H38" i="2" s="1"/>
  <c r="K13" i="2"/>
  <c r="L11" i="2"/>
  <c r="J21" i="2"/>
  <c r="G2" i="9" l="1"/>
  <c r="L21" i="1"/>
  <c r="J23" i="2"/>
  <c r="D3" i="11" s="1"/>
  <c r="D4" i="11" s="1"/>
  <c r="D5" i="11" s="1"/>
  <c r="D8" i="11"/>
  <c r="C4" i="11"/>
  <c r="C5" i="11"/>
  <c r="E6" i="9"/>
  <c r="J22" i="1"/>
  <c r="J23" i="1" s="1"/>
  <c r="J22" i="2"/>
  <c r="D14" i="11"/>
  <c r="G2" i="8"/>
  <c r="L14" i="1"/>
  <c r="Q8" i="1"/>
  <c r="F7" i="9"/>
  <c r="J24" i="2"/>
  <c r="J30" i="2" s="1"/>
  <c r="J32" i="2" s="1"/>
  <c r="G4" i="8"/>
  <c r="F6" i="8"/>
  <c r="G4" i="9"/>
  <c r="E8" i="9"/>
  <c r="I57" i="2"/>
  <c r="I61" i="2" s="1"/>
  <c r="H57" i="2"/>
  <c r="H61" i="2" s="1"/>
  <c r="M11" i="2"/>
  <c r="L13" i="2"/>
  <c r="K21" i="2"/>
  <c r="K23" i="2" l="1"/>
  <c r="E3" i="11" s="1"/>
  <c r="E8" i="11"/>
  <c r="H2" i="9"/>
  <c r="M21" i="1"/>
  <c r="F6" i="9"/>
  <c r="F8" i="9" s="1"/>
  <c r="K22" i="1"/>
  <c r="K23" i="1" s="1"/>
  <c r="H2" i="8"/>
  <c r="M14" i="1"/>
  <c r="I10" i="1"/>
  <c r="J10" i="1" s="1"/>
  <c r="K22" i="2"/>
  <c r="E14" i="11"/>
  <c r="R8" i="1"/>
  <c r="K24" i="2"/>
  <c r="K30" i="2" s="1"/>
  <c r="K32" i="2" s="1"/>
  <c r="K37" i="2" s="1"/>
  <c r="K38" i="2" s="1"/>
  <c r="G7" i="9"/>
  <c r="J37" i="2"/>
  <c r="J38" i="2" s="1"/>
  <c r="J57" i="2" s="1"/>
  <c r="J61" i="2" s="1"/>
  <c r="H4" i="8"/>
  <c r="G6" i="8"/>
  <c r="H4" i="9"/>
  <c r="L21" i="2"/>
  <c r="N11" i="2"/>
  <c r="M13" i="2"/>
  <c r="L23" i="2" l="1"/>
  <c r="F3" i="11" s="1"/>
  <c r="F8" i="11"/>
  <c r="I2" i="9"/>
  <c r="N21" i="1"/>
  <c r="E4" i="11"/>
  <c r="E5" i="11" s="1"/>
  <c r="G6" i="9"/>
  <c r="L22" i="1"/>
  <c r="L23" i="1" s="1"/>
  <c r="K10" i="1"/>
  <c r="J11" i="1"/>
  <c r="J15" i="1" s="1"/>
  <c r="J42" i="1" s="1"/>
  <c r="I2" i="8"/>
  <c r="I4" i="8" s="1"/>
  <c r="N14" i="1"/>
  <c r="I11" i="1"/>
  <c r="L22" i="2"/>
  <c r="L24" i="2" s="1"/>
  <c r="L30" i="2" s="1"/>
  <c r="L32" i="2" s="1"/>
  <c r="L37" i="2" s="1"/>
  <c r="F14" i="11"/>
  <c r="H7" i="9"/>
  <c r="H6" i="8"/>
  <c r="G8" i="9"/>
  <c r="I4" i="9"/>
  <c r="K57" i="2"/>
  <c r="K61" i="2" s="1"/>
  <c r="O11" i="2"/>
  <c r="N13" i="2"/>
  <c r="M21" i="2"/>
  <c r="M23" i="2" l="1"/>
  <c r="G3" i="11" s="1"/>
  <c r="G8" i="11"/>
  <c r="J2" i="9"/>
  <c r="O21" i="1"/>
  <c r="F4" i="11"/>
  <c r="F5" i="11" s="1"/>
  <c r="H6" i="9"/>
  <c r="H8" i="9" s="1"/>
  <c r="M22" i="1"/>
  <c r="M23" i="1" s="1"/>
  <c r="J2" i="8"/>
  <c r="O14" i="1"/>
  <c r="M22" i="2"/>
  <c r="G14" i="11"/>
  <c r="I15" i="1"/>
  <c r="L10" i="1"/>
  <c r="K11" i="1"/>
  <c r="K15" i="1" s="1"/>
  <c r="K42" i="1" s="1"/>
  <c r="J33" i="1"/>
  <c r="J35" i="1" s="1"/>
  <c r="J28" i="1"/>
  <c r="J29" i="1" s="1"/>
  <c r="J31" i="1" s="1"/>
  <c r="I7" i="9"/>
  <c r="L38" i="2"/>
  <c r="L57" i="2" s="1"/>
  <c r="L61" i="2" s="1"/>
  <c r="J4" i="8"/>
  <c r="M24" i="2"/>
  <c r="M30" i="2" s="1"/>
  <c r="M32" i="2" s="1"/>
  <c r="M37" i="2" s="1"/>
  <c r="M38" i="2" s="1"/>
  <c r="I6" i="8"/>
  <c r="J4" i="9"/>
  <c r="P11" i="2"/>
  <c r="O13" i="2"/>
  <c r="N21" i="2"/>
  <c r="K2" i="9" l="1"/>
  <c r="P21" i="1"/>
  <c r="N23" i="2"/>
  <c r="H3" i="11" s="1"/>
  <c r="H8" i="11"/>
  <c r="J36" i="1"/>
  <c r="J37" i="1" s="1"/>
  <c r="J39" i="1" s="1"/>
  <c r="G4" i="11"/>
  <c r="G5" i="11" s="1"/>
  <c r="I6" i="9"/>
  <c r="I8" i="9" s="1"/>
  <c r="N22" i="1"/>
  <c r="N23" i="1" s="1"/>
  <c r="I29" i="1"/>
  <c r="I31" i="1" s="1"/>
  <c r="I35" i="1"/>
  <c r="N22" i="2"/>
  <c r="H14" i="11"/>
  <c r="M10" i="1"/>
  <c r="L11" i="1"/>
  <c r="L15" i="1" s="1"/>
  <c r="L42" i="1" s="1"/>
  <c r="K2" i="8"/>
  <c r="P14" i="1"/>
  <c r="K33" i="1"/>
  <c r="K35" i="1" s="1"/>
  <c r="K28" i="1"/>
  <c r="K29" i="1" s="1"/>
  <c r="K31" i="1" s="1"/>
  <c r="M57" i="2"/>
  <c r="M61" i="2" s="1"/>
  <c r="K4" i="9"/>
  <c r="K7" i="9" s="1"/>
  <c r="K4" i="8"/>
  <c r="J6" i="8"/>
  <c r="N24" i="2"/>
  <c r="N30" i="2" s="1"/>
  <c r="N32" i="2" s="1"/>
  <c r="N37" i="2" s="1"/>
  <c r="N38" i="2" s="1"/>
  <c r="N57" i="2" s="1"/>
  <c r="N61" i="2" s="1"/>
  <c r="J7" i="9"/>
  <c r="I8" i="11" s="1"/>
  <c r="Q11" i="2"/>
  <c r="Q13" i="2" s="1"/>
  <c r="P13" i="2"/>
  <c r="O21" i="2"/>
  <c r="P23" i="2" l="1"/>
  <c r="J3" i="11" s="1"/>
  <c r="J8" i="11"/>
  <c r="K36" i="1"/>
  <c r="K37" i="1" s="1"/>
  <c r="K39" i="1" s="1"/>
  <c r="H4" i="11"/>
  <c r="H5" i="11" s="1"/>
  <c r="L2" i="9"/>
  <c r="L4" i="9" s="1"/>
  <c r="Q21" i="1"/>
  <c r="C7" i="11"/>
  <c r="C10" i="11" s="1"/>
  <c r="J6" i="9"/>
  <c r="O22" i="1"/>
  <c r="O23" i="1" s="1"/>
  <c r="L2" i="8"/>
  <c r="Q14" i="1"/>
  <c r="L33" i="1"/>
  <c r="L35" i="1" s="1"/>
  <c r="L28" i="1"/>
  <c r="L29" i="1" s="1"/>
  <c r="L31" i="1" s="1"/>
  <c r="O22" i="2"/>
  <c r="I14" i="11"/>
  <c r="N10" i="1"/>
  <c r="M11" i="1"/>
  <c r="M15" i="1" s="1"/>
  <c r="M42" i="1" s="1"/>
  <c r="K6" i="8"/>
  <c r="O23" i="2"/>
  <c r="J8" i="9"/>
  <c r="L4" i="8"/>
  <c r="Q21" i="2"/>
  <c r="P21" i="2"/>
  <c r="L7" i="9" l="1"/>
  <c r="R21" i="1"/>
  <c r="D7" i="11"/>
  <c r="D10" i="11" s="1"/>
  <c r="O24" i="2"/>
  <c r="O30" i="2" s="1"/>
  <c r="O32" i="2" s="1"/>
  <c r="O37" i="2" s="1"/>
  <c r="O38" i="2" s="1"/>
  <c r="O57" i="2" s="1"/>
  <c r="O61" i="2" s="1"/>
  <c r="I3" i="11"/>
  <c r="J5" i="11"/>
  <c r="J4" i="11"/>
  <c r="K6" i="9"/>
  <c r="K8" i="9" s="1"/>
  <c r="P22" i="1"/>
  <c r="P23" i="1" s="1"/>
  <c r="L36" i="1"/>
  <c r="E7" i="11" s="1"/>
  <c r="E10" i="11" s="1"/>
  <c r="M28" i="1"/>
  <c r="M29" i="1" s="1"/>
  <c r="M31" i="1" s="1"/>
  <c r="M33" i="1"/>
  <c r="M35" i="1" s="1"/>
  <c r="L6" i="8"/>
  <c r="R14" i="1"/>
  <c r="P22" i="2"/>
  <c r="J14" i="11"/>
  <c r="O10" i="1"/>
  <c r="N11" i="1"/>
  <c r="N15" i="1" s="1"/>
  <c r="N42" i="1" s="1"/>
  <c r="P24" i="2"/>
  <c r="P30" i="2" s="1"/>
  <c r="P32" i="2" s="1"/>
  <c r="P37" i="2" s="1"/>
  <c r="P38" i="2" s="1"/>
  <c r="P57" i="2" s="1"/>
  <c r="P61" i="2" s="1"/>
  <c r="L37" i="1" l="1"/>
  <c r="L39" i="1" s="1"/>
  <c r="I4" i="11"/>
  <c r="I5" i="11" s="1"/>
  <c r="Q23" i="2"/>
  <c r="K3" i="11" s="1"/>
  <c r="K4" i="11" s="1"/>
  <c r="K5" i="11" s="1"/>
  <c r="K8" i="11"/>
  <c r="L6" i="9"/>
  <c r="L8" i="9" s="1"/>
  <c r="R22" i="1" s="1"/>
  <c r="R23" i="1" s="1"/>
  <c r="Q22" i="1"/>
  <c r="Q23" i="1" s="1"/>
  <c r="N33" i="1"/>
  <c r="N35" i="1" s="1"/>
  <c r="N28" i="1"/>
  <c r="N29" i="1" s="1"/>
  <c r="N31" i="1" s="1"/>
  <c r="M36" i="1"/>
  <c r="P10" i="1"/>
  <c r="O11" i="1"/>
  <c r="O15" i="1" s="1"/>
  <c r="O42" i="1" s="1"/>
  <c r="Q22" i="2"/>
  <c r="K14" i="11"/>
  <c r="Q24" i="2" l="1"/>
  <c r="Q30" i="2" s="1"/>
  <c r="Q32" i="2" s="1"/>
  <c r="Q37" i="2" s="1"/>
  <c r="Q38" i="2" s="1"/>
  <c r="Q57" i="2" s="1"/>
  <c r="Q61" i="2" s="1"/>
  <c r="Q10" i="1"/>
  <c r="P11" i="1"/>
  <c r="P15" i="1" s="1"/>
  <c r="P42" i="1" s="1"/>
  <c r="M37" i="1"/>
  <c r="M39" i="1" s="1"/>
  <c r="F7" i="11"/>
  <c r="F10" i="11" s="1"/>
  <c r="N36" i="1"/>
  <c r="O28" i="1"/>
  <c r="O29" i="1" s="1"/>
  <c r="O31" i="1" s="1"/>
  <c r="O33" i="1"/>
  <c r="O35" i="1" s="1"/>
  <c r="O36" i="1" l="1"/>
  <c r="H7" i="11"/>
  <c r="H10" i="11" s="1"/>
  <c r="O37" i="1"/>
  <c r="O39" i="1" s="1"/>
  <c r="P28" i="1"/>
  <c r="P29" i="1" s="1"/>
  <c r="P31" i="1" s="1"/>
  <c r="P33" i="1"/>
  <c r="P35" i="1" s="1"/>
  <c r="N37" i="1"/>
  <c r="N39" i="1" s="1"/>
  <c r="G7" i="11"/>
  <c r="G10" i="11" s="1"/>
  <c r="R10" i="1"/>
  <c r="R11" i="1" s="1"/>
  <c r="R15" i="1" s="1"/>
  <c r="R42" i="1" s="1"/>
  <c r="Q11" i="1"/>
  <c r="Q15" i="1" s="1"/>
  <c r="Q42" i="1" s="1"/>
  <c r="Q33" i="1" l="1"/>
  <c r="Q35" i="1" s="1"/>
  <c r="Q28" i="1"/>
  <c r="Q29" i="1" s="1"/>
  <c r="Q31" i="1" s="1"/>
  <c r="Q36" i="1" s="1"/>
  <c r="P36" i="1"/>
  <c r="R28" i="1"/>
  <c r="R29" i="1" s="1"/>
  <c r="R31" i="1" s="1"/>
  <c r="R33" i="1"/>
  <c r="R35" i="1" s="1"/>
  <c r="J7" i="11" l="1"/>
  <c r="J10" i="11" s="1"/>
  <c r="Q37" i="1"/>
  <c r="Q39" i="1" s="1"/>
  <c r="R36" i="1"/>
  <c r="P37" i="1"/>
  <c r="P39" i="1" s="1"/>
  <c r="I7" i="11"/>
  <c r="I10" i="11" s="1"/>
  <c r="K7" i="11" l="1"/>
  <c r="K10" i="11" s="1"/>
  <c r="R37" i="1"/>
  <c r="R39" i="1" s="1"/>
  <c r="B12" i="11" l="1"/>
  <c r="B17" i="11" s="1"/>
  <c r="B20" i="11" s="1"/>
</calcChain>
</file>

<file path=xl/sharedStrings.xml><?xml version="1.0" encoding="utf-8"?>
<sst xmlns="http://schemas.openxmlformats.org/spreadsheetml/2006/main" count="371" uniqueCount="223">
  <si>
    <t>Standalone Balance Sheet</t>
  </si>
  <si>
    <t>------------------- in Rs. Cr. -------------------</t>
  </si>
  <si>
    <t>Mar '19</t>
  </si>
  <si>
    <t>Mar '18</t>
  </si>
  <si>
    <t>Mar '17</t>
  </si>
  <si>
    <t>Mar '16</t>
  </si>
  <si>
    <t>Mar '15</t>
  </si>
  <si>
    <t>12 mths</t>
  </si>
  <si>
    <t>Sources Of Funds</t>
  </si>
  <si>
    <t>Total Share Capital</t>
  </si>
  <si>
    <t>Equity Share Capital</t>
  </si>
  <si>
    <t>Share Application Money</t>
  </si>
  <si>
    <t>Reserves</t>
  </si>
  <si>
    <t>Networth</t>
  </si>
  <si>
    <t>Secured Loans</t>
  </si>
  <si>
    <t>Unsecured Loans</t>
  </si>
  <si>
    <t>Total Debt</t>
  </si>
  <si>
    <t>Total Liabilities</t>
  </si>
  <si>
    <t>Application Of Funds</t>
  </si>
  <si>
    <t>Gross Block</t>
  </si>
  <si>
    <t>Less: Accum. Depreciation</t>
  </si>
  <si>
    <t>Net Block</t>
  </si>
  <si>
    <t>Capital Work in Progress</t>
  </si>
  <si>
    <t>Investments</t>
  </si>
  <si>
    <t>Inventories</t>
  </si>
  <si>
    <t>Sundry Debtors</t>
  </si>
  <si>
    <t>Cash and Bank Balance</t>
  </si>
  <si>
    <t>Total Current Assets</t>
  </si>
  <si>
    <t>Loans and Advances</t>
  </si>
  <si>
    <t>Total CA, Loans &amp; Advances</t>
  </si>
  <si>
    <t>Current Liabilities</t>
  </si>
  <si>
    <t>Provisions</t>
  </si>
  <si>
    <t>Total CL &amp; Provisions</t>
  </si>
  <si>
    <t>Net Current Assets</t>
  </si>
  <si>
    <t>Total Assets</t>
  </si>
  <si>
    <t>Contingent Liabilities</t>
  </si>
  <si>
    <t>Book Value (Rs)</t>
  </si>
  <si>
    <t>Standalone Profit &amp; Loss account</t>
  </si>
  <si>
    <t>Mar 19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</si>
  <si>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</si>
  <si>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</si>
  <si>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</si>
  <si>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</si>
  <si>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</si>
  <si>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</si>
  <si>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</si>
  <si>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</si>
  <si>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</si>
  <si>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</si>
  <si>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</si>
  <si>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</si>
  <si>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</si>
  <si>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</si>
  <si>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</si>
  <si>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</si>
  <si>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Less: Amounts Transfer To Capital Accounts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</si>
  <si>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</si>
  <si>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</si>
  <si>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</si>
  <si>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</si>
  <si>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</si>
  <si>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</si>
  <si>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</si>
  <si>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</si>
  <si>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</si>
  <si>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</si>
  <si>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</si>
  <si>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</si>
  <si>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</si>
  <si>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</si>
  <si>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</si>
  <si>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</si>
  <si>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VALUE OF IMPORTED AND INDIGENIOUS RAW MATERIALS</t>
  </si>
  <si>
    <t>Imported Raw Materials</t>
  </si>
  <si>
    <t>Indigenous Raw Materials</t>
  </si>
  <si>
    <t>STORES, SPARES AND LOOSE TOOLS</t>
  </si>
  <si>
    <t>Imported Stores And Spares</t>
  </si>
  <si>
    <t>Indigenous Stores And Spares</t>
  </si>
  <si>
    <t>DIVIDEND AND DIVIDEND PERCENTAGE</t>
  </si>
  <si>
    <t>Equity Share Dividend</t>
  </si>
  <si>
    <t>Tax On Dividend</t>
  </si>
  <si>
    <t>Equity Dividend Rate (%)</t>
  </si>
  <si>
    <t>Cash Flow</t>
  </si>
  <si>
    <t>Net Profit Before Tax</t>
  </si>
  <si>
    <t>Net Cash From Operating Activities</t>
  </si>
  <si>
    <t>Net Cash (used in)/from</t>
  </si>
  <si>
    <t>Investing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</si>
  <si>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</si>
  <si>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</si>
  <si>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</si>
  <si>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</si>
  <si>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EQUITIES AND LIABILITIES</t>
  </si>
  <si>
    <t>SHAREHOLDER'S FUNDS</t>
  </si>
  <si>
    <t>Reserves and Surplus</t>
  </si>
  <si>
    <t>Total Reserves and Surplus</t>
  </si>
  <si>
    <t>Total Shareholders Funds</t>
  </si>
  <si>
    <t>Equity Share Application Money</t>
  </si>
  <si>
    <t>Hybrid/Debt/Other Securities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</si>
  <si>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</si>
  <si>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</si>
  <si>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</si>
  <si>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</si>
  <si>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</si>
  <si>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</si>
  <si>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</si>
  <si>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</si>
  <si>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</si>
  <si>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</si>
  <si>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</si>
  <si>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</si>
  <si>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</si>
  <si>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</si>
  <si>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</si>
  <si>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</si>
  <si>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</si>
  <si>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</si>
  <si>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</si>
  <si>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</si>
  <si>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Non-Current Investments</t>
  </si>
  <si>
    <t>Long Term Loans And Advances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</si>
  <si>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</si>
  <si>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</si>
  <si>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</si>
  <si>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</si>
  <si>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</si>
  <si>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</si>
  <si>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</si>
  <si>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</si>
  <si>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CONTINGENT LIABILITIES, COMMITMENTS</t>
  </si>
  <si>
    <t>CIF VALUE OF IMPORTS</t>
  </si>
  <si>
    <t>Raw Materials</t>
  </si>
  <si>
    <t>Stores, Spares And Loose Tools</t>
  </si>
  <si>
    <t>Trade/Other Goods</t>
  </si>
  <si>
    <t>Capital Goods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</si>
  <si>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</si>
  <si>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</si>
  <si>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</si>
  <si>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</si>
  <si>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</si>
  <si>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</si>
  <si>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</si>
  <si>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</si>
  <si>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</si>
  <si>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</si>
  <si>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</si>
  <si>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</si>
  <si>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</si>
  <si>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</si>
  <si>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</si>
  <si>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</si>
  <si>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Net Profit/Loss Before Extraordinary Items And Tax</t>
  </si>
  <si>
    <t>Net CashFlow From Operating Activities</t>
  </si>
  <si>
    <t>Net Cash Used In Investing Activities</t>
  </si>
  <si>
    <t>Net Cash Used From Financing Activities</t>
  </si>
  <si>
    <t>Net Inc/Dec In Cash And Cash Equivalents</t>
  </si>
  <si>
    <t>Cash And Cash Equivalents Begin of Year</t>
  </si>
  <si>
    <t>Cash And Cash Equivalents End Of Year</t>
  </si>
  <si>
    <t>Tax Rate</t>
  </si>
  <si>
    <t>Profit/Loss After Tax And Before ExtraOrdinary Items (PAT)</t>
  </si>
  <si>
    <t>Assumed</t>
  </si>
  <si>
    <t>Payout Ratio</t>
  </si>
  <si>
    <t>% increase in operating revenue</t>
  </si>
  <si>
    <t>COGS/Revenues</t>
  </si>
  <si>
    <t xml:space="preserve">Total Expenses (including finance and dep) </t>
  </si>
  <si>
    <t>Retained Earnings</t>
  </si>
  <si>
    <t>Opening Debt</t>
  </si>
  <si>
    <t>Issue/Redemption Debt</t>
  </si>
  <si>
    <t>Closing debt</t>
  </si>
  <si>
    <t>Issue/Redemption of debt</t>
  </si>
  <si>
    <t>Interest Rate</t>
  </si>
  <si>
    <t>Interest expense</t>
  </si>
  <si>
    <t>Mar '20</t>
  </si>
  <si>
    <t>Mar '21</t>
  </si>
  <si>
    <t>Mar '22</t>
  </si>
  <si>
    <t>Mar '23</t>
  </si>
  <si>
    <t>Mar '24</t>
  </si>
  <si>
    <t>Mar '25</t>
  </si>
  <si>
    <t>Mar '26</t>
  </si>
  <si>
    <t>Mar '27</t>
  </si>
  <si>
    <t>Mar '28</t>
  </si>
  <si>
    <t>Mar '29</t>
  </si>
  <si>
    <t>Increase(Sale) of Fixed Assets</t>
  </si>
  <si>
    <t>Opening Gross Block</t>
  </si>
  <si>
    <t>Addition (Sale) of Fixed Assets</t>
  </si>
  <si>
    <t>Closing Gross Block</t>
  </si>
  <si>
    <t>Depreciation</t>
  </si>
  <si>
    <t>Opening Accumulated Depreciation</t>
  </si>
  <si>
    <t>Closing Accumulated Depreciation</t>
  </si>
  <si>
    <t>Depreciation Rate</t>
  </si>
  <si>
    <t>Increase in Investments</t>
  </si>
  <si>
    <t>Inventories/Sales</t>
  </si>
  <si>
    <t>Sundry debtors/Sales</t>
  </si>
  <si>
    <t>Current liabilities/Sales</t>
  </si>
  <si>
    <t>Provisions/Sales</t>
  </si>
  <si>
    <t>Loans&amp;Advances/Sales</t>
  </si>
  <si>
    <t>Short Term Debt</t>
  </si>
  <si>
    <t>TL-TA</t>
  </si>
  <si>
    <t>X</t>
  </si>
  <si>
    <t>EBIT</t>
  </si>
  <si>
    <t>Tax</t>
  </si>
  <si>
    <t>PAT</t>
  </si>
  <si>
    <t>Capex</t>
  </si>
  <si>
    <t>Increase in NWC</t>
  </si>
  <si>
    <t>Issue of shares</t>
  </si>
  <si>
    <t>FCF</t>
  </si>
  <si>
    <t>PV(FCF)</t>
  </si>
  <si>
    <t>Cost of Unlevered Equity</t>
  </si>
  <si>
    <t>VU</t>
  </si>
  <si>
    <t>Terminal Growth Rate</t>
  </si>
  <si>
    <t>Interest Tax Shield(ITS)</t>
  </si>
  <si>
    <t>Present Value(ITS)</t>
  </si>
  <si>
    <t>VL</t>
  </si>
  <si>
    <t>PV(Tax Benefit)</t>
  </si>
  <si>
    <t>Share Price</t>
  </si>
  <si>
    <t>Number of shares outstanding</t>
  </si>
  <si>
    <t>Expected Ri</t>
  </si>
  <si>
    <t>=rf + beta*(rm-rf)</t>
  </si>
  <si>
    <t>ke levered</t>
  </si>
  <si>
    <t xml:space="preserve">beta </t>
  </si>
  <si>
    <t>rf</t>
  </si>
  <si>
    <t>rm</t>
  </si>
  <si>
    <t>Diff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</si>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</sst>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</fills>
  <borders count="5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17" fontId="1" fillId="2" borderId="1" xfId="0" applyNumberFormat="1" applyFont="1" applyFill="1" applyBorder="1" applyAlignment="1">
      <alignment horizontal="right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6" fontId="1" fillId="2" borderId="1" xfId="0" applyNumberFormat="1" applyFont="1" applyFill="1" applyBorder="1" applyAlignment="1">
      <alignment horizontal="right" vertical="center" wrapText="1"/>
    </xf>
    <xf numFmtId="9" fontId="0" fillId="0" borderId="0" xfId="0" applyNumberFormat="1"/>
    <xf numFmtId="0" fontId="2" fillId="2" borderId="0" xfId="0" applyFont="1" applyFill="1" applyBorder="1" applyAlignment="1">
      <alignment vertical="center" wrapText="1"/>
    </xf>
    <xf numFmtId="4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4" fontId="0" fillId="2" borderId="0" xfId="0" applyNumberFormat="1" applyFill="1"/>
    <xf numFmtId="1" fontId="0" fillId="0" borderId="0" xfId="0" applyNumberFormat="1"/>
    <xf numFmtId="0" fontId="0" fillId="0" borderId="0" xfId="0" applyNumberFormat="1"/>
    <xf numFmtId="4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right" vertical="center" wrapText="1"/>
    </xf>
    <xf numFmtId="0" fontId="0" fillId="0" borderId="0" xfId="0" quotePrefix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76200</xdr:colOff>
      <xdr:row>1</xdr:row>
      <xdr:rowOff>76200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76200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76200</xdr:colOff>
      <xdr:row>6</xdr:row>
      <xdr:rowOff>76200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76200</xdr:colOff>
      <xdr:row>7</xdr:row>
      <xdr:rowOff>76200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16</xdr:row>
      <xdr:rowOff>76200</xdr:rowOff>
    </xdr:to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76200</xdr:colOff>
      <xdr:row>18</xdr:row>
      <xdr:rowOff>76200</xdr:rowOff>
    </xdr:to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76200</xdr:colOff>
      <xdr:row>37</xdr:row>
      <xdr:rowOff>76200</xdr:rowOff>
    </xdr:to>
    <xdr:pic>
      <xdr:nvPicPr>
        <xdr:cNvPr id="13" name="Picture 12" descr="https://img-d05.moneycontrol.co.in/images/blank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6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76200</xdr:colOff>
      <xdr:row>26</xdr:row>
      <xdr:rowOff>76200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76200</xdr:colOff>
      <xdr:row>28</xdr:row>
      <xdr:rowOff>76200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76200</xdr:colOff>
      <xdr:row>43</xdr:row>
      <xdr:rowOff>76200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76200</xdr:colOff>
      <xdr:row>55</xdr:row>
      <xdr:rowOff>76200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8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76200</xdr:colOff>
      <xdr:row>24</xdr:row>
      <xdr:rowOff>76200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76200</xdr:colOff>
      <xdr:row>26</xdr:row>
      <xdr:rowOff>76200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76200</xdr:colOff>
      <xdr:row>39</xdr:row>
      <xdr:rowOff>76200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76200</xdr:colOff>
      <xdr:row>41</xdr:row>
      <xdr:rowOff>76200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8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B14" workbookViewId="0">
      <selection activeCell="I37" sqref="I37"/>
    </sheetView>
  </sheetViews>
  <sheetFormatPr defaultRowHeight="14.4" x14ac:dyDescent="0.3"/>
  <cols>
    <col min="1" max="1" width="21.88671875" bestFit="1" customWidth="1"/>
    <col min="2" max="2" width="11.33203125" bestFit="1" customWidth="1"/>
    <col min="3" max="3" width="11.5546875" customWidth="1"/>
    <col min="4" max="4" width="7.88671875" bestFit="1" customWidth="1"/>
    <col min="5" max="5" width="9.21875" bestFit="1" customWidth="1"/>
    <col min="6" max="8" width="8.44140625" bestFit="1" customWidth="1"/>
    <col min="9" max="12" width="12.6640625" bestFit="1" customWidth="1"/>
    <col min="13" max="13" width="12" bestFit="1" customWidth="1"/>
    <col min="14" max="18" width="12.6640625" bestFit="1" customWidth="1"/>
  </cols>
  <sheetData>
    <row r="1" spans="1:18" ht="36" x14ac:dyDescent="0.3">
      <c r="A1" s="2" t="s">
        <v>0</v>
      </c>
      <c r="B1" s="3" t="s">
        <v>1</v>
      </c>
      <c r="C1" s="20"/>
      <c r="H1" s="3"/>
    </row>
    <row r="2" spans="1:18" x14ac:dyDescent="0.3">
      <c r="A2" s="4"/>
      <c r="B2" s="5" t="s">
        <v>2</v>
      </c>
      <c r="C2" s="5"/>
      <c r="D2" s="5" t="s">
        <v>6</v>
      </c>
      <c r="E2" s="5" t="s">
        <v>5</v>
      </c>
      <c r="F2" s="5" t="s">
        <v>4</v>
      </c>
      <c r="G2" s="5" t="s">
        <v>3</v>
      </c>
      <c r="H2" s="5" t="s">
        <v>2</v>
      </c>
      <c r="I2" s="5" t="s">
        <v>171</v>
      </c>
      <c r="J2" s="5" t="s">
        <v>172</v>
      </c>
      <c r="K2" s="5" t="s">
        <v>173</v>
      </c>
      <c r="L2" s="5" t="s">
        <v>174</v>
      </c>
      <c r="M2" s="5" t="s">
        <v>175</v>
      </c>
      <c r="N2" s="5" t="s">
        <v>176</v>
      </c>
      <c r="O2" s="5" t="s">
        <v>177</v>
      </c>
      <c r="P2" s="5" t="s">
        <v>178</v>
      </c>
      <c r="Q2" s="5" t="s">
        <v>179</v>
      </c>
      <c r="R2" s="5" t="s">
        <v>180</v>
      </c>
    </row>
    <row r="3" spans="1:18" x14ac:dyDescent="0.3">
      <c r="A3" s="30"/>
      <c r="B3" s="30"/>
      <c r="C3" s="30"/>
      <c r="D3" s="30"/>
      <c r="E3" s="30"/>
      <c r="F3" s="30"/>
      <c r="G3" s="30"/>
      <c r="H3" s="30"/>
      <c r="I3" s="30"/>
    </row>
    <row r="4" spans="1:18" x14ac:dyDescent="0.3">
      <c r="A4" s="6"/>
      <c r="B4" s="7" t="s">
        <v>7</v>
      </c>
      <c r="C4" s="13"/>
      <c r="D4" s="7" t="s">
        <v>7</v>
      </c>
      <c r="E4" s="13" t="s">
        <v>7</v>
      </c>
      <c r="F4" s="13" t="s">
        <v>7</v>
      </c>
      <c r="G4" s="13" t="s">
        <v>7</v>
      </c>
      <c r="H4" s="13" t="s">
        <v>7</v>
      </c>
      <c r="I4" s="1"/>
    </row>
    <row r="5" spans="1:18" x14ac:dyDescent="0.3">
      <c r="A5" s="30"/>
      <c r="B5" s="30"/>
      <c r="C5" s="30"/>
      <c r="D5" s="30"/>
      <c r="E5" s="30"/>
      <c r="F5" s="30"/>
      <c r="G5" s="30"/>
      <c r="H5" s="30"/>
      <c r="I5" s="30"/>
    </row>
    <row r="6" spans="1:18" x14ac:dyDescent="0.3">
      <c r="A6" s="31" t="s">
        <v>8</v>
      </c>
      <c r="B6" s="32"/>
      <c r="C6" s="10"/>
      <c r="D6" s="5"/>
      <c r="E6" s="5"/>
      <c r="F6" s="5"/>
      <c r="G6" s="5"/>
      <c r="H6" s="1"/>
      <c r="I6" s="1"/>
    </row>
    <row r="7" spans="1:18" x14ac:dyDescent="0.3">
      <c r="A7" s="6" t="s">
        <v>9</v>
      </c>
      <c r="B7" s="8">
        <v>1146.1199999999999</v>
      </c>
      <c r="C7" s="8"/>
      <c r="D7" s="7">
        <v>971.41</v>
      </c>
      <c r="E7" s="13">
        <v>971.41</v>
      </c>
      <c r="F7" s="13">
        <v>971.41</v>
      </c>
      <c r="G7" s="8">
        <v>1146.1199999999999</v>
      </c>
      <c r="H7" s="8">
        <v>1146.1199999999999</v>
      </c>
      <c r="I7" s="21">
        <f>H7</f>
        <v>1146.1199999999999</v>
      </c>
      <c r="J7" s="21">
        <f t="shared" ref="J7:R7" si="0">I7</f>
        <v>1146.1199999999999</v>
      </c>
      <c r="K7" s="21">
        <f t="shared" si="0"/>
        <v>1146.1199999999999</v>
      </c>
      <c r="L7" s="21">
        <f t="shared" si="0"/>
        <v>1146.1199999999999</v>
      </c>
      <c r="M7" s="21">
        <f t="shared" si="0"/>
        <v>1146.1199999999999</v>
      </c>
      <c r="N7" s="21">
        <f t="shared" si="0"/>
        <v>1146.1199999999999</v>
      </c>
      <c r="O7" s="21">
        <f t="shared" si="0"/>
        <v>1146.1199999999999</v>
      </c>
      <c r="P7" s="21">
        <f t="shared" si="0"/>
        <v>1146.1199999999999</v>
      </c>
      <c r="Q7" s="21">
        <f t="shared" si="0"/>
        <v>1146.1199999999999</v>
      </c>
      <c r="R7" s="21">
        <f t="shared" si="0"/>
        <v>1146.1199999999999</v>
      </c>
    </row>
    <row r="8" spans="1:18" x14ac:dyDescent="0.3">
      <c r="A8" s="6" t="s">
        <v>10</v>
      </c>
      <c r="B8" s="8">
        <v>1146.1199999999999</v>
      </c>
      <c r="C8" s="8"/>
      <c r="D8" s="7">
        <v>971.41</v>
      </c>
      <c r="E8" s="13">
        <v>971.41</v>
      </c>
      <c r="F8" s="13">
        <v>971.41</v>
      </c>
      <c r="G8" s="8">
        <v>1146.1199999999999</v>
      </c>
      <c r="H8" s="8">
        <v>1146.1199999999999</v>
      </c>
      <c r="I8" s="21">
        <f>H8</f>
        <v>1146.1199999999999</v>
      </c>
      <c r="J8" s="21">
        <f t="shared" ref="J8:R8" si="1">I8</f>
        <v>1146.1199999999999</v>
      </c>
      <c r="K8" s="21">
        <f t="shared" si="1"/>
        <v>1146.1199999999999</v>
      </c>
      <c r="L8" s="21">
        <f t="shared" si="1"/>
        <v>1146.1199999999999</v>
      </c>
      <c r="M8" s="21">
        <f t="shared" si="1"/>
        <v>1146.1199999999999</v>
      </c>
      <c r="N8" s="21">
        <f t="shared" si="1"/>
        <v>1146.1199999999999</v>
      </c>
      <c r="O8" s="21">
        <f t="shared" si="1"/>
        <v>1146.1199999999999</v>
      </c>
      <c r="P8" s="21">
        <f t="shared" si="1"/>
        <v>1146.1199999999999</v>
      </c>
      <c r="Q8" s="21">
        <f t="shared" si="1"/>
        <v>1146.1199999999999</v>
      </c>
      <c r="R8" s="21">
        <f t="shared" si="1"/>
        <v>1146.1199999999999</v>
      </c>
    </row>
    <row r="9" spans="1:18" x14ac:dyDescent="0.3">
      <c r="A9" s="6" t="s">
        <v>11</v>
      </c>
      <c r="B9" s="7">
        <v>0</v>
      </c>
      <c r="C9" s="13"/>
      <c r="D9" s="7">
        <v>0</v>
      </c>
      <c r="E9" s="13">
        <v>0</v>
      </c>
      <c r="F9" s="13">
        <v>0.01</v>
      </c>
      <c r="G9" s="13">
        <v>0.02</v>
      </c>
      <c r="H9" s="13">
        <v>0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6" t="s">
        <v>12</v>
      </c>
      <c r="B10" s="8">
        <v>69308.59</v>
      </c>
      <c r="C10" s="8"/>
      <c r="D10" s="8">
        <v>65692.479999999996</v>
      </c>
      <c r="E10" s="8">
        <v>69505.31</v>
      </c>
      <c r="F10" s="8">
        <v>48687.59</v>
      </c>
      <c r="G10" s="8">
        <v>60368.7</v>
      </c>
      <c r="H10" s="8">
        <v>69308.59</v>
      </c>
      <c r="I10" s="21">
        <f>H10+PnL!H61</f>
        <v>74722.077146374999</v>
      </c>
      <c r="J10" s="21">
        <f>I10+PnL!I61</f>
        <v>81673.69097965624</v>
      </c>
      <c r="K10" s="21">
        <f>J10+PnL!J61</f>
        <v>90435.20550287966</v>
      </c>
      <c r="L10" s="21">
        <f>K10+PnL!K61</f>
        <v>101319.1608195366</v>
      </c>
      <c r="M10" s="21">
        <f>L10+PnL!L61</f>
        <v>114684.97804864208</v>
      </c>
      <c r="N10" s="21">
        <f>M10+PnL!M61</f>
        <v>130945.99147706339</v>
      </c>
      <c r="O10" s="21">
        <f>N10+PnL!N61</f>
        <v>150577.5355346979</v>
      </c>
      <c r="P10" s="21">
        <f>O10+PnL!O61</f>
        <v>174126.24481592758</v>
      </c>
      <c r="Q10" s="21">
        <f>P10+PnL!P61</f>
        <v>202220.74910429172</v>
      </c>
      <c r="R10" s="21">
        <f>Q10+PnL!Q61</f>
        <v>235583.97265086049</v>
      </c>
    </row>
    <row r="11" spans="1:18" x14ac:dyDescent="0.3">
      <c r="A11" s="4" t="s">
        <v>13</v>
      </c>
      <c r="B11" s="9">
        <v>70454.710000000006</v>
      </c>
      <c r="C11" s="9"/>
      <c r="D11" s="9">
        <v>66663.89</v>
      </c>
      <c r="E11" s="9">
        <v>70476.72</v>
      </c>
      <c r="F11" s="9">
        <v>49659.01</v>
      </c>
      <c r="G11" s="9">
        <v>61514.84</v>
      </c>
      <c r="H11" s="9">
        <v>70454.710000000006</v>
      </c>
      <c r="I11" s="21">
        <f>I10+I8</f>
        <v>75868.197146374994</v>
      </c>
      <c r="J11" s="21">
        <f t="shared" ref="J11:R11" si="2">J10+J8</f>
        <v>82819.810979656235</v>
      </c>
      <c r="K11" s="21">
        <f t="shared" si="2"/>
        <v>91581.325502879656</v>
      </c>
      <c r="L11" s="21">
        <f t="shared" si="2"/>
        <v>102465.28081953659</v>
      </c>
      <c r="M11" s="21">
        <f t="shared" si="2"/>
        <v>115831.09804864207</v>
      </c>
      <c r="N11" s="21">
        <f t="shared" si="2"/>
        <v>132092.11147706339</v>
      </c>
      <c r="O11" s="21">
        <f t="shared" si="2"/>
        <v>151723.6555346979</v>
      </c>
      <c r="P11" s="21">
        <f t="shared" si="2"/>
        <v>175272.36481592758</v>
      </c>
      <c r="Q11" s="21">
        <f t="shared" si="2"/>
        <v>203366.86910429172</v>
      </c>
      <c r="R11" s="21">
        <f t="shared" si="2"/>
        <v>236730.09265086049</v>
      </c>
    </row>
    <row r="12" spans="1:18" hidden="1" x14ac:dyDescent="0.3">
      <c r="A12" s="6" t="s">
        <v>14</v>
      </c>
      <c r="B12" s="8">
        <v>28934.28</v>
      </c>
      <c r="C12" s="8"/>
      <c r="D12" s="8">
        <v>4507.6400000000003</v>
      </c>
      <c r="E12" s="8">
        <v>4613.91</v>
      </c>
      <c r="F12" s="8">
        <v>4710.03</v>
      </c>
      <c r="G12" s="8">
        <v>4803.8599999999997</v>
      </c>
      <c r="H12" s="8">
        <v>28934.28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idden="1" x14ac:dyDescent="0.3">
      <c r="A13" s="6" t="s">
        <v>15</v>
      </c>
      <c r="B13" s="7">
        <v>0</v>
      </c>
      <c r="C13" s="13"/>
      <c r="D13" s="8">
        <v>21702.61</v>
      </c>
      <c r="E13" s="8">
        <v>26379.88</v>
      </c>
      <c r="F13" s="8">
        <v>25499.01</v>
      </c>
      <c r="G13" s="8">
        <v>22709.97</v>
      </c>
      <c r="H13" s="13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4" t="s">
        <v>16</v>
      </c>
      <c r="B14" s="9">
        <v>28934.28</v>
      </c>
      <c r="C14" s="9"/>
      <c r="D14" s="9">
        <v>26210.25</v>
      </c>
      <c r="E14" s="9">
        <v>30993.79</v>
      </c>
      <c r="F14" s="9">
        <v>30209.040000000001</v>
      </c>
      <c r="G14" s="9">
        <v>27513.83</v>
      </c>
      <c r="H14" s="9">
        <v>28934.28</v>
      </c>
      <c r="I14" s="21">
        <f>Debt!C4</f>
        <v>28434.28</v>
      </c>
      <c r="J14" s="21">
        <f>Debt!D4</f>
        <v>27934.28</v>
      </c>
      <c r="K14" s="21">
        <f>Debt!E4</f>
        <v>27434.28</v>
      </c>
      <c r="L14" s="21">
        <f>Debt!F4</f>
        <v>26934.28</v>
      </c>
      <c r="M14" s="21">
        <f>Debt!G4</f>
        <v>26434.28</v>
      </c>
      <c r="N14" s="21">
        <f>Debt!H4</f>
        <v>25934.28</v>
      </c>
      <c r="O14" s="21">
        <f>Debt!I4</f>
        <v>25434.28</v>
      </c>
      <c r="P14" s="21">
        <f>Debt!J4</f>
        <v>24934.28</v>
      </c>
      <c r="Q14" s="21">
        <f>Debt!K4</f>
        <v>24434.28</v>
      </c>
      <c r="R14" s="21">
        <f>Debt!L4</f>
        <v>23934.28</v>
      </c>
    </row>
    <row r="15" spans="1:18" x14ac:dyDescent="0.3">
      <c r="A15" s="4" t="s">
        <v>17</v>
      </c>
      <c r="B15" s="9">
        <v>99388.99</v>
      </c>
      <c r="C15" s="9"/>
      <c r="D15" s="9">
        <v>92874.14</v>
      </c>
      <c r="E15" s="9">
        <v>101470.51</v>
      </c>
      <c r="F15" s="9">
        <v>79868.05</v>
      </c>
      <c r="G15" s="9">
        <v>89028.67</v>
      </c>
      <c r="H15" s="9">
        <v>99388.99</v>
      </c>
      <c r="I15" s="21">
        <f>I11+I14</f>
        <v>104302.47714637499</v>
      </c>
      <c r="J15" s="21">
        <f t="shared" ref="J15:R15" si="3">J11+J14</f>
        <v>110754.09097965623</v>
      </c>
      <c r="K15" s="21">
        <f t="shared" si="3"/>
        <v>119015.60550287965</v>
      </c>
      <c r="L15" s="21">
        <f t="shared" si="3"/>
        <v>129399.56081953659</v>
      </c>
      <c r="M15" s="21">
        <f t="shared" si="3"/>
        <v>142265.37804864207</v>
      </c>
      <c r="N15" s="21">
        <f t="shared" si="3"/>
        <v>158026.39147706339</v>
      </c>
      <c r="O15" s="21">
        <f t="shared" si="3"/>
        <v>177157.9355346979</v>
      </c>
      <c r="P15" s="21">
        <f t="shared" si="3"/>
        <v>200206.64481592758</v>
      </c>
      <c r="Q15" s="21">
        <f t="shared" si="3"/>
        <v>227801.14910429172</v>
      </c>
      <c r="R15" s="21">
        <f t="shared" si="3"/>
        <v>260664.37265086049</v>
      </c>
    </row>
    <row r="16" spans="1:18" x14ac:dyDescent="0.3">
      <c r="A16" s="4"/>
      <c r="B16" s="5" t="s">
        <v>2</v>
      </c>
      <c r="C16" s="5"/>
      <c r="D16" s="5" t="s">
        <v>6</v>
      </c>
      <c r="E16" s="5" t="s">
        <v>5</v>
      </c>
      <c r="F16" s="5" t="s">
        <v>4</v>
      </c>
      <c r="G16" s="5" t="s">
        <v>3</v>
      </c>
      <c r="H16" s="5" t="s">
        <v>2</v>
      </c>
      <c r="I16" s="1"/>
    </row>
    <row r="17" spans="1:18" x14ac:dyDescent="0.3">
      <c r="A17" s="30"/>
      <c r="B17" s="30"/>
      <c r="C17" s="30"/>
      <c r="D17" s="30"/>
      <c r="E17" s="30"/>
      <c r="F17" s="30"/>
      <c r="G17" s="30"/>
      <c r="H17" s="30"/>
      <c r="I17" s="30"/>
    </row>
    <row r="18" spans="1:18" x14ac:dyDescent="0.3">
      <c r="A18" s="6"/>
      <c r="B18" s="7" t="s">
        <v>7</v>
      </c>
      <c r="C18" s="13"/>
      <c r="D18" s="7" t="s">
        <v>7</v>
      </c>
      <c r="E18" s="13" t="s">
        <v>7</v>
      </c>
      <c r="F18" s="13" t="s">
        <v>7</v>
      </c>
      <c r="G18" s="13" t="s">
        <v>7</v>
      </c>
      <c r="H18" s="13" t="s">
        <v>7</v>
      </c>
      <c r="I18" s="1"/>
    </row>
    <row r="19" spans="1:18" x14ac:dyDescent="0.3">
      <c r="A19" s="30"/>
      <c r="B19" s="30"/>
      <c r="C19" s="30"/>
      <c r="D19" s="30"/>
      <c r="E19" s="30"/>
      <c r="F19" s="30"/>
      <c r="G19" s="30"/>
      <c r="H19" s="30"/>
      <c r="I19" s="30"/>
    </row>
    <row r="20" spans="1:18" x14ac:dyDescent="0.3">
      <c r="A20" s="31" t="s">
        <v>18</v>
      </c>
      <c r="B20" s="32"/>
      <c r="C20" s="10"/>
      <c r="D20" s="5"/>
      <c r="E20" s="5"/>
      <c r="F20" s="5"/>
      <c r="G20" s="5"/>
      <c r="H20" s="1"/>
      <c r="I20" s="1"/>
    </row>
    <row r="21" spans="1:18" x14ac:dyDescent="0.3">
      <c r="A21" s="6" t="s">
        <v>19</v>
      </c>
      <c r="B21" s="8">
        <v>86575.39</v>
      </c>
      <c r="C21" s="8"/>
      <c r="D21" s="8">
        <v>41791.519999999997</v>
      </c>
      <c r="E21" s="8">
        <v>43791.68</v>
      </c>
      <c r="F21" s="8">
        <v>80728.28</v>
      </c>
      <c r="G21" s="8">
        <v>83444.460000000006</v>
      </c>
      <c r="H21" s="8">
        <v>86575.39</v>
      </c>
      <c r="I21" s="21">
        <f>'Fixed Assets'!C4</f>
        <v>91575.39</v>
      </c>
      <c r="J21" s="21">
        <f>'Fixed Assets'!D4</f>
        <v>96575.39</v>
      </c>
      <c r="K21" s="21">
        <f>'Fixed Assets'!E4</f>
        <v>101575.39</v>
      </c>
      <c r="L21" s="21">
        <f>'Fixed Assets'!F4</f>
        <v>106575.39</v>
      </c>
      <c r="M21" s="21">
        <f>'Fixed Assets'!G4</f>
        <v>111575.39</v>
      </c>
      <c r="N21" s="21">
        <f>'Fixed Assets'!H4</f>
        <v>116575.39</v>
      </c>
      <c r="O21" s="21">
        <f>'Fixed Assets'!I4</f>
        <v>121575.39</v>
      </c>
      <c r="P21" s="21">
        <f>'Fixed Assets'!J4</f>
        <v>126575.39</v>
      </c>
      <c r="Q21" s="21">
        <f>'Fixed Assets'!K4</f>
        <v>131575.39000000001</v>
      </c>
      <c r="R21" s="21">
        <f>'Fixed Assets'!L4</f>
        <v>136575.39000000001</v>
      </c>
    </row>
    <row r="22" spans="1:18" x14ac:dyDescent="0.3">
      <c r="A22" s="6" t="s">
        <v>20</v>
      </c>
      <c r="B22" s="8">
        <v>15353.37</v>
      </c>
      <c r="C22" s="8"/>
      <c r="D22" s="8">
        <v>16543</v>
      </c>
      <c r="E22" s="8">
        <v>18363.09</v>
      </c>
      <c r="F22" s="8">
        <v>8161.13</v>
      </c>
      <c r="G22" s="8">
        <v>11715.38</v>
      </c>
      <c r="H22" s="8">
        <v>15353.37</v>
      </c>
      <c r="I22" s="21">
        <f>'Fixed Assets'!C8</f>
        <v>24260.909</v>
      </c>
      <c r="J22" s="21">
        <f>'Fixed Assets'!D8</f>
        <v>33668.448000000004</v>
      </c>
      <c r="K22" s="21">
        <f>'Fixed Assets'!E8</f>
        <v>43575.987000000008</v>
      </c>
      <c r="L22" s="21">
        <f>'Fixed Assets'!F8</f>
        <v>53983.526000000013</v>
      </c>
      <c r="M22" s="21">
        <f>'Fixed Assets'!G8</f>
        <v>64891.065000000017</v>
      </c>
      <c r="N22" s="21">
        <f>'Fixed Assets'!H8</f>
        <v>76298.604000000021</v>
      </c>
      <c r="O22" s="21">
        <f>'Fixed Assets'!I8</f>
        <v>88206.143000000025</v>
      </c>
      <c r="P22" s="21">
        <f>'Fixed Assets'!J8</f>
        <v>100613.68200000003</v>
      </c>
      <c r="Q22" s="21">
        <f>'Fixed Assets'!K8</f>
        <v>113521.22100000003</v>
      </c>
      <c r="R22" s="21">
        <f>'Fixed Assets'!L8</f>
        <v>126928.76000000004</v>
      </c>
    </row>
    <row r="23" spans="1:18" x14ac:dyDescent="0.3">
      <c r="A23" s="4" t="s">
        <v>21</v>
      </c>
      <c r="B23" s="9">
        <v>71222.02</v>
      </c>
      <c r="C23" s="9"/>
      <c r="D23" s="9">
        <v>25248.52</v>
      </c>
      <c r="E23" s="9">
        <v>25428.59</v>
      </c>
      <c r="F23" s="9">
        <v>72567.149999999994</v>
      </c>
      <c r="G23" s="9">
        <v>71729.08</v>
      </c>
      <c r="H23" s="9">
        <v>71222.02</v>
      </c>
      <c r="I23" s="24">
        <f>I21-I22</f>
        <v>67314.481</v>
      </c>
      <c r="J23" s="24">
        <f t="shared" ref="J23:R23" si="4">J21-J22</f>
        <v>62906.941999999995</v>
      </c>
      <c r="K23" s="24">
        <f t="shared" si="4"/>
        <v>57999.402999999991</v>
      </c>
      <c r="L23" s="24">
        <f t="shared" si="4"/>
        <v>52591.863999999987</v>
      </c>
      <c r="M23" s="24">
        <f t="shared" si="4"/>
        <v>46684.324999999983</v>
      </c>
      <c r="N23" s="24">
        <f t="shared" si="4"/>
        <v>40276.785999999978</v>
      </c>
      <c r="O23" s="24">
        <f t="shared" si="4"/>
        <v>33369.246999999974</v>
      </c>
      <c r="P23" s="24">
        <f t="shared" si="4"/>
        <v>25961.70799999997</v>
      </c>
      <c r="Q23" s="24">
        <f t="shared" si="4"/>
        <v>18054.16899999998</v>
      </c>
      <c r="R23" s="24">
        <f t="shared" si="4"/>
        <v>9646.6299999999756</v>
      </c>
    </row>
    <row r="24" spans="1:18" x14ac:dyDescent="0.3">
      <c r="A24" s="6" t="s">
        <v>22</v>
      </c>
      <c r="B24" s="8">
        <v>5796.29</v>
      </c>
      <c r="C24" s="8"/>
      <c r="D24" s="8">
        <v>23036.67</v>
      </c>
      <c r="E24" s="8">
        <v>26982.37</v>
      </c>
      <c r="F24" s="8">
        <v>6163.96</v>
      </c>
      <c r="G24" s="8">
        <v>5673.27</v>
      </c>
      <c r="H24" s="8">
        <v>5796.29</v>
      </c>
      <c r="I24" s="1">
        <f>Assumptions!$I$11</f>
        <v>2000</v>
      </c>
      <c r="J24" s="1">
        <f>Assumptions!$I$11</f>
        <v>2000</v>
      </c>
      <c r="K24" s="1">
        <f>Assumptions!$I$11</f>
        <v>2000</v>
      </c>
      <c r="L24" s="1">
        <f>Assumptions!$I$11</f>
        <v>2000</v>
      </c>
      <c r="M24" s="1">
        <f>Assumptions!$I$11</f>
        <v>2000</v>
      </c>
      <c r="N24" s="1">
        <f>Assumptions!$I$11</f>
        <v>2000</v>
      </c>
      <c r="O24" s="1">
        <f>Assumptions!$I$11</f>
        <v>2000</v>
      </c>
      <c r="P24" s="1">
        <f>Assumptions!$I$11</f>
        <v>2000</v>
      </c>
      <c r="Q24" s="1">
        <f>Assumptions!$I$11</f>
        <v>2000</v>
      </c>
      <c r="R24" s="1">
        <f>Assumptions!$I$11</f>
        <v>2000</v>
      </c>
    </row>
    <row r="25" spans="1:18" x14ac:dyDescent="0.3">
      <c r="A25" s="4" t="s">
        <v>23</v>
      </c>
      <c r="B25" s="9">
        <v>39406.720000000001</v>
      </c>
      <c r="C25" s="9"/>
      <c r="D25" s="9">
        <v>53164.32</v>
      </c>
      <c r="E25" s="9">
        <v>56680.59</v>
      </c>
      <c r="F25" s="9">
        <v>13665.71</v>
      </c>
      <c r="G25" s="9">
        <v>24276.93</v>
      </c>
      <c r="H25" s="9">
        <v>39406.720000000001</v>
      </c>
      <c r="I25" s="25">
        <f>H25*(1+Assumptions!$I$12)</f>
        <v>41377.056000000004</v>
      </c>
      <c r="J25" s="25">
        <f>I25*(1+Assumptions!$I$12)</f>
        <v>43445.908800000005</v>
      </c>
      <c r="K25" s="25">
        <f>J25*(1+Assumptions!$I$12)</f>
        <v>45618.204240000006</v>
      </c>
      <c r="L25" s="25">
        <f>K25*(1+Assumptions!$I$12)</f>
        <v>47899.114452000009</v>
      </c>
      <c r="M25" s="25">
        <f>L25*(1+Assumptions!$I$12)</f>
        <v>50294.070174600012</v>
      </c>
      <c r="N25" s="25">
        <f>M25*(1+Assumptions!$I$12)</f>
        <v>52808.773683330015</v>
      </c>
      <c r="O25" s="25">
        <f>N25*(1+Assumptions!$I$12)</f>
        <v>55449.212367496519</v>
      </c>
      <c r="P25" s="25">
        <f>O25*(1+Assumptions!$I$12)</f>
        <v>58221.672985871344</v>
      </c>
      <c r="Q25" s="25">
        <f>P25*(1+Assumptions!$I$12)</f>
        <v>61132.756635164915</v>
      </c>
      <c r="R25" s="25">
        <f>Q25*(1+Assumptions!$I$12)</f>
        <v>64189.394466923164</v>
      </c>
    </row>
    <row r="26" spans="1:18" x14ac:dyDescent="0.3">
      <c r="A26" s="6" t="s">
        <v>24</v>
      </c>
      <c r="B26" s="8">
        <v>11255.34</v>
      </c>
      <c r="C26" s="8"/>
      <c r="D26" s="8">
        <v>8042</v>
      </c>
      <c r="E26" s="8">
        <v>7083.81</v>
      </c>
      <c r="F26" s="8">
        <v>10236.85</v>
      </c>
      <c r="G26" s="8">
        <v>11023.41</v>
      </c>
      <c r="H26" s="8">
        <v>11255.34</v>
      </c>
      <c r="I26" s="1">
        <f>PnL!H$11*Assumptions!$I13</f>
        <v>16240.463299999998</v>
      </c>
      <c r="J26" s="1">
        <f>PnL!I$11*Assumptions!$I13</f>
        <v>18676.532794999996</v>
      </c>
      <c r="K26" s="1">
        <f>PnL!J$11*Assumptions!$I13</f>
        <v>21478.012714249995</v>
      </c>
      <c r="L26" s="1">
        <f>PnL!K$11*Assumptions!$I13</f>
        <v>24699.714621387491</v>
      </c>
      <c r="M26" s="1">
        <f>PnL!L$11*Assumptions!$I13</f>
        <v>28404.671814595611</v>
      </c>
      <c r="N26" s="1">
        <f>PnL!M$11*Assumptions!$I13</f>
        <v>32665.37258678495</v>
      </c>
      <c r="O26" s="1">
        <f>PnL!N$11*Assumptions!$I13</f>
        <v>37565.178474802691</v>
      </c>
      <c r="P26" s="1">
        <f>PnL!O$11*Assumptions!$I13</f>
        <v>43199.955246023092</v>
      </c>
      <c r="Q26" s="1">
        <f>PnL!P$11*Assumptions!$I13</f>
        <v>49679.948532926552</v>
      </c>
      <c r="R26" s="1">
        <f>PnL!Q$11*Assumptions!$I13</f>
        <v>57131.940812865534</v>
      </c>
    </row>
    <row r="27" spans="1:18" x14ac:dyDescent="0.3">
      <c r="A27" s="6" t="s">
        <v>25</v>
      </c>
      <c r="B27" s="8">
        <v>1363.04</v>
      </c>
      <c r="C27" s="8"/>
      <c r="D27" s="7">
        <v>491.46</v>
      </c>
      <c r="E27" s="13">
        <v>632.79999999999995</v>
      </c>
      <c r="F27" s="8">
        <v>2006.52</v>
      </c>
      <c r="G27" s="8">
        <v>1875.63</v>
      </c>
      <c r="H27" s="8">
        <v>1363.04</v>
      </c>
      <c r="I27" s="1">
        <f>PnL!H$11*Assumptions!$I14</f>
        <v>2436.0694949999993</v>
      </c>
      <c r="J27" s="1">
        <f>PnL!I$11*Assumptions!$I14</f>
        <v>2801.4799192499991</v>
      </c>
      <c r="K27" s="1">
        <f>PnL!J$11*Assumptions!$I14</f>
        <v>3221.7019071374989</v>
      </c>
      <c r="L27" s="1">
        <f>PnL!K$11*Assumptions!$I14</f>
        <v>3704.957193208123</v>
      </c>
      <c r="M27" s="1">
        <f>PnL!L$11*Assumptions!$I14</f>
        <v>4260.7007721893415</v>
      </c>
      <c r="N27" s="1">
        <f>PnL!M$11*Assumptions!$I14</f>
        <v>4899.8058880177423</v>
      </c>
      <c r="O27" s="1">
        <f>PnL!N$11*Assumptions!$I14</f>
        <v>5634.7767712204031</v>
      </c>
      <c r="P27" s="1">
        <f>PnL!O$11*Assumptions!$I14</f>
        <v>6479.9932869034628</v>
      </c>
      <c r="Q27" s="1">
        <f>PnL!P$11*Assumptions!$I14</f>
        <v>7451.9922799389815</v>
      </c>
      <c r="R27" s="1">
        <f>PnL!Q$11*Assumptions!$I14</f>
        <v>8569.7911219298294</v>
      </c>
    </row>
    <row r="28" spans="1:18" x14ac:dyDescent="0.3">
      <c r="A28" s="6" t="s">
        <v>26</v>
      </c>
      <c r="B28" s="7">
        <v>718.11</v>
      </c>
      <c r="C28" s="13"/>
      <c r="D28" s="7">
        <v>478.59</v>
      </c>
      <c r="E28" s="8">
        <v>1014.67</v>
      </c>
      <c r="F28" s="13">
        <v>970.31</v>
      </c>
      <c r="G28" s="8">
        <v>4696.74</v>
      </c>
      <c r="H28" s="13">
        <v>718.11</v>
      </c>
      <c r="I28" s="21">
        <f>IF(I42&gt;0,I42,0)</f>
        <v>11475.449776374966</v>
      </c>
      <c r="J28" s="21">
        <f t="shared" ref="J28:R28" si="5">IF(J42&gt;0,J42,0)</f>
        <v>22945.426254156246</v>
      </c>
      <c r="K28" s="21">
        <f t="shared" si="5"/>
        <v>37023.812248554634</v>
      </c>
      <c r="L28" s="21">
        <f t="shared" si="5"/>
        <v>54078.268451062824</v>
      </c>
      <c r="M28" s="21">
        <f t="shared" si="5"/>
        <v>74532.121870097268</v>
      </c>
      <c r="N28" s="21">
        <f t="shared" si="5"/>
        <v>98872.741639196844</v>
      </c>
      <c r="O28" s="21">
        <f t="shared" si="5"/>
        <v>127661.17248948435</v>
      </c>
      <c r="P28" s="21">
        <f t="shared" si="5"/>
        <v>161543.21460068168</v>
      </c>
      <c r="Q28" s="21">
        <f t="shared" si="5"/>
        <v>201262.166855346</v>
      </c>
      <c r="R28" s="21">
        <f t="shared" si="5"/>
        <v>247673.4830780894</v>
      </c>
    </row>
    <row r="29" spans="1:18" x14ac:dyDescent="0.3">
      <c r="A29" s="6" t="s">
        <v>27</v>
      </c>
      <c r="B29" s="8">
        <v>13336.49</v>
      </c>
      <c r="C29" s="8"/>
      <c r="D29" s="8">
        <v>9012.0499999999993</v>
      </c>
      <c r="E29" s="8">
        <v>8731.2800000000007</v>
      </c>
      <c r="F29" s="8">
        <v>13213.68</v>
      </c>
      <c r="G29" s="8">
        <v>17595.78</v>
      </c>
      <c r="H29" s="8">
        <v>13336.49</v>
      </c>
      <c r="I29" s="1">
        <f>SUM(I26:I28)</f>
        <v>30151.98257137496</v>
      </c>
      <c r="J29" s="1">
        <f t="shared" ref="J29:R29" si="6">SUM(J26:J28)</f>
        <v>44423.438968406241</v>
      </c>
      <c r="K29" s="1">
        <f t="shared" si="6"/>
        <v>61723.526869942129</v>
      </c>
      <c r="L29" s="1">
        <f t="shared" si="6"/>
        <v>82482.940265658443</v>
      </c>
      <c r="M29" s="1">
        <f t="shared" si="6"/>
        <v>107197.49445688222</v>
      </c>
      <c r="N29" s="1">
        <f t="shared" si="6"/>
        <v>136437.92011399954</v>
      </c>
      <c r="O29" s="1">
        <f t="shared" si="6"/>
        <v>170861.12773550744</v>
      </c>
      <c r="P29" s="1">
        <f t="shared" si="6"/>
        <v>211223.16313360824</v>
      </c>
      <c r="Q29" s="1">
        <f t="shared" si="6"/>
        <v>258394.10766821154</v>
      </c>
      <c r="R29" s="1">
        <f t="shared" si="6"/>
        <v>313375.21501288476</v>
      </c>
    </row>
    <row r="30" spans="1:18" x14ac:dyDescent="0.3">
      <c r="A30" s="6" t="s">
        <v>28</v>
      </c>
      <c r="B30" s="8">
        <v>7736.84</v>
      </c>
      <c r="C30" s="8"/>
      <c r="D30" s="8">
        <v>5215.5600000000004</v>
      </c>
      <c r="E30" s="8">
        <v>5385.32</v>
      </c>
      <c r="F30" s="8">
        <v>5854.91</v>
      </c>
      <c r="G30" s="8">
        <v>5839.28</v>
      </c>
      <c r="H30" s="8">
        <v>7736.84</v>
      </c>
      <c r="I30" s="1">
        <f>PnL!H$11*Assumptions!$I15</f>
        <v>8120.2316499999988</v>
      </c>
      <c r="J30" s="1">
        <f>PnL!I$11*Assumptions!$I15</f>
        <v>9338.2663974999978</v>
      </c>
      <c r="K30" s="1">
        <f>PnL!J$11*Assumptions!$I15</f>
        <v>10739.006357124998</v>
      </c>
      <c r="L30" s="1">
        <f>PnL!K$11*Assumptions!$I15</f>
        <v>12349.857310693746</v>
      </c>
      <c r="M30" s="1">
        <f>PnL!L$11*Assumptions!$I15</f>
        <v>14202.335907297806</v>
      </c>
      <c r="N30" s="1">
        <f>PnL!M$11*Assumptions!$I15</f>
        <v>16332.686293392475</v>
      </c>
      <c r="O30" s="1">
        <f>PnL!N$11*Assumptions!$I15</f>
        <v>18782.589237401346</v>
      </c>
      <c r="P30" s="1">
        <f>PnL!O$11*Assumptions!$I15</f>
        <v>21599.977623011546</v>
      </c>
      <c r="Q30" s="1">
        <f>PnL!P$11*Assumptions!$I15</f>
        <v>24839.974266463276</v>
      </c>
      <c r="R30" s="1">
        <f>PnL!Q$11*Assumptions!$I15</f>
        <v>28565.970406432767</v>
      </c>
    </row>
    <row r="31" spans="1:18" x14ac:dyDescent="0.3">
      <c r="A31" s="6" t="s">
        <v>29</v>
      </c>
      <c r="B31" s="8">
        <v>21073.33</v>
      </c>
      <c r="C31" s="8"/>
      <c r="D31" s="8">
        <v>14227.61</v>
      </c>
      <c r="E31" s="8">
        <v>14116.6</v>
      </c>
      <c r="F31" s="8">
        <v>19068.59</v>
      </c>
      <c r="G31" s="8">
        <v>23435.06</v>
      </c>
      <c r="H31" s="8">
        <v>21073.33</v>
      </c>
      <c r="I31" s="1">
        <f>SUM(I29:I30)</f>
        <v>38272.214221374961</v>
      </c>
      <c r="J31" s="1">
        <f t="shared" ref="J31:R31" si="7">SUM(J29:J30)</f>
        <v>53761.705365906237</v>
      </c>
      <c r="K31" s="1">
        <f t="shared" si="7"/>
        <v>72462.533227067121</v>
      </c>
      <c r="L31" s="1">
        <f t="shared" si="7"/>
        <v>94832.797576352183</v>
      </c>
      <c r="M31" s="1">
        <f t="shared" si="7"/>
        <v>121399.83036418003</v>
      </c>
      <c r="N31" s="1">
        <f t="shared" si="7"/>
        <v>152770.60640739201</v>
      </c>
      <c r="O31" s="1">
        <f t="shared" si="7"/>
        <v>189643.71697290879</v>
      </c>
      <c r="P31" s="1">
        <f t="shared" si="7"/>
        <v>232823.14075661977</v>
      </c>
      <c r="Q31" s="1">
        <f t="shared" si="7"/>
        <v>283234.08193467482</v>
      </c>
      <c r="R31" s="1">
        <f t="shared" si="7"/>
        <v>341941.18541931751</v>
      </c>
    </row>
    <row r="32" spans="1:18" x14ac:dyDescent="0.3">
      <c r="A32" s="6" t="s">
        <v>30</v>
      </c>
      <c r="B32" s="8">
        <v>35412.959999999999</v>
      </c>
      <c r="C32" s="8"/>
      <c r="D32" s="8">
        <v>18251.650000000001</v>
      </c>
      <c r="E32" s="8">
        <v>16844.43</v>
      </c>
      <c r="F32" s="8">
        <v>28872.02</v>
      </c>
      <c r="G32" s="8">
        <v>33389.18</v>
      </c>
      <c r="H32" s="8">
        <v>35412.959999999999</v>
      </c>
      <c r="I32" s="1">
        <f>PnL!H$11*Assumptions!$I16</f>
        <v>40601.158249999993</v>
      </c>
      <c r="J32" s="1">
        <f>PnL!I$11*Assumptions!$I16</f>
        <v>46691.331987499987</v>
      </c>
      <c r="K32" s="1">
        <f>PnL!J$11*Assumptions!$I16</f>
        <v>53695.031785624982</v>
      </c>
      <c r="L32" s="1">
        <f>PnL!K$11*Assumptions!$I16</f>
        <v>61749.286553468723</v>
      </c>
      <c r="M32" s="1">
        <f>PnL!L$11*Assumptions!$I16</f>
        <v>71011.679536489028</v>
      </c>
      <c r="N32" s="1">
        <f>PnL!M$11*Assumptions!$I16</f>
        <v>81663.431466962371</v>
      </c>
      <c r="O32" s="1">
        <f>PnL!N$11*Assumptions!$I16</f>
        <v>93912.946187006717</v>
      </c>
      <c r="P32" s="1">
        <f>PnL!O$11*Assumptions!$I16</f>
        <v>107999.88811505772</v>
      </c>
      <c r="Q32" s="1">
        <f>PnL!P$11*Assumptions!$I16</f>
        <v>124199.87133231637</v>
      </c>
      <c r="R32" s="1">
        <f>PnL!Q$11*Assumptions!$I16</f>
        <v>142829.85203216382</v>
      </c>
    </row>
    <row r="33" spans="1:18" x14ac:dyDescent="0.3">
      <c r="A33" s="6" t="s">
        <v>195</v>
      </c>
      <c r="B33" s="8"/>
      <c r="C33" s="8"/>
      <c r="D33" s="8"/>
      <c r="E33" s="8"/>
      <c r="F33" s="8"/>
      <c r="G33" s="8"/>
      <c r="H33" s="8"/>
      <c r="I33" s="1">
        <f>IF(I42&lt;0,-I42,0)</f>
        <v>0</v>
      </c>
      <c r="J33" s="1">
        <f t="shared" ref="J33:R33" si="8">IF(J42&lt;0,-J42,0)</f>
        <v>0</v>
      </c>
      <c r="K33" s="1">
        <f t="shared" si="8"/>
        <v>0</v>
      </c>
      <c r="L33" s="1">
        <f t="shared" si="8"/>
        <v>0</v>
      </c>
      <c r="M33" s="1">
        <f t="shared" si="8"/>
        <v>0</v>
      </c>
      <c r="N33" s="1">
        <f t="shared" si="8"/>
        <v>0</v>
      </c>
      <c r="O33" s="1">
        <f t="shared" si="8"/>
        <v>0</v>
      </c>
      <c r="P33" s="1">
        <f t="shared" si="8"/>
        <v>0</v>
      </c>
      <c r="Q33" s="1">
        <f t="shared" si="8"/>
        <v>0</v>
      </c>
      <c r="R33" s="1">
        <f t="shared" si="8"/>
        <v>0</v>
      </c>
    </row>
    <row r="34" spans="1:18" x14ac:dyDescent="0.3">
      <c r="A34" s="6" t="s">
        <v>31</v>
      </c>
      <c r="B34" s="8">
        <v>2696.41</v>
      </c>
      <c r="C34" s="8"/>
      <c r="D34" s="8">
        <v>4551.33</v>
      </c>
      <c r="E34" s="8">
        <v>4893.21</v>
      </c>
      <c r="F34" s="8">
        <v>2725.34</v>
      </c>
      <c r="G34" s="8">
        <v>2696.49</v>
      </c>
      <c r="H34" s="8">
        <v>2696.41</v>
      </c>
      <c r="I34" s="1">
        <f>PnL!H$11*Assumptions!$I17</f>
        <v>4060.1158249999994</v>
      </c>
      <c r="J34" s="1">
        <f>PnL!I$11*Assumptions!$I17</f>
        <v>4669.1331987499989</v>
      </c>
      <c r="K34" s="1">
        <f>PnL!J$11*Assumptions!$I17</f>
        <v>5369.5031785624988</v>
      </c>
      <c r="L34" s="1">
        <f>PnL!K$11*Assumptions!$I17</f>
        <v>6174.9286553468728</v>
      </c>
      <c r="M34" s="1">
        <f>PnL!L$11*Assumptions!$I17</f>
        <v>7101.1679536489028</v>
      </c>
      <c r="N34" s="1">
        <f>PnL!M$11*Assumptions!$I17</f>
        <v>8166.3431466962375</v>
      </c>
      <c r="O34" s="1">
        <f>PnL!N$11*Assumptions!$I17</f>
        <v>9391.2946187006728</v>
      </c>
      <c r="P34" s="1">
        <f>PnL!O$11*Assumptions!$I17</f>
        <v>10799.988811505773</v>
      </c>
      <c r="Q34" s="1">
        <f>PnL!P$11*Assumptions!$I17</f>
        <v>12419.987133231638</v>
      </c>
      <c r="R34" s="1">
        <f>PnL!Q$11*Assumptions!$I17</f>
        <v>14282.985203216384</v>
      </c>
    </row>
    <row r="35" spans="1:18" x14ac:dyDescent="0.3">
      <c r="A35" s="6" t="s">
        <v>32</v>
      </c>
      <c r="B35" s="8">
        <v>38109.370000000003</v>
      </c>
      <c r="C35" s="8"/>
      <c r="D35" s="8">
        <v>22802.98</v>
      </c>
      <c r="E35" s="8">
        <v>21737.64</v>
      </c>
      <c r="F35" s="8">
        <v>31597.360000000001</v>
      </c>
      <c r="G35" s="8">
        <v>36085.67</v>
      </c>
      <c r="H35" s="8">
        <v>38109.370000000003</v>
      </c>
      <c r="I35" s="1">
        <f>SUM(I32:I34)</f>
        <v>44661.274074999994</v>
      </c>
      <c r="J35" s="1">
        <f t="shared" ref="J35:R35" si="9">SUM(J32:J34)</f>
        <v>51360.465186249989</v>
      </c>
      <c r="K35" s="1">
        <f t="shared" si="9"/>
        <v>59064.534964187478</v>
      </c>
      <c r="L35" s="1">
        <f t="shared" si="9"/>
        <v>67924.2152088156</v>
      </c>
      <c r="M35" s="1">
        <f t="shared" si="9"/>
        <v>78112.847490137938</v>
      </c>
      <c r="N35" s="1">
        <f t="shared" si="9"/>
        <v>89829.774613658607</v>
      </c>
      <c r="O35" s="1">
        <f t="shared" si="9"/>
        <v>103304.24080570739</v>
      </c>
      <c r="P35" s="1">
        <f t="shared" si="9"/>
        <v>118799.87692656349</v>
      </c>
      <c r="Q35" s="1">
        <f t="shared" si="9"/>
        <v>136619.85846554799</v>
      </c>
      <c r="R35" s="1">
        <f t="shared" si="9"/>
        <v>157112.8372353802</v>
      </c>
    </row>
    <row r="36" spans="1:18" x14ac:dyDescent="0.3">
      <c r="A36" s="4" t="s">
        <v>33</v>
      </c>
      <c r="B36" s="9">
        <v>-17036.04</v>
      </c>
      <c r="C36" s="9"/>
      <c r="D36" s="9">
        <v>-8575.3700000000008</v>
      </c>
      <c r="E36" s="9">
        <v>-7621.04</v>
      </c>
      <c r="F36" s="9">
        <v>-12528.77</v>
      </c>
      <c r="G36" s="9">
        <v>-12650.61</v>
      </c>
      <c r="H36" s="9">
        <v>-17036.04</v>
      </c>
      <c r="I36" s="25">
        <f>I31-I35</f>
        <v>-6389.0598536250327</v>
      </c>
      <c r="J36" s="25">
        <f t="shared" ref="J36:R36" si="10">J31-J35</f>
        <v>2401.2401796562481</v>
      </c>
      <c r="K36" s="25">
        <f t="shared" si="10"/>
        <v>13397.998262879642</v>
      </c>
      <c r="L36" s="25">
        <f t="shared" si="10"/>
        <v>26908.582367536583</v>
      </c>
      <c r="M36" s="25">
        <f t="shared" si="10"/>
        <v>43286.982874042093</v>
      </c>
      <c r="N36" s="25">
        <f t="shared" si="10"/>
        <v>62940.831793733407</v>
      </c>
      <c r="O36" s="25">
        <f t="shared" si="10"/>
        <v>86339.476167201399</v>
      </c>
      <c r="P36" s="25">
        <f t="shared" si="10"/>
        <v>114023.26383005628</v>
      </c>
      <c r="Q36" s="25">
        <f t="shared" si="10"/>
        <v>146614.22346912682</v>
      </c>
      <c r="R36" s="25">
        <f t="shared" si="10"/>
        <v>184828.34818393731</v>
      </c>
    </row>
    <row r="37" spans="1:18" x14ac:dyDescent="0.3">
      <c r="A37" s="4" t="s">
        <v>34</v>
      </c>
      <c r="B37" s="9">
        <v>99388.99</v>
      </c>
      <c r="C37" s="9"/>
      <c r="D37" s="9">
        <v>92874.14</v>
      </c>
      <c r="E37" s="9">
        <v>101470.51</v>
      </c>
      <c r="F37" s="9">
        <v>79868.05</v>
      </c>
      <c r="G37" s="9">
        <v>89028.67</v>
      </c>
      <c r="H37" s="9">
        <v>99388.99</v>
      </c>
      <c r="I37" s="24">
        <f>I36+I23+I24+I25</f>
        <v>104302.47714637496</v>
      </c>
      <c r="J37" s="24">
        <f t="shared" ref="J37:R37" si="11">J36+J23+J24+J25</f>
        <v>110754.09097965625</v>
      </c>
      <c r="K37" s="24">
        <f t="shared" si="11"/>
        <v>119015.60550287964</v>
      </c>
      <c r="L37" s="24">
        <f t="shared" si="11"/>
        <v>129399.56081953658</v>
      </c>
      <c r="M37" s="24">
        <f t="shared" si="11"/>
        <v>142265.37804864207</v>
      </c>
      <c r="N37" s="24">
        <f t="shared" si="11"/>
        <v>158026.39147706341</v>
      </c>
      <c r="O37" s="24">
        <f t="shared" si="11"/>
        <v>177157.9355346979</v>
      </c>
      <c r="P37" s="24">
        <f t="shared" si="11"/>
        <v>200206.6448159276</v>
      </c>
      <c r="Q37" s="24">
        <f t="shared" si="11"/>
        <v>227801.14910429169</v>
      </c>
      <c r="R37" s="24">
        <f t="shared" si="11"/>
        <v>260664.37265086046</v>
      </c>
    </row>
    <row r="38" spans="1:18" ht="15" thickBot="1" x14ac:dyDescent="0.35">
      <c r="A38" s="29"/>
      <c r="B38" s="29"/>
      <c r="C38" s="29"/>
      <c r="D38" s="29"/>
      <c r="E38" s="29"/>
      <c r="F38" s="29"/>
      <c r="G38" s="29"/>
      <c r="H38" s="29"/>
      <c r="I38" s="29"/>
    </row>
    <row r="39" spans="1:18" x14ac:dyDescent="0.3">
      <c r="A39" s="26" t="s">
        <v>196</v>
      </c>
      <c r="B39" s="26"/>
      <c r="C39" s="26"/>
      <c r="D39" s="26"/>
      <c r="E39" s="26"/>
      <c r="F39" s="26"/>
      <c r="G39" s="26"/>
      <c r="H39" s="26"/>
      <c r="I39" s="27">
        <f>I15-I37</f>
        <v>0</v>
      </c>
      <c r="J39" s="27">
        <f t="shared" ref="J39:R39" si="12">J15-J37</f>
        <v>0</v>
      </c>
      <c r="K39" s="27">
        <f t="shared" si="12"/>
        <v>0</v>
      </c>
      <c r="L39" s="27">
        <f t="shared" si="12"/>
        <v>0</v>
      </c>
      <c r="M39" s="27">
        <f t="shared" si="12"/>
        <v>0</v>
      </c>
      <c r="N39" s="27">
        <f t="shared" si="12"/>
        <v>0</v>
      </c>
      <c r="O39" s="27">
        <f t="shared" si="12"/>
        <v>0</v>
      </c>
      <c r="P39" s="27">
        <f t="shared" si="12"/>
        <v>0</v>
      </c>
      <c r="Q39" s="27">
        <f t="shared" si="12"/>
        <v>0</v>
      </c>
      <c r="R39" s="27">
        <f t="shared" si="12"/>
        <v>0</v>
      </c>
    </row>
    <row r="40" spans="1:18" x14ac:dyDescent="0.3">
      <c r="A40" s="6" t="s">
        <v>35</v>
      </c>
      <c r="B40" s="8">
        <v>34622.43</v>
      </c>
      <c r="C40" s="8"/>
      <c r="D40" s="8">
        <v>14610.35</v>
      </c>
      <c r="E40" s="8">
        <v>38595.949999999997</v>
      </c>
      <c r="F40" s="8">
        <v>25991.16</v>
      </c>
      <c r="G40" s="8">
        <v>28359.61</v>
      </c>
      <c r="H40" s="8">
        <v>34622.43</v>
      </c>
      <c r="I40" s="8">
        <v>34622.43</v>
      </c>
      <c r="J40" s="8">
        <v>34622.43</v>
      </c>
      <c r="K40" s="8">
        <v>34622.43</v>
      </c>
      <c r="L40" s="8">
        <v>34622.43</v>
      </c>
      <c r="M40" s="8">
        <v>34622.43</v>
      </c>
      <c r="N40" s="8">
        <v>34622.43</v>
      </c>
      <c r="O40" s="8">
        <v>34622.43</v>
      </c>
      <c r="P40" s="8">
        <v>34622.43</v>
      </c>
      <c r="Q40" s="8">
        <v>34622.43</v>
      </c>
      <c r="R40" s="8">
        <v>34622.43</v>
      </c>
    </row>
    <row r="41" spans="1:18" x14ac:dyDescent="0.3">
      <c r="A41" s="6" t="s">
        <v>36</v>
      </c>
      <c r="B41" s="7">
        <v>585.11</v>
      </c>
      <c r="C41" s="13"/>
      <c r="D41" s="7">
        <v>686.4</v>
      </c>
      <c r="E41" s="13">
        <v>725.65</v>
      </c>
      <c r="F41" s="13">
        <v>511.31</v>
      </c>
      <c r="G41" s="13">
        <v>510.87</v>
      </c>
      <c r="H41" s="13">
        <v>585.11</v>
      </c>
      <c r="I41" s="15">
        <v>585.11</v>
      </c>
      <c r="J41" s="15">
        <v>585.11</v>
      </c>
      <c r="K41" s="15">
        <v>585.11</v>
      </c>
      <c r="L41" s="15">
        <v>585.11</v>
      </c>
      <c r="M41" s="15">
        <v>585.11</v>
      </c>
      <c r="N41" s="15">
        <v>585.11</v>
      </c>
      <c r="O41" s="15">
        <v>585.11</v>
      </c>
      <c r="P41" s="15">
        <v>585.11</v>
      </c>
      <c r="Q41" s="15">
        <v>585.11</v>
      </c>
      <c r="R41" s="15">
        <v>585.11</v>
      </c>
    </row>
    <row r="42" spans="1:18" x14ac:dyDescent="0.3">
      <c r="A42" t="s">
        <v>197</v>
      </c>
      <c r="I42" s="19">
        <f>I15-(I23+I24+I25+I27+I26+I30)+I32+I34</f>
        <v>11475.449776374966</v>
      </c>
      <c r="J42" s="19">
        <f t="shared" ref="J42:R42" si="13">J15-(J23+J24+J25+J27+J26+J30)+J32+J34</f>
        <v>22945.426254156246</v>
      </c>
      <c r="K42" s="19">
        <f t="shared" si="13"/>
        <v>37023.812248554634</v>
      </c>
      <c r="L42" s="19">
        <f t="shared" si="13"/>
        <v>54078.268451062824</v>
      </c>
      <c r="M42" s="19">
        <f t="shared" si="13"/>
        <v>74532.121870097268</v>
      </c>
      <c r="N42" s="19">
        <f t="shared" si="13"/>
        <v>98872.741639196844</v>
      </c>
      <c r="O42" s="19">
        <f t="shared" si="13"/>
        <v>127661.17248948435</v>
      </c>
      <c r="P42" s="19">
        <f t="shared" si="13"/>
        <v>161543.21460068168</v>
      </c>
      <c r="Q42" s="19">
        <f t="shared" si="13"/>
        <v>201262.166855346</v>
      </c>
      <c r="R42" s="19">
        <f t="shared" si="13"/>
        <v>247673.4830780894</v>
      </c>
    </row>
  </sheetData>
  <mergeCells count="7">
    <mergeCell ref="A38:I38"/>
    <mergeCell ref="A3:I3"/>
    <mergeCell ref="A5:I5"/>
    <mergeCell ref="A6:B6"/>
    <mergeCell ref="A17:I17"/>
    <mergeCell ref="A19:I19"/>
    <mergeCell ref="A20:B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workbookViewId="0">
      <selection activeCell="F10" sqref="F10"/>
    </sheetView>
  </sheetViews>
  <sheetFormatPr defaultRowHeight="14.4" x14ac:dyDescent="0.3"/>
  <sheetData>
    <row r="1" spans="1:11" ht="48" x14ac:dyDescent="0.3">
      <c r="A1" s="2" t="s">
        <v>37</v>
      </c>
      <c r="B1" s="3" t="s">
        <v>1</v>
      </c>
    </row>
    <row r="2" spans="1:11" x14ac:dyDescent="0.3">
      <c r="A2" s="4"/>
      <c r="B2" s="5" t="s">
        <v>38</v>
      </c>
      <c r="C2" s="11">
        <v>43160</v>
      </c>
      <c r="D2" s="11">
        <v>42795</v>
      </c>
      <c r="E2" s="11">
        <v>42430</v>
      </c>
      <c r="F2" s="11">
        <v>42064</v>
      </c>
      <c r="G2" s="1"/>
      <c r="H2" s="1"/>
      <c r="I2" s="1"/>
      <c r="J2" s="1"/>
      <c r="K2" s="1"/>
    </row>
    <row r="3" spans="1:1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3">
      <c r="A4" s="6"/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1"/>
      <c r="H4" s="1"/>
      <c r="I4" s="1"/>
      <c r="J4" s="1"/>
      <c r="K4" s="1"/>
    </row>
    <row r="5" spans="1:1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x14ac:dyDescent="0.3">
      <c r="A6" s="31" t="s">
        <v>39</v>
      </c>
      <c r="B6" s="32"/>
      <c r="C6" s="5"/>
      <c r="D6" s="5"/>
      <c r="E6" s="5"/>
      <c r="F6" s="5"/>
      <c r="G6" s="1"/>
      <c r="H6" s="1"/>
      <c r="I6" s="1"/>
      <c r="J6" s="1"/>
      <c r="K6" s="1"/>
    </row>
    <row r="7" spans="1:11" ht="48" x14ac:dyDescent="0.3">
      <c r="A7" s="4" t="s">
        <v>40</v>
      </c>
      <c r="B7" s="9">
        <v>68923.360000000001</v>
      </c>
      <c r="C7" s="9">
        <v>59453.23</v>
      </c>
      <c r="D7" s="9">
        <v>52564.93</v>
      </c>
      <c r="E7" s="9">
        <v>42290.64</v>
      </c>
      <c r="F7" s="9">
        <v>46226.080000000002</v>
      </c>
      <c r="G7" s="1"/>
      <c r="H7" s="1"/>
      <c r="I7" s="1"/>
      <c r="J7" s="1"/>
      <c r="K7" s="1"/>
    </row>
    <row r="8" spans="1:11" ht="57" x14ac:dyDescent="0.3">
      <c r="A8" s="6" t="s">
        <v>41</v>
      </c>
      <c r="B8" s="7">
        <v>0.21</v>
      </c>
      <c r="C8" s="7">
        <v>902.55</v>
      </c>
      <c r="D8" s="8">
        <v>5267.94</v>
      </c>
      <c r="E8" s="8">
        <v>4475.95</v>
      </c>
      <c r="F8" s="8">
        <v>4792.26</v>
      </c>
      <c r="G8" s="1"/>
      <c r="H8" s="1"/>
      <c r="I8" s="1"/>
      <c r="J8" s="1"/>
      <c r="K8" s="1"/>
    </row>
    <row r="9" spans="1:11" ht="48" x14ac:dyDescent="0.3">
      <c r="A9" s="4" t="s">
        <v>42</v>
      </c>
      <c r="B9" s="9">
        <v>68923.149999999994</v>
      </c>
      <c r="C9" s="9">
        <v>58550.68</v>
      </c>
      <c r="D9" s="9">
        <v>47296.99</v>
      </c>
      <c r="E9" s="9">
        <v>37814.69</v>
      </c>
      <c r="F9" s="9">
        <v>41433.82</v>
      </c>
      <c r="G9" s="1"/>
      <c r="H9" s="1"/>
      <c r="I9" s="1"/>
      <c r="J9" s="1"/>
      <c r="K9" s="1"/>
    </row>
    <row r="10" spans="1:11" ht="34.200000000000003" x14ac:dyDescent="0.3">
      <c r="A10" s="6" t="s">
        <v>43</v>
      </c>
      <c r="B10" s="8">
        <v>1687.56</v>
      </c>
      <c r="C10" s="8">
        <v>1066.1400000000001</v>
      </c>
      <c r="D10" s="7">
        <v>696.03</v>
      </c>
      <c r="E10" s="7">
        <v>395.65</v>
      </c>
      <c r="F10" s="7">
        <v>351.18</v>
      </c>
      <c r="G10" s="1"/>
      <c r="H10" s="1"/>
      <c r="I10" s="1"/>
      <c r="J10" s="1"/>
      <c r="K10" s="1"/>
    </row>
    <row r="11" spans="1:11" ht="36" x14ac:dyDescent="0.3">
      <c r="A11" s="4" t="s">
        <v>44</v>
      </c>
      <c r="B11" s="9">
        <v>70610.710000000006</v>
      </c>
      <c r="C11" s="9">
        <v>59616.82</v>
      </c>
      <c r="D11" s="9">
        <v>47993.02</v>
      </c>
      <c r="E11" s="9">
        <v>38210.339999999997</v>
      </c>
      <c r="F11" s="9">
        <v>41785</v>
      </c>
      <c r="G11" s="1"/>
      <c r="H11" s="1"/>
      <c r="I11" s="1"/>
      <c r="J11" s="1"/>
      <c r="K11" s="1"/>
    </row>
    <row r="12" spans="1:11" ht="22.8" x14ac:dyDescent="0.3">
      <c r="A12" s="6" t="s">
        <v>45</v>
      </c>
      <c r="B12" s="8">
        <v>2405.08</v>
      </c>
      <c r="C12" s="7">
        <v>763.66</v>
      </c>
      <c r="D12" s="7">
        <v>414.46</v>
      </c>
      <c r="E12" s="8">
        <v>3890.7</v>
      </c>
      <c r="F12" s="7">
        <v>582.78</v>
      </c>
      <c r="G12" s="1"/>
      <c r="H12" s="1"/>
      <c r="I12" s="1"/>
      <c r="J12" s="1"/>
      <c r="K12" s="1"/>
    </row>
    <row r="13" spans="1:11" ht="24" x14ac:dyDescent="0.3">
      <c r="A13" s="2" t="s">
        <v>46</v>
      </c>
      <c r="B13" s="12">
        <v>73015.789999999994</v>
      </c>
      <c r="C13" s="12">
        <v>60380.480000000003</v>
      </c>
      <c r="D13" s="12">
        <v>48407.48</v>
      </c>
      <c r="E13" s="12">
        <v>42101.04</v>
      </c>
      <c r="F13" s="12">
        <v>42367.78</v>
      </c>
      <c r="G13" s="1"/>
      <c r="H13" s="1"/>
      <c r="I13" s="1"/>
      <c r="J13" s="1"/>
      <c r="K13" s="1"/>
    </row>
    <row r="14" spans="1:11" x14ac:dyDescent="0.3">
      <c r="A14" s="31" t="s">
        <v>47</v>
      </c>
      <c r="B14" s="32"/>
      <c r="C14" s="5"/>
      <c r="D14" s="5"/>
      <c r="E14" s="5"/>
      <c r="F14" s="5"/>
      <c r="G14" s="1"/>
      <c r="H14" s="1"/>
      <c r="I14" s="1"/>
      <c r="J14" s="1"/>
      <c r="K14" s="1"/>
    </row>
    <row r="15" spans="1:11" ht="34.200000000000003" x14ac:dyDescent="0.3">
      <c r="A15" s="6" t="s">
        <v>48</v>
      </c>
      <c r="B15" s="8">
        <v>19840.29</v>
      </c>
      <c r="C15" s="8">
        <v>16877.63</v>
      </c>
      <c r="D15" s="8">
        <v>12496.78</v>
      </c>
      <c r="E15" s="8">
        <v>9700.01</v>
      </c>
      <c r="F15" s="8">
        <v>11707.83</v>
      </c>
      <c r="G15" s="1"/>
      <c r="H15" s="1"/>
      <c r="I15" s="1"/>
      <c r="J15" s="1"/>
      <c r="K15" s="1"/>
    </row>
    <row r="16" spans="1:11" ht="34.200000000000003" x14ac:dyDescent="0.3">
      <c r="A16" s="6" t="s">
        <v>49</v>
      </c>
      <c r="B16" s="8">
        <v>1807.85</v>
      </c>
      <c r="C16" s="7">
        <v>647.21</v>
      </c>
      <c r="D16" s="7">
        <v>881.18</v>
      </c>
      <c r="E16" s="7">
        <v>991.54</v>
      </c>
      <c r="F16" s="7">
        <v>688.32</v>
      </c>
      <c r="G16" s="1"/>
      <c r="H16" s="1"/>
      <c r="I16" s="1"/>
      <c r="J16" s="1"/>
      <c r="K16" s="1"/>
    </row>
    <row r="17" spans="1:11" ht="68.400000000000006" x14ac:dyDescent="0.3">
      <c r="A17" s="6" t="s">
        <v>50</v>
      </c>
      <c r="B17" s="7">
        <v>-554.33000000000004</v>
      </c>
      <c r="C17" s="7">
        <v>545.36</v>
      </c>
      <c r="D17" s="8">
        <v>-1329.65</v>
      </c>
      <c r="E17" s="7">
        <v>142.97</v>
      </c>
      <c r="F17" s="7">
        <v>-745.17</v>
      </c>
      <c r="G17" s="1"/>
      <c r="H17" s="1"/>
      <c r="I17" s="1"/>
      <c r="J17" s="1"/>
      <c r="K17" s="1"/>
    </row>
    <row r="18" spans="1:11" ht="34.200000000000003" x14ac:dyDescent="0.3">
      <c r="A18" s="6" t="s">
        <v>51</v>
      </c>
      <c r="B18" s="8">
        <v>5131.0600000000004</v>
      </c>
      <c r="C18" s="8">
        <v>4828.8500000000004</v>
      </c>
      <c r="D18" s="8">
        <v>4605.13</v>
      </c>
      <c r="E18" s="8">
        <v>4324.8999999999996</v>
      </c>
      <c r="F18" s="8">
        <v>4601.92</v>
      </c>
      <c r="G18" s="1"/>
      <c r="H18" s="1"/>
      <c r="I18" s="1"/>
      <c r="J18" s="1"/>
      <c r="K18" s="1"/>
    </row>
    <row r="19" spans="1:11" ht="22.8" x14ac:dyDescent="0.3">
      <c r="A19" s="6" t="s">
        <v>52</v>
      </c>
      <c r="B19" s="8">
        <v>2823.58</v>
      </c>
      <c r="C19" s="8">
        <v>2810.62</v>
      </c>
      <c r="D19" s="8">
        <v>2688.55</v>
      </c>
      <c r="E19" s="8">
        <v>1460.27</v>
      </c>
      <c r="F19" s="8">
        <v>1975.95</v>
      </c>
      <c r="G19" s="1"/>
      <c r="H19" s="1"/>
      <c r="I19" s="1"/>
      <c r="J19" s="1"/>
      <c r="K19" s="1"/>
    </row>
    <row r="20" spans="1:11" ht="57" x14ac:dyDescent="0.3">
      <c r="A20" s="6" t="s">
        <v>53</v>
      </c>
      <c r="B20" s="8">
        <v>3802.96</v>
      </c>
      <c r="C20" s="8">
        <v>3727.46</v>
      </c>
      <c r="D20" s="8">
        <v>3541.55</v>
      </c>
      <c r="E20" s="8">
        <v>1933.11</v>
      </c>
      <c r="F20" s="8">
        <v>1997.59</v>
      </c>
      <c r="G20" s="1"/>
      <c r="H20" s="1"/>
      <c r="I20" s="1"/>
      <c r="J20" s="1"/>
      <c r="K20" s="1"/>
    </row>
    <row r="21" spans="1:11" ht="22.8" x14ac:dyDescent="0.3">
      <c r="A21" s="6" t="s">
        <v>54</v>
      </c>
      <c r="B21" s="8">
        <v>24622.6</v>
      </c>
      <c r="C21" s="8">
        <v>21275.47</v>
      </c>
      <c r="D21" s="8">
        <v>19681.150000000001</v>
      </c>
      <c r="E21" s="8">
        <v>16438.060000000001</v>
      </c>
      <c r="F21" s="8">
        <v>16109.99</v>
      </c>
      <c r="G21" s="1"/>
      <c r="H21" s="1"/>
      <c r="I21" s="1"/>
      <c r="J21" s="1"/>
      <c r="K21" s="1"/>
    </row>
    <row r="22" spans="1:11" ht="57" x14ac:dyDescent="0.3">
      <c r="A22" s="6" t="s">
        <v>55</v>
      </c>
      <c r="B22" s="7">
        <v>799.7</v>
      </c>
      <c r="C22" s="7">
        <v>336.66</v>
      </c>
      <c r="D22" s="7">
        <v>217.52</v>
      </c>
      <c r="E22" s="7">
        <v>598.89</v>
      </c>
      <c r="F22" s="7">
        <v>586.69000000000005</v>
      </c>
      <c r="G22" s="1"/>
      <c r="H22" s="1"/>
      <c r="I22" s="1"/>
      <c r="J22" s="1"/>
      <c r="K22" s="1"/>
    </row>
    <row r="23" spans="1:11" ht="24" x14ac:dyDescent="0.3">
      <c r="A23" s="2" t="s">
        <v>56</v>
      </c>
      <c r="B23" s="12">
        <v>56674.31</v>
      </c>
      <c r="C23" s="12">
        <v>50375.94</v>
      </c>
      <c r="D23" s="12">
        <v>42347.17</v>
      </c>
      <c r="E23" s="12">
        <v>34391.97</v>
      </c>
      <c r="F23" s="12">
        <v>35749.74</v>
      </c>
      <c r="G23" s="1"/>
      <c r="H23" s="1"/>
      <c r="I23" s="1"/>
      <c r="J23" s="1"/>
      <c r="K23" s="1"/>
    </row>
    <row r="24" spans="1:11" x14ac:dyDescent="0.3">
      <c r="A24" s="4"/>
      <c r="B24" s="11">
        <v>43525</v>
      </c>
      <c r="C24" s="11">
        <v>43160</v>
      </c>
      <c r="D24" s="11">
        <v>42795</v>
      </c>
      <c r="E24" s="11">
        <v>42430</v>
      </c>
      <c r="F24" s="11">
        <v>42064</v>
      </c>
      <c r="G24" s="1"/>
      <c r="H24" s="1"/>
      <c r="I24" s="1"/>
      <c r="J24" s="1"/>
      <c r="K24" s="1"/>
    </row>
    <row r="25" spans="1:11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3">
      <c r="A26" s="6"/>
      <c r="B26" s="7" t="s">
        <v>7</v>
      </c>
      <c r="C26" s="7" t="s">
        <v>7</v>
      </c>
      <c r="D26" s="7" t="s">
        <v>7</v>
      </c>
      <c r="E26" s="7" t="s">
        <v>7</v>
      </c>
      <c r="F26" s="7" t="s">
        <v>7</v>
      </c>
      <c r="G26" s="1"/>
      <c r="H26" s="1"/>
      <c r="I26" s="1"/>
      <c r="J26" s="1"/>
      <c r="K26" s="1"/>
    </row>
    <row r="27" spans="1:11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84" x14ac:dyDescent="0.3">
      <c r="A28" s="2" t="s">
        <v>57</v>
      </c>
      <c r="B28" s="12">
        <v>16341.48</v>
      </c>
      <c r="C28" s="12">
        <v>10004.540000000001</v>
      </c>
      <c r="D28" s="12">
        <v>6060.31</v>
      </c>
      <c r="E28" s="12">
        <v>7709.07</v>
      </c>
      <c r="F28" s="12">
        <v>6618.04</v>
      </c>
      <c r="G28" s="1"/>
      <c r="H28" s="1"/>
      <c r="I28" s="1"/>
      <c r="J28" s="1"/>
      <c r="K28" s="1"/>
    </row>
    <row r="29" spans="1:11" ht="22.8" x14ac:dyDescent="0.3">
      <c r="A29" s="6" t="s">
        <v>58</v>
      </c>
      <c r="B29" s="7">
        <v>-114.23</v>
      </c>
      <c r="C29" s="8">
        <v>-3366.29</v>
      </c>
      <c r="D29" s="7">
        <v>-703.38</v>
      </c>
      <c r="E29" s="8">
        <v>-1582.55</v>
      </c>
      <c r="F29" s="8">
        <v>1890.85</v>
      </c>
      <c r="G29" s="1"/>
      <c r="H29" s="1"/>
      <c r="I29" s="1"/>
      <c r="J29" s="1"/>
      <c r="K29" s="1"/>
    </row>
    <row r="30" spans="1:11" ht="36" x14ac:dyDescent="0.3">
      <c r="A30" s="4" t="s">
        <v>59</v>
      </c>
      <c r="B30" s="9">
        <v>16227.25</v>
      </c>
      <c r="C30" s="9">
        <v>6638.25</v>
      </c>
      <c r="D30" s="9">
        <v>5356.93</v>
      </c>
      <c r="E30" s="9">
        <v>6126.52</v>
      </c>
      <c r="F30" s="9">
        <v>8508.89</v>
      </c>
      <c r="G30" s="1"/>
      <c r="H30" s="1"/>
      <c r="I30" s="1"/>
      <c r="J30" s="1"/>
      <c r="K30" s="1"/>
    </row>
    <row r="31" spans="1:11" ht="24" customHeight="1" x14ac:dyDescent="0.3">
      <c r="A31" s="31" t="s">
        <v>60</v>
      </c>
      <c r="B31" s="32"/>
      <c r="C31" s="5"/>
      <c r="D31" s="5"/>
      <c r="E31" s="5"/>
      <c r="F31" s="5"/>
      <c r="G31" s="1"/>
      <c r="H31" s="1"/>
      <c r="I31" s="1"/>
      <c r="J31" s="1"/>
      <c r="K31" s="1"/>
    </row>
    <row r="32" spans="1:11" ht="22.8" x14ac:dyDescent="0.3">
      <c r="A32" s="6" t="s">
        <v>61</v>
      </c>
      <c r="B32" s="8">
        <v>6297.11</v>
      </c>
      <c r="C32" s="8">
        <v>1586.78</v>
      </c>
      <c r="D32" s="8">
        <v>1400.54</v>
      </c>
      <c r="E32" s="8">
        <v>1433.06</v>
      </c>
      <c r="F32" s="8">
        <v>1908.6</v>
      </c>
      <c r="G32" s="1"/>
      <c r="H32" s="1"/>
      <c r="I32" s="1"/>
      <c r="J32" s="1"/>
      <c r="K32" s="1"/>
    </row>
    <row r="33" spans="1:11" ht="34.200000000000003" x14ac:dyDescent="0.3">
      <c r="A33" s="6" t="s">
        <v>62</v>
      </c>
      <c r="B33" s="7">
        <v>0</v>
      </c>
      <c r="C33" s="7">
        <v>0</v>
      </c>
      <c r="D33" s="7">
        <v>0</v>
      </c>
      <c r="E33" s="7">
        <v>152.16999999999999</v>
      </c>
      <c r="F33" s="7">
        <v>117.21</v>
      </c>
      <c r="G33" s="1"/>
      <c r="H33" s="1"/>
      <c r="I33" s="1"/>
      <c r="J33" s="1"/>
      <c r="K33" s="1"/>
    </row>
    <row r="34" spans="1:11" ht="22.8" x14ac:dyDescent="0.3">
      <c r="A34" s="6" t="s">
        <v>63</v>
      </c>
      <c r="B34" s="7">
        <v>-603.04999999999995</v>
      </c>
      <c r="C34" s="7">
        <v>881.92</v>
      </c>
      <c r="D34" s="7">
        <v>511.84</v>
      </c>
      <c r="E34" s="7">
        <v>-55.32</v>
      </c>
      <c r="F34" s="7">
        <v>278.38</v>
      </c>
      <c r="G34" s="1"/>
      <c r="H34" s="1"/>
      <c r="I34" s="1"/>
      <c r="J34" s="1"/>
      <c r="K34" s="1"/>
    </row>
    <row r="35" spans="1:11" ht="24" x14ac:dyDescent="0.3">
      <c r="A35" s="4" t="s">
        <v>64</v>
      </c>
      <c r="B35" s="9">
        <v>5694.06</v>
      </c>
      <c r="C35" s="9">
        <v>2468.6999999999998</v>
      </c>
      <c r="D35" s="9">
        <v>1912.38</v>
      </c>
      <c r="E35" s="9">
        <v>1225.57</v>
      </c>
      <c r="F35" s="9">
        <v>2069.77</v>
      </c>
      <c r="G35" s="1"/>
      <c r="H35" s="1"/>
      <c r="I35" s="1"/>
      <c r="J35" s="1"/>
      <c r="K35" s="1"/>
    </row>
    <row r="36" spans="1:11" ht="72" x14ac:dyDescent="0.3">
      <c r="A36" s="4" t="s">
        <v>65</v>
      </c>
      <c r="B36" s="9">
        <v>10533.19</v>
      </c>
      <c r="C36" s="9">
        <v>4169.55</v>
      </c>
      <c r="D36" s="9">
        <v>3444.55</v>
      </c>
      <c r="E36" s="9">
        <v>4900.95</v>
      </c>
      <c r="F36" s="9">
        <v>6439.12</v>
      </c>
      <c r="G36" s="1"/>
      <c r="H36" s="1"/>
      <c r="I36" s="1"/>
      <c r="J36" s="1"/>
      <c r="K36" s="1"/>
    </row>
    <row r="37" spans="1:11" ht="72" x14ac:dyDescent="0.3">
      <c r="A37" s="4" t="s">
        <v>66</v>
      </c>
      <c r="B37" s="9">
        <v>10533.19</v>
      </c>
      <c r="C37" s="9">
        <v>4169.55</v>
      </c>
      <c r="D37" s="9">
        <v>3444.55</v>
      </c>
      <c r="E37" s="9">
        <v>4900.95</v>
      </c>
      <c r="F37" s="9">
        <v>6439.12</v>
      </c>
      <c r="G37" s="1"/>
      <c r="H37" s="1"/>
      <c r="I37" s="1"/>
      <c r="J37" s="1"/>
      <c r="K37" s="1"/>
    </row>
    <row r="38" spans="1:11" ht="36" x14ac:dyDescent="0.3">
      <c r="A38" s="2" t="s">
        <v>67</v>
      </c>
      <c r="B38" s="12">
        <v>10533.19</v>
      </c>
      <c r="C38" s="12">
        <v>4169.55</v>
      </c>
      <c r="D38" s="12">
        <v>3444.55</v>
      </c>
      <c r="E38" s="12">
        <v>4900.95</v>
      </c>
      <c r="F38" s="12">
        <v>6439.12</v>
      </c>
      <c r="G38" s="1"/>
      <c r="H38" s="1"/>
      <c r="I38" s="1"/>
      <c r="J38" s="1"/>
      <c r="K38" s="1"/>
    </row>
    <row r="39" spans="1:11" x14ac:dyDescent="0.3">
      <c r="A39" s="4"/>
      <c r="B39" s="11">
        <v>43525</v>
      </c>
      <c r="C39" s="11">
        <v>43160</v>
      </c>
      <c r="D39" s="11">
        <v>42795</v>
      </c>
      <c r="E39" s="11">
        <v>42430</v>
      </c>
      <c r="F39" s="11">
        <v>42064</v>
      </c>
      <c r="G39" s="1"/>
      <c r="H39" s="1"/>
      <c r="I39" s="1"/>
      <c r="J39" s="1"/>
      <c r="K39" s="1"/>
    </row>
    <row r="40" spans="1:11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 x14ac:dyDescent="0.3">
      <c r="A41" s="6"/>
      <c r="B41" s="7" t="s">
        <v>7</v>
      </c>
      <c r="C41" s="7" t="s">
        <v>7</v>
      </c>
      <c r="D41" s="7" t="s">
        <v>7</v>
      </c>
      <c r="E41" s="7" t="s">
        <v>7</v>
      </c>
      <c r="F41" s="7" t="s">
        <v>7</v>
      </c>
      <c r="G41" s="1"/>
      <c r="H41" s="1"/>
      <c r="I41" s="1"/>
      <c r="J41" s="1"/>
      <c r="K41" s="1"/>
    </row>
    <row r="42" spans="1:1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ht="24" customHeight="1" x14ac:dyDescent="0.3">
      <c r="A43" s="31" t="s">
        <v>68</v>
      </c>
      <c r="B43" s="32"/>
      <c r="C43" s="5"/>
      <c r="D43" s="5"/>
      <c r="E43" s="5"/>
      <c r="F43" s="5"/>
      <c r="G43" s="1"/>
      <c r="H43" s="1"/>
      <c r="I43" s="1"/>
      <c r="J43" s="1"/>
      <c r="K43" s="1"/>
    </row>
    <row r="44" spans="1:11" ht="24" customHeight="1" x14ac:dyDescent="0.3">
      <c r="A44" s="31" t="s">
        <v>69</v>
      </c>
      <c r="B44" s="32"/>
      <c r="C44" s="5"/>
      <c r="D44" s="5"/>
      <c r="E44" s="5"/>
      <c r="F44" s="5"/>
      <c r="G44" s="1"/>
      <c r="H44" s="1"/>
      <c r="I44" s="1"/>
      <c r="J44" s="1"/>
      <c r="K44" s="1"/>
    </row>
    <row r="45" spans="1:11" ht="22.8" x14ac:dyDescent="0.3">
      <c r="A45" s="6" t="s">
        <v>70</v>
      </c>
      <c r="B45" s="7">
        <v>90.41</v>
      </c>
      <c r="C45" s="7">
        <v>38.57</v>
      </c>
      <c r="D45" s="7">
        <v>31.74</v>
      </c>
      <c r="E45" s="7">
        <v>48.67</v>
      </c>
      <c r="F45" s="7">
        <v>64.489999999999995</v>
      </c>
      <c r="G45" s="1"/>
      <c r="H45" s="1"/>
      <c r="I45" s="1"/>
      <c r="J45" s="1"/>
      <c r="K45" s="1"/>
    </row>
    <row r="46" spans="1:11" ht="22.8" x14ac:dyDescent="0.3">
      <c r="A46" s="6" t="s">
        <v>71</v>
      </c>
      <c r="B46" s="7">
        <v>90.4</v>
      </c>
      <c r="C46" s="7">
        <v>38.56</v>
      </c>
      <c r="D46" s="7">
        <v>31.74</v>
      </c>
      <c r="E46" s="7">
        <v>48.67</v>
      </c>
      <c r="F46" s="7">
        <v>64.489999999999995</v>
      </c>
      <c r="G46" s="1"/>
      <c r="H46" s="1"/>
      <c r="I46" s="1"/>
      <c r="J46" s="1"/>
      <c r="K46" s="1"/>
    </row>
    <row r="47" spans="1:11" ht="36" customHeight="1" x14ac:dyDescent="0.3">
      <c r="A47" s="31" t="s">
        <v>72</v>
      </c>
      <c r="B47" s="32"/>
      <c r="C47" s="5"/>
      <c r="D47" s="5"/>
      <c r="E47" s="5"/>
      <c r="F47" s="5"/>
      <c r="G47" s="1"/>
      <c r="H47" s="1"/>
      <c r="I47" s="1"/>
      <c r="J47" s="1"/>
      <c r="K47" s="1"/>
    </row>
    <row r="48" spans="1:11" ht="34.200000000000003" x14ac:dyDescent="0.3">
      <c r="A48" s="6" t="s">
        <v>73</v>
      </c>
      <c r="B48" s="7">
        <v>0</v>
      </c>
      <c r="C48" s="7">
        <v>0</v>
      </c>
      <c r="D48" s="7">
        <v>0</v>
      </c>
      <c r="E48" s="8">
        <v>7194.82</v>
      </c>
      <c r="F48" s="8">
        <v>8163.97</v>
      </c>
      <c r="G48" s="1"/>
      <c r="H48" s="1"/>
      <c r="I48" s="1"/>
      <c r="J48" s="1"/>
      <c r="K48" s="1"/>
    </row>
    <row r="49" spans="1:11" ht="34.200000000000003" x14ac:dyDescent="0.3">
      <c r="A49" s="6" t="s">
        <v>74</v>
      </c>
      <c r="B49" s="7">
        <v>0</v>
      </c>
      <c r="C49" s="7">
        <v>0</v>
      </c>
      <c r="D49" s="7">
        <v>0</v>
      </c>
      <c r="E49" s="8">
        <v>5477.23</v>
      </c>
      <c r="F49" s="8">
        <v>5704.96</v>
      </c>
      <c r="G49" s="1"/>
      <c r="H49" s="1"/>
      <c r="I49" s="1"/>
      <c r="J49" s="1"/>
      <c r="K49" s="1"/>
    </row>
    <row r="50" spans="1:11" ht="24" customHeight="1" x14ac:dyDescent="0.3">
      <c r="A50" s="31" t="s">
        <v>75</v>
      </c>
      <c r="B50" s="32"/>
      <c r="C50" s="5"/>
      <c r="D50" s="5"/>
      <c r="E50" s="5"/>
      <c r="F50" s="5"/>
      <c r="G50" s="1"/>
      <c r="H50" s="1"/>
      <c r="I50" s="1"/>
      <c r="J50" s="1"/>
      <c r="K50" s="1"/>
    </row>
    <row r="51" spans="1:11" ht="34.200000000000003" x14ac:dyDescent="0.3">
      <c r="A51" s="6" t="s">
        <v>76</v>
      </c>
      <c r="B51" s="7">
        <v>0</v>
      </c>
      <c r="C51" s="7">
        <v>0</v>
      </c>
      <c r="D51" s="7">
        <v>0</v>
      </c>
      <c r="E51" s="7">
        <v>661.94</v>
      </c>
      <c r="F51" s="7">
        <v>817.19</v>
      </c>
      <c r="G51" s="1"/>
      <c r="H51" s="1"/>
      <c r="I51" s="1"/>
      <c r="J51" s="1"/>
      <c r="K51" s="1"/>
    </row>
    <row r="52" spans="1:11" ht="34.200000000000003" x14ac:dyDescent="0.3">
      <c r="A52" s="6" t="s">
        <v>77</v>
      </c>
      <c r="B52" s="7">
        <v>0</v>
      </c>
      <c r="C52" s="7">
        <v>0</v>
      </c>
      <c r="D52" s="7">
        <v>0</v>
      </c>
      <c r="E52" s="8">
        <v>3685.78</v>
      </c>
      <c r="F52" s="8">
        <v>3384.85</v>
      </c>
      <c r="G52" s="1"/>
      <c r="H52" s="1"/>
      <c r="I52" s="1"/>
      <c r="J52" s="1"/>
      <c r="K52" s="1"/>
    </row>
    <row r="53" spans="1:11" ht="36" customHeight="1" x14ac:dyDescent="0.3">
      <c r="A53" s="31" t="s">
        <v>78</v>
      </c>
      <c r="B53" s="32"/>
      <c r="C53" s="5"/>
      <c r="D53" s="5"/>
      <c r="E53" s="5"/>
      <c r="F53" s="5"/>
      <c r="G53" s="1"/>
      <c r="H53" s="1"/>
      <c r="I53" s="1"/>
      <c r="J53" s="1"/>
      <c r="K53" s="1"/>
    </row>
    <row r="54" spans="1:11" ht="34.200000000000003" x14ac:dyDescent="0.3">
      <c r="A54" s="6" t="s">
        <v>79</v>
      </c>
      <c r="B54" s="8">
        <v>1145.92</v>
      </c>
      <c r="C54" s="8">
        <v>1237.3499999999999</v>
      </c>
      <c r="D54" s="8">
        <v>1043.07</v>
      </c>
      <c r="E54" s="7">
        <v>776.97</v>
      </c>
      <c r="F54" s="7">
        <v>776.97</v>
      </c>
      <c r="G54" s="1"/>
      <c r="H54" s="1"/>
      <c r="I54" s="1"/>
      <c r="J54" s="1"/>
      <c r="K54" s="1"/>
    </row>
    <row r="55" spans="1:11" ht="22.8" x14ac:dyDescent="0.3">
      <c r="A55" s="6" t="s">
        <v>80</v>
      </c>
      <c r="B55" s="7">
        <v>224.86</v>
      </c>
      <c r="C55" s="7">
        <v>95.71</v>
      </c>
      <c r="D55" s="7">
        <v>55.65</v>
      </c>
      <c r="E55" s="7">
        <v>149.30000000000001</v>
      </c>
      <c r="F55" s="7">
        <v>153.02000000000001</v>
      </c>
      <c r="G55" s="1"/>
      <c r="H55" s="1"/>
      <c r="I55" s="1"/>
      <c r="J55" s="1"/>
      <c r="K55" s="1"/>
    </row>
    <row r="56" spans="1:11" ht="34.200000000000003" x14ac:dyDescent="0.3">
      <c r="A56" s="6" t="s">
        <v>81</v>
      </c>
      <c r="B56" s="7">
        <v>130</v>
      </c>
      <c r="C56" s="7">
        <v>100</v>
      </c>
      <c r="D56" s="7">
        <v>100</v>
      </c>
      <c r="E56" s="7">
        <v>80</v>
      </c>
      <c r="F56" s="7">
        <v>80</v>
      </c>
      <c r="G56" s="1"/>
      <c r="H56" s="1"/>
      <c r="I56" s="1"/>
      <c r="J56" s="1"/>
      <c r="K56" s="1"/>
    </row>
  </sheetData>
  <mergeCells count="14">
    <mergeCell ref="A50:B50"/>
    <mergeCell ref="A53:B53"/>
    <mergeCell ref="A31:B31"/>
    <mergeCell ref="A40:K40"/>
    <mergeCell ref="A42:K42"/>
    <mergeCell ref="A43:B43"/>
    <mergeCell ref="A44:B44"/>
    <mergeCell ref="A47:B47"/>
    <mergeCell ref="A27:K27"/>
    <mergeCell ref="A3:K3"/>
    <mergeCell ref="A5:K5"/>
    <mergeCell ref="A6:B6"/>
    <mergeCell ref="A14:B14"/>
    <mergeCell ref="A25:K2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1" sqref="L11"/>
    </sheetView>
  </sheetViews>
  <sheetFormatPr defaultRowHeight="14.4" x14ac:dyDescent="0.3"/>
  <sheetData>
    <row r="1" spans="1:11" ht="48" x14ac:dyDescent="0.3">
      <c r="A1" s="2" t="s">
        <v>82</v>
      </c>
      <c r="B1" s="3" t="s">
        <v>1</v>
      </c>
    </row>
    <row r="2" spans="1:11" x14ac:dyDescent="0.3">
      <c r="A2" s="4"/>
      <c r="B2" s="5" t="s">
        <v>38</v>
      </c>
      <c r="C2" s="11">
        <v>43525</v>
      </c>
      <c r="D2" s="11">
        <v>43160</v>
      </c>
      <c r="E2" s="11">
        <v>43160</v>
      </c>
      <c r="F2" s="11">
        <v>42795</v>
      </c>
      <c r="G2" s="1"/>
      <c r="H2" s="1"/>
      <c r="I2" s="1"/>
      <c r="J2" s="1"/>
      <c r="K2" s="1"/>
    </row>
    <row r="3" spans="1:1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3">
      <c r="A4" s="6"/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1"/>
      <c r="H4" s="1"/>
      <c r="I4" s="1"/>
      <c r="J4" s="1"/>
      <c r="K4" s="1"/>
    </row>
    <row r="5" spans="1:1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72" x14ac:dyDescent="0.3">
      <c r="A6" s="2" t="s">
        <v>150</v>
      </c>
      <c r="B6" s="12">
        <v>16227.25</v>
      </c>
      <c r="C6" s="14">
        <v>0</v>
      </c>
      <c r="D6" s="12">
        <v>6638.25</v>
      </c>
      <c r="E6" s="12">
        <v>6638.25</v>
      </c>
      <c r="F6" s="12">
        <v>5356.93</v>
      </c>
      <c r="G6" s="1"/>
      <c r="H6" s="1"/>
      <c r="I6" s="1"/>
      <c r="J6" s="1"/>
      <c r="K6" s="1"/>
    </row>
    <row r="7" spans="1:11" ht="57" x14ac:dyDescent="0.3">
      <c r="A7" s="6" t="s">
        <v>151</v>
      </c>
      <c r="B7" s="8">
        <v>15193.11</v>
      </c>
      <c r="C7" s="7">
        <v>0</v>
      </c>
      <c r="D7" s="8">
        <v>11791.45</v>
      </c>
      <c r="E7" s="8">
        <v>11791.45</v>
      </c>
      <c r="F7" s="8">
        <v>11166.64</v>
      </c>
      <c r="G7" s="1"/>
      <c r="H7" s="1"/>
      <c r="I7" s="1"/>
      <c r="J7" s="1"/>
      <c r="K7" s="1"/>
    </row>
    <row r="8" spans="1:11" ht="45.6" x14ac:dyDescent="0.3">
      <c r="A8" s="6" t="s">
        <v>152</v>
      </c>
      <c r="B8" s="8">
        <v>-16349.98</v>
      </c>
      <c r="C8" s="7">
        <v>0</v>
      </c>
      <c r="D8" s="8">
        <v>-12273.35</v>
      </c>
      <c r="E8" s="8">
        <v>-12273.35</v>
      </c>
      <c r="F8" s="8">
        <v>-3956.4</v>
      </c>
      <c r="G8" s="1"/>
      <c r="H8" s="1"/>
      <c r="I8" s="1"/>
      <c r="J8" s="1"/>
      <c r="K8" s="1"/>
    </row>
    <row r="9" spans="1:11" ht="45.6" x14ac:dyDescent="0.3">
      <c r="A9" s="6" t="s">
        <v>153</v>
      </c>
      <c r="B9" s="8">
        <v>-2887.17</v>
      </c>
      <c r="C9" s="7">
        <v>0</v>
      </c>
      <c r="D9" s="8">
        <v>4165.58</v>
      </c>
      <c r="E9" s="8">
        <v>4165.58</v>
      </c>
      <c r="F9" s="8">
        <v>-7279.71</v>
      </c>
      <c r="G9" s="1"/>
      <c r="H9" s="1"/>
      <c r="I9" s="1"/>
      <c r="J9" s="1"/>
      <c r="K9" s="1"/>
    </row>
    <row r="10" spans="1:11" ht="72" x14ac:dyDescent="0.3">
      <c r="A10" s="2" t="s">
        <v>154</v>
      </c>
      <c r="B10" s="12">
        <v>-4044.04</v>
      </c>
      <c r="C10" s="14">
        <v>0</v>
      </c>
      <c r="D10" s="12">
        <v>3683.68</v>
      </c>
      <c r="E10" s="12">
        <v>3683.68</v>
      </c>
      <c r="F10" s="14">
        <v>-69.47</v>
      </c>
      <c r="G10" s="1"/>
      <c r="H10" s="1"/>
      <c r="I10" s="1"/>
      <c r="J10" s="1"/>
      <c r="K10" s="1"/>
    </row>
    <row r="11" spans="1:11" ht="57" x14ac:dyDescent="0.3">
      <c r="A11" s="6" t="s">
        <v>155</v>
      </c>
      <c r="B11" s="8">
        <v>4588.8900000000003</v>
      </c>
      <c r="C11" s="7">
        <v>0</v>
      </c>
      <c r="D11" s="7">
        <v>905.21</v>
      </c>
      <c r="E11" s="7">
        <v>905.21</v>
      </c>
      <c r="F11" s="7">
        <v>974.68</v>
      </c>
      <c r="G11" s="1"/>
      <c r="H11" s="1"/>
      <c r="I11" s="1"/>
      <c r="J11" s="1"/>
      <c r="K11" s="1"/>
    </row>
    <row r="12" spans="1:11" ht="57" x14ac:dyDescent="0.3">
      <c r="A12" s="6" t="s">
        <v>156</v>
      </c>
      <c r="B12" s="7">
        <v>544.85</v>
      </c>
      <c r="C12" s="7">
        <v>0</v>
      </c>
      <c r="D12" s="8">
        <v>4588.8900000000003</v>
      </c>
      <c r="E12" s="8">
        <v>4588.8900000000003</v>
      </c>
      <c r="F12" s="7">
        <v>905.21</v>
      </c>
      <c r="G12" s="1"/>
      <c r="H12" s="1"/>
      <c r="I12" s="1"/>
      <c r="J12" s="1"/>
      <c r="K12" s="1"/>
    </row>
  </sheetData>
  <mergeCells count="2">
    <mergeCell ref="A3:K3"/>
    <mergeCell ref="A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"/>
  <sheetViews>
    <sheetView workbookViewId="0">
      <selection activeCell="C4" sqref="C4"/>
    </sheetView>
  </sheetViews>
  <sheetFormatPr defaultRowHeight="14.4" x14ac:dyDescent="0.3"/>
  <cols>
    <col min="1" max="1" width="30.109375" bestFit="1" customWidth="1"/>
    <col min="2" max="4" width="9" bestFit="1" customWidth="1"/>
    <col min="5" max="12" width="10.44140625" bestFit="1" customWidth="1"/>
  </cols>
  <sheetData>
    <row r="1" spans="1:12" x14ac:dyDescent="0.3">
      <c r="B1" s="11">
        <v>43525</v>
      </c>
      <c r="C1" s="11">
        <v>43891</v>
      </c>
      <c r="D1" s="11">
        <v>44256</v>
      </c>
      <c r="E1" s="11">
        <v>44621</v>
      </c>
      <c r="F1" s="11">
        <v>44986</v>
      </c>
      <c r="G1" s="11">
        <v>45352</v>
      </c>
      <c r="H1" s="11">
        <v>45717</v>
      </c>
      <c r="I1" s="11">
        <v>46082</v>
      </c>
      <c r="J1" s="11">
        <v>46447</v>
      </c>
      <c r="K1" s="11">
        <v>46813</v>
      </c>
      <c r="L1" s="11">
        <v>47178</v>
      </c>
    </row>
    <row r="2" spans="1:12" x14ac:dyDescent="0.3">
      <c r="A2" t="s">
        <v>182</v>
      </c>
      <c r="C2" s="19">
        <f>B4</f>
        <v>86575.39</v>
      </c>
      <c r="D2" s="19">
        <f t="shared" ref="D2:L2" si="0">C4</f>
        <v>91575.39</v>
      </c>
      <c r="E2" s="19">
        <f t="shared" si="0"/>
        <v>96575.39</v>
      </c>
      <c r="F2" s="19">
        <f t="shared" si="0"/>
        <v>101575.39</v>
      </c>
      <c r="G2" s="19">
        <f t="shared" si="0"/>
        <v>106575.39</v>
      </c>
      <c r="H2" s="19">
        <f t="shared" si="0"/>
        <v>111575.39</v>
      </c>
      <c r="I2" s="19">
        <f t="shared" si="0"/>
        <v>116575.39</v>
      </c>
      <c r="J2" s="19">
        <f t="shared" si="0"/>
        <v>121575.39</v>
      </c>
      <c r="K2" s="19">
        <f t="shared" si="0"/>
        <v>126575.39</v>
      </c>
      <c r="L2" s="19">
        <f t="shared" si="0"/>
        <v>131575.39000000001</v>
      </c>
    </row>
    <row r="3" spans="1:12" x14ac:dyDescent="0.3">
      <c r="A3" t="s">
        <v>183</v>
      </c>
      <c r="C3">
        <f>Assumptions!$I$9</f>
        <v>5000</v>
      </c>
      <c r="D3">
        <f>Assumptions!$I$9</f>
        <v>5000</v>
      </c>
      <c r="E3">
        <f>Assumptions!$I$9</f>
        <v>5000</v>
      </c>
      <c r="F3">
        <f>Assumptions!$I$9</f>
        <v>5000</v>
      </c>
      <c r="G3">
        <f>Assumptions!$I$9</f>
        <v>5000</v>
      </c>
      <c r="H3">
        <f>Assumptions!$I$9</f>
        <v>5000</v>
      </c>
      <c r="I3">
        <f>Assumptions!$I$9</f>
        <v>5000</v>
      </c>
      <c r="J3">
        <f>Assumptions!$I$9</f>
        <v>5000</v>
      </c>
      <c r="K3">
        <f>Assumptions!$I$9</f>
        <v>5000</v>
      </c>
      <c r="L3">
        <f>Assumptions!$I$9</f>
        <v>5000</v>
      </c>
    </row>
    <row r="4" spans="1:12" x14ac:dyDescent="0.3">
      <c r="A4" t="s">
        <v>184</v>
      </c>
      <c r="B4" s="19">
        <f>'Balance Sheet'!H21</f>
        <v>86575.39</v>
      </c>
      <c r="C4" s="19">
        <f>C2+C3</f>
        <v>91575.39</v>
      </c>
      <c r="D4" s="19">
        <f t="shared" ref="D4:L4" si="1">D2+D3</f>
        <v>96575.39</v>
      </c>
      <c r="E4" s="19">
        <f t="shared" si="1"/>
        <v>101575.39</v>
      </c>
      <c r="F4" s="19">
        <f t="shared" si="1"/>
        <v>106575.39</v>
      </c>
      <c r="G4" s="19">
        <f t="shared" si="1"/>
        <v>111575.39</v>
      </c>
      <c r="H4" s="19">
        <f t="shared" si="1"/>
        <v>116575.39</v>
      </c>
      <c r="I4" s="19">
        <f t="shared" si="1"/>
        <v>121575.39</v>
      </c>
      <c r="J4" s="19">
        <f t="shared" si="1"/>
        <v>126575.39</v>
      </c>
      <c r="K4" s="19">
        <f t="shared" si="1"/>
        <v>131575.39000000001</v>
      </c>
      <c r="L4" s="19">
        <f t="shared" si="1"/>
        <v>136575.39000000001</v>
      </c>
    </row>
    <row r="6" spans="1:12" x14ac:dyDescent="0.3">
      <c r="A6" t="s">
        <v>186</v>
      </c>
      <c r="C6" s="19">
        <f>B8</f>
        <v>15353.37</v>
      </c>
      <c r="D6" s="19">
        <f t="shared" ref="D6:L6" si="2">C8</f>
        <v>24260.909</v>
      </c>
      <c r="E6" s="19">
        <f t="shared" si="2"/>
        <v>33668.448000000004</v>
      </c>
      <c r="F6" s="19">
        <f t="shared" si="2"/>
        <v>43575.987000000008</v>
      </c>
      <c r="G6" s="19">
        <f t="shared" si="2"/>
        <v>53983.526000000013</v>
      </c>
      <c r="H6" s="19">
        <f t="shared" si="2"/>
        <v>64891.065000000017</v>
      </c>
      <c r="I6" s="19">
        <f t="shared" si="2"/>
        <v>76298.604000000021</v>
      </c>
      <c r="J6" s="19">
        <f t="shared" si="2"/>
        <v>88206.143000000025</v>
      </c>
      <c r="K6" s="19">
        <f t="shared" si="2"/>
        <v>100613.68200000003</v>
      </c>
      <c r="L6" s="19">
        <f t="shared" si="2"/>
        <v>113521.22100000003</v>
      </c>
    </row>
    <row r="7" spans="1:12" x14ac:dyDescent="0.3">
      <c r="A7" t="s">
        <v>185</v>
      </c>
      <c r="C7" s="19">
        <f>AVERAGE(C2,C4)*Assumptions!$I$10</f>
        <v>8907.5390000000007</v>
      </c>
      <c r="D7" s="19">
        <f>AVERAGE(D2,D4)*Assumptions!$I$10</f>
        <v>9407.5390000000007</v>
      </c>
      <c r="E7" s="19">
        <f>AVERAGE(E2,E4)*Assumptions!$I$10</f>
        <v>9907.5390000000007</v>
      </c>
      <c r="F7" s="19">
        <f>AVERAGE(F2,F4)*Assumptions!$I$10</f>
        <v>10407.539000000001</v>
      </c>
      <c r="G7" s="19">
        <f>AVERAGE(G2,G4)*Assumptions!$I$10</f>
        <v>10907.539000000001</v>
      </c>
      <c r="H7" s="19">
        <f>AVERAGE(H2,H4)*Assumptions!$I$10</f>
        <v>11407.539000000001</v>
      </c>
      <c r="I7" s="19">
        <f>AVERAGE(I2,I4)*Assumptions!$I$10</f>
        <v>11907.539000000001</v>
      </c>
      <c r="J7" s="19">
        <f>AVERAGE(J2,J4)*Assumptions!$I$10</f>
        <v>12407.539000000001</v>
      </c>
      <c r="K7" s="19">
        <f>AVERAGE(K2,K4)*Assumptions!$I$10</f>
        <v>12907.539000000002</v>
      </c>
      <c r="L7" s="19">
        <f>AVERAGE(L2,L4)*Assumptions!$I$10</f>
        <v>13407.539000000002</v>
      </c>
    </row>
    <row r="8" spans="1:12" x14ac:dyDescent="0.3">
      <c r="A8" t="s">
        <v>187</v>
      </c>
      <c r="B8" s="19">
        <f>'Balance Sheet'!H22</f>
        <v>15353.37</v>
      </c>
      <c r="C8" s="19">
        <f>C6+C7</f>
        <v>24260.909</v>
      </c>
      <c r="D8" s="19">
        <f t="shared" ref="D8:L8" si="3">D6+D7</f>
        <v>33668.448000000004</v>
      </c>
      <c r="E8" s="19">
        <f t="shared" si="3"/>
        <v>43575.987000000008</v>
      </c>
      <c r="F8" s="19">
        <f t="shared" si="3"/>
        <v>53983.526000000013</v>
      </c>
      <c r="G8" s="19">
        <f t="shared" si="3"/>
        <v>64891.065000000017</v>
      </c>
      <c r="H8" s="19">
        <f t="shared" si="3"/>
        <v>76298.604000000021</v>
      </c>
      <c r="I8" s="19">
        <f t="shared" si="3"/>
        <v>88206.143000000025</v>
      </c>
      <c r="J8" s="19">
        <f t="shared" si="3"/>
        <v>100613.68200000003</v>
      </c>
      <c r="K8" s="19">
        <f t="shared" si="3"/>
        <v>113521.22100000003</v>
      </c>
      <c r="L8" s="19">
        <f t="shared" si="3"/>
        <v>126928.76000000004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"/>
  <sheetViews>
    <sheetView topLeftCell="A11" workbookViewId="0">
      <selection activeCell="D39" sqref="D39"/>
    </sheetView>
  </sheetViews>
  <sheetFormatPr defaultRowHeight="14.4" x14ac:dyDescent="0.3"/>
  <cols>
    <col min="1" max="1" width="34.33203125" customWidth="1"/>
    <col min="7" max="7" width="18.88671875" customWidth="1"/>
    <col min="12" max="17" width="12" bestFit="1" customWidth="1"/>
  </cols>
  <sheetData>
    <row r="1" spans="1:17" ht="48" x14ac:dyDescent="0.3">
      <c r="A1" s="2" t="s">
        <v>37</v>
      </c>
      <c r="B1" s="3" t="s">
        <v>1</v>
      </c>
      <c r="G1" s="3"/>
    </row>
    <row r="2" spans="1:17" x14ac:dyDescent="0.3">
      <c r="A2" s="4"/>
      <c r="B2" s="16">
        <v>43909</v>
      </c>
      <c r="C2" s="11">
        <v>42064</v>
      </c>
      <c r="D2" s="11">
        <v>42430</v>
      </c>
      <c r="E2" s="11">
        <v>42795</v>
      </c>
      <c r="F2" s="11">
        <v>43160</v>
      </c>
      <c r="G2" s="11">
        <v>43525</v>
      </c>
      <c r="H2" s="11">
        <v>43891</v>
      </c>
      <c r="I2" s="11">
        <v>44256</v>
      </c>
      <c r="J2" s="11">
        <v>44621</v>
      </c>
      <c r="K2" s="11">
        <v>44986</v>
      </c>
      <c r="L2" s="11">
        <v>45352</v>
      </c>
      <c r="M2" s="11">
        <v>45717</v>
      </c>
      <c r="N2" s="11">
        <v>46082</v>
      </c>
      <c r="O2" s="11">
        <v>46447</v>
      </c>
      <c r="P2" s="11">
        <v>46813</v>
      </c>
      <c r="Q2" s="11">
        <v>47178</v>
      </c>
    </row>
    <row r="3" spans="1:17" x14ac:dyDescent="0.3">
      <c r="A3" s="30"/>
      <c r="B3" s="30"/>
      <c r="C3" s="30"/>
      <c r="D3" s="30"/>
      <c r="E3" s="30"/>
      <c r="F3" s="30"/>
      <c r="G3" s="30"/>
      <c r="H3" s="30"/>
    </row>
    <row r="4" spans="1:17" x14ac:dyDescent="0.3">
      <c r="A4" s="6"/>
      <c r="B4" s="7" t="s">
        <v>7</v>
      </c>
      <c r="C4" s="7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"/>
    </row>
    <row r="5" spans="1:17" x14ac:dyDescent="0.3">
      <c r="A5" s="30"/>
      <c r="B5" s="30"/>
      <c r="C5" s="30"/>
      <c r="D5" s="30"/>
      <c r="E5" s="30"/>
      <c r="F5" s="30"/>
      <c r="G5" s="30"/>
      <c r="H5" s="30"/>
    </row>
    <row r="6" spans="1:17" x14ac:dyDescent="0.3">
      <c r="A6" s="31" t="s">
        <v>39</v>
      </c>
      <c r="B6" s="32"/>
      <c r="C6" s="5"/>
      <c r="D6" s="5"/>
      <c r="E6" s="5"/>
      <c r="F6" s="5"/>
      <c r="G6" s="1"/>
      <c r="H6" s="1"/>
    </row>
    <row r="7" spans="1:17" hidden="1" x14ac:dyDescent="0.3">
      <c r="A7" s="4" t="s">
        <v>40</v>
      </c>
      <c r="B7" s="9">
        <v>68923.360000000001</v>
      </c>
      <c r="C7" s="9">
        <v>46226.080000000002</v>
      </c>
      <c r="D7" s="9">
        <v>42290.64</v>
      </c>
      <c r="E7" s="9">
        <v>52564.93</v>
      </c>
      <c r="F7" s="9">
        <v>59453.23</v>
      </c>
      <c r="G7" s="9">
        <v>68923.360000000001</v>
      </c>
      <c r="H7" s="1"/>
    </row>
    <row r="8" spans="1:17" hidden="1" x14ac:dyDescent="0.3">
      <c r="A8" s="6" t="s">
        <v>41</v>
      </c>
      <c r="B8" s="7">
        <v>0.21</v>
      </c>
      <c r="C8" s="8">
        <v>4792.26</v>
      </c>
      <c r="D8" s="8">
        <v>4475.95</v>
      </c>
      <c r="E8" s="8">
        <v>5267.94</v>
      </c>
      <c r="F8" s="13">
        <v>902.55</v>
      </c>
      <c r="G8" s="13">
        <v>0.21</v>
      </c>
      <c r="H8" s="1"/>
    </row>
    <row r="9" spans="1:17" hidden="1" x14ac:dyDescent="0.3">
      <c r="A9" s="4" t="s">
        <v>42</v>
      </c>
      <c r="B9" s="9">
        <v>68923.149999999994</v>
      </c>
      <c r="C9" s="9">
        <v>41433.82</v>
      </c>
      <c r="D9" s="9">
        <v>37814.69</v>
      </c>
      <c r="E9" s="9">
        <v>47296.99</v>
      </c>
      <c r="F9" s="9">
        <v>58550.68</v>
      </c>
      <c r="G9" s="9">
        <v>68923.149999999994</v>
      </c>
      <c r="H9" s="1"/>
    </row>
    <row r="10" spans="1:17" hidden="1" x14ac:dyDescent="0.3">
      <c r="A10" s="6" t="s">
        <v>43</v>
      </c>
      <c r="B10" s="8">
        <v>1687.56</v>
      </c>
      <c r="C10" s="7">
        <v>351.18</v>
      </c>
      <c r="D10" s="13">
        <v>395.65</v>
      </c>
      <c r="E10" s="13">
        <v>696.03</v>
      </c>
      <c r="F10" s="8">
        <v>1066.1400000000001</v>
      </c>
      <c r="G10" s="8">
        <v>1687.56</v>
      </c>
      <c r="H10" s="1"/>
    </row>
    <row r="11" spans="1:17" x14ac:dyDescent="0.3">
      <c r="A11" s="4" t="s">
        <v>44</v>
      </c>
      <c r="B11" s="9">
        <v>70610.710000000006</v>
      </c>
      <c r="C11" s="9">
        <v>41785</v>
      </c>
      <c r="D11" s="9">
        <v>38210.339999999997</v>
      </c>
      <c r="E11" s="9">
        <v>47993.02</v>
      </c>
      <c r="F11" s="9">
        <v>59616.82</v>
      </c>
      <c r="G11" s="9">
        <f>G9+G10</f>
        <v>70610.709999999992</v>
      </c>
      <c r="H11" s="1">
        <f>G11*(1+Assumptions!$I$5)</f>
        <v>81202.316499999986</v>
      </c>
      <c r="I11" s="1">
        <f>H11*(1+Assumptions!$I$5)</f>
        <v>93382.663974999974</v>
      </c>
      <c r="J11" s="1">
        <f>I11*(1+Assumptions!$I$5)</f>
        <v>107390.06357124996</v>
      </c>
      <c r="K11" s="1">
        <f>J11*(1+Assumptions!$I$5)</f>
        <v>123498.57310693745</v>
      </c>
      <c r="L11" s="1">
        <f>K11*(1+Assumptions!$I$5)</f>
        <v>142023.35907297806</v>
      </c>
      <c r="M11" s="1">
        <f>L11*(1+Assumptions!$I$5)</f>
        <v>163326.86293392474</v>
      </c>
      <c r="N11" s="1">
        <f>M11*(1+Assumptions!$I$5)</f>
        <v>187825.89237401343</v>
      </c>
      <c r="O11" s="1">
        <f>N11*(1+Assumptions!$I$5)</f>
        <v>215999.77623011544</v>
      </c>
      <c r="P11" s="1">
        <f>O11*(1+Assumptions!$I$5)</f>
        <v>248399.74266463274</v>
      </c>
      <c r="Q11" s="1">
        <f>P11*(1+Assumptions!$I$5)</f>
        <v>285659.70406432764</v>
      </c>
    </row>
    <row r="12" spans="1:17" x14ac:dyDescent="0.3">
      <c r="A12" s="6" t="s">
        <v>45</v>
      </c>
      <c r="B12" s="8">
        <v>2405.08</v>
      </c>
      <c r="C12" s="7">
        <v>582.78</v>
      </c>
      <c r="D12" s="8">
        <v>3890.7</v>
      </c>
      <c r="E12" s="13">
        <v>414.46</v>
      </c>
      <c r="F12" s="13">
        <v>763.66</v>
      </c>
      <c r="G12" s="8">
        <v>2405.08</v>
      </c>
      <c r="H12" s="1">
        <v>0</v>
      </c>
      <c r="I12" s="1">
        <v>0</v>
      </c>
      <c r="J12" s="1">
        <v>0</v>
      </c>
      <c r="K12" s="1">
        <v>0</v>
      </c>
    </row>
    <row r="13" spans="1:17" x14ac:dyDescent="0.3">
      <c r="A13" s="2" t="s">
        <v>46</v>
      </c>
      <c r="B13" s="12">
        <v>73015.789999999994</v>
      </c>
      <c r="C13" s="12">
        <v>42367.78</v>
      </c>
      <c r="D13" s="12">
        <v>42101.04</v>
      </c>
      <c r="E13" s="12">
        <v>48407.48</v>
      </c>
      <c r="F13" s="12">
        <v>60380.480000000003</v>
      </c>
      <c r="G13" s="12">
        <f>G11+G12</f>
        <v>73015.789999999994</v>
      </c>
      <c r="H13" s="1">
        <f>H11+H12</f>
        <v>81202.316499999986</v>
      </c>
      <c r="I13" s="1">
        <f t="shared" ref="I13:K13" si="0">I11+I12</f>
        <v>93382.663974999974</v>
      </c>
      <c r="J13" s="1">
        <f t="shared" si="0"/>
        <v>107390.06357124996</v>
      </c>
      <c r="K13" s="1">
        <f t="shared" si="0"/>
        <v>123498.57310693745</v>
      </c>
      <c r="L13" s="1">
        <f t="shared" ref="L13" si="1">L11+L12</f>
        <v>142023.35907297806</v>
      </c>
      <c r="M13" s="1">
        <f t="shared" ref="M13" si="2">M11+M12</f>
        <v>163326.86293392474</v>
      </c>
      <c r="N13" s="1">
        <f t="shared" ref="N13" si="3">N11+N12</f>
        <v>187825.89237401343</v>
      </c>
      <c r="O13" s="1">
        <f t="shared" ref="O13" si="4">O11+O12</f>
        <v>215999.77623011544</v>
      </c>
      <c r="P13" s="1">
        <f t="shared" ref="P13" si="5">P11+P12</f>
        <v>248399.74266463274</v>
      </c>
      <c r="Q13" s="1">
        <f t="shared" ref="Q13" si="6">Q11+Q12</f>
        <v>285659.70406432764</v>
      </c>
    </row>
    <row r="14" spans="1:17" x14ac:dyDescent="0.3">
      <c r="A14" s="31" t="s">
        <v>47</v>
      </c>
      <c r="B14" s="32"/>
      <c r="C14" s="5"/>
      <c r="D14" s="5"/>
      <c r="E14" s="5"/>
      <c r="F14" s="5"/>
      <c r="G14" s="1"/>
      <c r="H14" s="1"/>
    </row>
    <row r="15" spans="1:17" x14ac:dyDescent="0.3">
      <c r="A15" s="6" t="s">
        <v>48</v>
      </c>
      <c r="B15" s="8">
        <v>19840.29</v>
      </c>
      <c r="C15" s="8">
        <v>11707.83</v>
      </c>
      <c r="D15" s="8">
        <v>9700.01</v>
      </c>
      <c r="E15" s="8">
        <v>12496.78</v>
      </c>
      <c r="F15" s="8">
        <v>16877.63</v>
      </c>
      <c r="G15" s="8">
        <v>19840.29</v>
      </c>
      <c r="H15" s="1"/>
    </row>
    <row r="16" spans="1:17" x14ac:dyDescent="0.3">
      <c r="A16" s="6" t="s">
        <v>49</v>
      </c>
      <c r="B16" s="8">
        <v>1807.85</v>
      </c>
      <c r="C16" s="7">
        <v>688.32</v>
      </c>
      <c r="D16" s="13">
        <v>991.54</v>
      </c>
      <c r="E16" s="13">
        <v>881.18</v>
      </c>
      <c r="F16" s="13">
        <v>647.21</v>
      </c>
      <c r="G16" s="8">
        <v>1807.85</v>
      </c>
      <c r="H16" s="1"/>
    </row>
    <row r="17" spans="1:18" ht="22.8" x14ac:dyDescent="0.3">
      <c r="A17" s="6" t="s">
        <v>50</v>
      </c>
      <c r="B17" s="7">
        <v>-554.33000000000004</v>
      </c>
      <c r="C17" s="7">
        <v>-745.17</v>
      </c>
      <c r="D17" s="13">
        <v>142.97</v>
      </c>
      <c r="E17" s="8">
        <v>-1329.65</v>
      </c>
      <c r="F17" s="13">
        <v>545.36</v>
      </c>
      <c r="G17" s="13">
        <v>-554.33000000000004</v>
      </c>
      <c r="H17" s="1"/>
    </row>
    <row r="18" spans="1:18" x14ac:dyDescent="0.3">
      <c r="A18" s="6" t="s">
        <v>51</v>
      </c>
      <c r="B18" s="8">
        <v>5131.0600000000004</v>
      </c>
      <c r="C18" s="8">
        <v>4601.92</v>
      </c>
      <c r="D18" s="8">
        <v>4324.8999999999996</v>
      </c>
      <c r="E18" s="8">
        <v>4605.13</v>
      </c>
      <c r="F18" s="8">
        <v>4828.8500000000004</v>
      </c>
      <c r="G18" s="8">
        <v>5131.0600000000004</v>
      </c>
      <c r="H18" s="1"/>
    </row>
    <row r="19" spans="1:18" x14ac:dyDescent="0.3">
      <c r="A19" s="6" t="s">
        <v>54</v>
      </c>
      <c r="B19" s="8">
        <v>24622.6</v>
      </c>
      <c r="C19" s="8">
        <v>16109.99</v>
      </c>
      <c r="D19" s="8">
        <v>16438.060000000001</v>
      </c>
      <c r="E19" s="8">
        <v>19681.150000000001</v>
      </c>
      <c r="F19" s="8">
        <v>21275.47</v>
      </c>
      <c r="G19" s="8">
        <v>24622.6</v>
      </c>
      <c r="H19" s="1"/>
    </row>
    <row r="20" spans="1:18" x14ac:dyDescent="0.3">
      <c r="A20" s="6" t="s">
        <v>55</v>
      </c>
      <c r="B20" s="7">
        <v>799.7</v>
      </c>
      <c r="C20" s="7">
        <v>586.69000000000005</v>
      </c>
      <c r="D20" s="13">
        <v>598.89</v>
      </c>
      <c r="E20" s="13">
        <v>217.52</v>
      </c>
      <c r="F20" s="13">
        <v>336.66</v>
      </c>
      <c r="G20" s="13">
        <v>799.7</v>
      </c>
      <c r="H20" s="1"/>
    </row>
    <row r="21" spans="1:18" x14ac:dyDescent="0.3">
      <c r="A21" s="2" t="s">
        <v>56</v>
      </c>
      <c r="B21" s="12">
        <f>SUM(B15:B19)-B20</f>
        <v>50047.770000000004</v>
      </c>
      <c r="C21" s="12">
        <f t="shared" ref="C21:F21" si="7">SUM(C15:C19)-C20</f>
        <v>31776.2</v>
      </c>
      <c r="D21" s="12">
        <f t="shared" si="7"/>
        <v>30998.59</v>
      </c>
      <c r="E21" s="12">
        <f t="shared" si="7"/>
        <v>36117.070000000007</v>
      </c>
      <c r="F21" s="12">
        <f t="shared" si="7"/>
        <v>43837.86</v>
      </c>
      <c r="G21" s="12">
        <f>SUM(G15:G19)-G20</f>
        <v>50047.770000000004</v>
      </c>
      <c r="H21" s="1">
        <f>H13*Assumptions!$I$6</f>
        <v>60901.73737499999</v>
      </c>
      <c r="I21" s="1">
        <f>I13*Assumptions!$I$6</f>
        <v>70036.997981249981</v>
      </c>
      <c r="J21" s="1">
        <f>J13*Assumptions!$I$6</f>
        <v>80542.547678437477</v>
      </c>
      <c r="K21" s="1">
        <f>K13*Assumptions!$I$6</f>
        <v>92623.92983020308</v>
      </c>
      <c r="L21" s="1">
        <f>L13*Assumptions!$I$6</f>
        <v>106517.51930473355</v>
      </c>
      <c r="M21" s="1">
        <f>M13*Assumptions!$I$6</f>
        <v>122495.14720044355</v>
      </c>
      <c r="N21" s="1">
        <f>N13*Assumptions!$I$6</f>
        <v>140869.41928051008</v>
      </c>
      <c r="O21" s="1">
        <f>O13*Assumptions!$I$6</f>
        <v>161999.83217258658</v>
      </c>
      <c r="P21" s="1">
        <f>P13*Assumptions!$I$6</f>
        <v>186299.80699847455</v>
      </c>
      <c r="Q21" s="1">
        <f>Q13*Assumptions!$I$6</f>
        <v>214244.77804824573</v>
      </c>
      <c r="R21" s="1"/>
    </row>
    <row r="22" spans="1:18" x14ac:dyDescent="0.3">
      <c r="A22" s="6" t="s">
        <v>52</v>
      </c>
      <c r="B22" s="8">
        <v>2823.58</v>
      </c>
      <c r="C22" s="8">
        <v>1975.95</v>
      </c>
      <c r="D22" s="8">
        <v>1460.27</v>
      </c>
      <c r="E22" s="8">
        <v>2688.55</v>
      </c>
      <c r="F22" s="8">
        <v>2810.62</v>
      </c>
      <c r="G22" s="8">
        <v>2823.58</v>
      </c>
      <c r="H22" s="21">
        <f>Debt!C6</f>
        <v>2294.7424000000001</v>
      </c>
      <c r="I22" s="21">
        <f>Debt!D6</f>
        <v>2254.7424000000001</v>
      </c>
      <c r="J22" s="21">
        <f>Debt!E6</f>
        <v>2214.7424000000001</v>
      </c>
      <c r="K22" s="21">
        <f>Debt!F6</f>
        <v>2174.7424000000001</v>
      </c>
      <c r="L22" s="21">
        <f>Debt!G6</f>
        <v>2134.7424000000001</v>
      </c>
      <c r="M22" s="21">
        <f>Debt!H6</f>
        <v>2094.7424000000001</v>
      </c>
      <c r="N22" s="21">
        <f>Debt!I6</f>
        <v>2054.7424000000001</v>
      </c>
      <c r="O22" s="21">
        <f>Debt!J6</f>
        <v>2014.7423999999999</v>
      </c>
      <c r="P22" s="21">
        <f>Debt!K6</f>
        <v>1974.7423999999999</v>
      </c>
      <c r="Q22" s="21">
        <f>Debt!L6</f>
        <v>1934.7423999999999</v>
      </c>
    </row>
    <row r="23" spans="1:18" x14ac:dyDescent="0.3">
      <c r="A23" s="6" t="s">
        <v>53</v>
      </c>
      <c r="B23" s="8">
        <v>3802.96</v>
      </c>
      <c r="C23" s="8">
        <v>1997.59</v>
      </c>
      <c r="D23" s="8">
        <v>1933.11</v>
      </c>
      <c r="E23" s="8">
        <v>3541.55</v>
      </c>
      <c r="F23" s="8">
        <v>3727.46</v>
      </c>
      <c r="G23" s="8">
        <v>3802.96</v>
      </c>
      <c r="H23" s="21">
        <f>'Fixed Assets'!C7</f>
        <v>8907.5390000000007</v>
      </c>
      <c r="I23" s="21">
        <f>'Fixed Assets'!D7</f>
        <v>9407.5390000000007</v>
      </c>
      <c r="J23" s="21">
        <f>'Fixed Assets'!E7</f>
        <v>9907.5390000000007</v>
      </c>
      <c r="K23" s="21">
        <f>'Fixed Assets'!F7</f>
        <v>10407.539000000001</v>
      </c>
      <c r="L23" s="21">
        <f>'Fixed Assets'!G7</f>
        <v>10907.539000000001</v>
      </c>
      <c r="M23" s="21">
        <f>'Fixed Assets'!H7</f>
        <v>11407.539000000001</v>
      </c>
      <c r="N23" s="21">
        <f>'Fixed Assets'!I7</f>
        <v>11907.539000000001</v>
      </c>
      <c r="O23" s="21">
        <f>'Fixed Assets'!J7</f>
        <v>12407.539000000001</v>
      </c>
      <c r="P23" s="21">
        <f>'Fixed Assets'!K7</f>
        <v>12907.539000000002</v>
      </c>
      <c r="Q23" s="21">
        <f>'Fixed Assets'!L7</f>
        <v>13407.539000000002</v>
      </c>
    </row>
    <row r="24" spans="1:18" ht="24" x14ac:dyDescent="0.3">
      <c r="A24" s="2" t="s">
        <v>163</v>
      </c>
      <c r="B24" s="8">
        <f>B21+B22+B23</f>
        <v>56674.310000000005</v>
      </c>
      <c r="C24" s="8">
        <f>C21+C22+C23</f>
        <v>35749.74</v>
      </c>
      <c r="D24" s="8">
        <f t="shared" ref="D24:G24" si="8">D21+D22+D23</f>
        <v>34391.97</v>
      </c>
      <c r="E24" s="8">
        <f t="shared" si="8"/>
        <v>42347.170000000013</v>
      </c>
      <c r="F24" s="8">
        <f t="shared" si="8"/>
        <v>50375.94</v>
      </c>
      <c r="G24" s="8">
        <f t="shared" si="8"/>
        <v>56674.310000000005</v>
      </c>
      <c r="H24" s="21">
        <f>H21+H22+H23</f>
        <v>72104.01877499999</v>
      </c>
      <c r="I24" s="21">
        <f t="shared" ref="I24:Q24" si="9">I21+I22+I23</f>
        <v>81699.279381249988</v>
      </c>
      <c r="J24" s="21">
        <f t="shared" si="9"/>
        <v>92664.829078437484</v>
      </c>
      <c r="K24" s="21">
        <f t="shared" si="9"/>
        <v>105206.21123020309</v>
      </c>
      <c r="L24" s="21">
        <f t="shared" si="9"/>
        <v>119559.80070473356</v>
      </c>
      <c r="M24" s="21">
        <f t="shared" si="9"/>
        <v>135997.42860044356</v>
      </c>
      <c r="N24" s="21">
        <f t="shared" si="9"/>
        <v>154831.70068051005</v>
      </c>
      <c r="O24" s="21">
        <f t="shared" si="9"/>
        <v>176422.11357258656</v>
      </c>
      <c r="P24" s="21">
        <f t="shared" si="9"/>
        <v>201182.08839847453</v>
      </c>
      <c r="Q24" s="21">
        <f t="shared" si="9"/>
        <v>229587.05944824571</v>
      </c>
    </row>
    <row r="25" spans="1:18" x14ac:dyDescent="0.3">
      <c r="A25" s="6"/>
      <c r="B25" s="8"/>
      <c r="C25" s="8"/>
      <c r="D25" s="8"/>
      <c r="E25" s="8"/>
      <c r="F25" s="8"/>
      <c r="G25" s="8"/>
      <c r="H25" s="1"/>
    </row>
    <row r="26" spans="1:18" x14ac:dyDescent="0.3">
      <c r="A26" s="4"/>
      <c r="B26" s="11">
        <v>43525</v>
      </c>
      <c r="C26" s="11">
        <v>42064</v>
      </c>
      <c r="D26" s="11">
        <v>42430</v>
      </c>
      <c r="E26" s="11">
        <v>42795</v>
      </c>
      <c r="F26" s="11">
        <v>43160</v>
      </c>
      <c r="G26" s="11">
        <v>43525</v>
      </c>
      <c r="H26" s="1"/>
    </row>
    <row r="27" spans="1:18" x14ac:dyDescent="0.3">
      <c r="A27" s="30"/>
      <c r="B27" s="30"/>
      <c r="C27" s="30"/>
      <c r="D27" s="30"/>
      <c r="E27" s="30"/>
      <c r="F27" s="30"/>
      <c r="G27" s="30"/>
      <c r="H27" s="30"/>
    </row>
    <row r="28" spans="1:18" x14ac:dyDescent="0.3">
      <c r="A28" s="6"/>
      <c r="B28" s="7" t="s">
        <v>7</v>
      </c>
      <c r="C28" s="7" t="s">
        <v>7</v>
      </c>
      <c r="D28" s="13" t="s">
        <v>7</v>
      </c>
      <c r="E28" s="13" t="s">
        <v>7</v>
      </c>
      <c r="F28" s="13" t="s">
        <v>7</v>
      </c>
      <c r="G28" s="13" t="s">
        <v>7</v>
      </c>
      <c r="H28" s="1"/>
    </row>
    <row r="29" spans="1:18" x14ac:dyDescent="0.3">
      <c r="A29" s="30"/>
      <c r="B29" s="30"/>
      <c r="C29" s="30"/>
      <c r="D29" s="30"/>
      <c r="E29" s="30"/>
      <c r="F29" s="30"/>
      <c r="G29" s="30"/>
      <c r="H29" s="30"/>
    </row>
    <row r="30" spans="1:18" ht="24" x14ac:dyDescent="0.3">
      <c r="A30" s="2" t="s">
        <v>57</v>
      </c>
      <c r="B30" s="12">
        <v>16341.48</v>
      </c>
      <c r="C30" s="12">
        <v>6618.04</v>
      </c>
      <c r="D30" s="12">
        <v>7709.07</v>
      </c>
      <c r="E30" s="12">
        <v>6060.31</v>
      </c>
      <c r="F30" s="12">
        <v>10004.540000000001</v>
      </c>
      <c r="G30" s="12">
        <f>G13-G21-G22-G23</f>
        <v>16341.479999999989</v>
      </c>
      <c r="H30" s="1">
        <f>H13-H24</f>
        <v>9098.2977249999967</v>
      </c>
      <c r="I30" s="1">
        <f t="shared" ref="I30:K30" si="10">I13-I24</f>
        <v>11683.384593749986</v>
      </c>
      <c r="J30" s="1">
        <f t="shared" si="10"/>
        <v>14725.23449281248</v>
      </c>
      <c r="K30" s="1">
        <f t="shared" si="10"/>
        <v>18292.361876734358</v>
      </c>
      <c r="L30" s="1">
        <f t="shared" ref="L30:Q30" si="11">L13-L24</f>
        <v>22463.558368244499</v>
      </c>
      <c r="M30" s="1">
        <f t="shared" si="11"/>
        <v>27329.434333481186</v>
      </c>
      <c r="N30" s="1">
        <f t="shared" si="11"/>
        <v>32994.191693503381</v>
      </c>
      <c r="O30" s="1">
        <f t="shared" si="11"/>
        <v>39577.662657528883</v>
      </c>
      <c r="P30" s="1">
        <f t="shared" si="11"/>
        <v>47217.654266158206</v>
      </c>
      <c r="Q30" s="1">
        <f t="shared" si="11"/>
        <v>56072.644616081932</v>
      </c>
    </row>
    <row r="31" spans="1:18" x14ac:dyDescent="0.3">
      <c r="A31" s="6" t="s">
        <v>58</v>
      </c>
      <c r="B31" s="7">
        <v>-114.23</v>
      </c>
      <c r="C31" s="8">
        <v>1890.85</v>
      </c>
      <c r="D31" s="8">
        <v>-1582.55</v>
      </c>
      <c r="E31" s="13">
        <v>-703.38</v>
      </c>
      <c r="F31" s="8">
        <v>-3366.29</v>
      </c>
      <c r="G31" s="13">
        <v>-114.23</v>
      </c>
      <c r="H31" s="1"/>
    </row>
    <row r="32" spans="1:18" x14ac:dyDescent="0.3">
      <c r="A32" s="4" t="s">
        <v>59</v>
      </c>
      <c r="B32" s="9">
        <v>16227.25</v>
      </c>
      <c r="C32" s="9">
        <v>8508.89</v>
      </c>
      <c r="D32" s="9">
        <v>6126.52</v>
      </c>
      <c r="E32" s="9">
        <v>5356.93</v>
      </c>
      <c r="F32" s="9">
        <v>6638.25</v>
      </c>
      <c r="G32" s="9">
        <f>G30+G31</f>
        <v>16227.249999999989</v>
      </c>
      <c r="H32" s="1">
        <f>H30</f>
        <v>9098.2977249999967</v>
      </c>
      <c r="I32" s="1">
        <f t="shared" ref="I32:K32" si="12">I30</f>
        <v>11683.384593749986</v>
      </c>
      <c r="J32" s="1">
        <f t="shared" si="12"/>
        <v>14725.23449281248</v>
      </c>
      <c r="K32" s="1">
        <f t="shared" si="12"/>
        <v>18292.361876734358</v>
      </c>
      <c r="L32" s="1">
        <f t="shared" ref="L32:Q32" si="13">L30</f>
        <v>22463.558368244499</v>
      </c>
      <c r="M32" s="1">
        <f t="shared" si="13"/>
        <v>27329.434333481186</v>
      </c>
      <c r="N32" s="1">
        <f t="shared" si="13"/>
        <v>32994.191693503381</v>
      </c>
      <c r="O32" s="1">
        <f t="shared" si="13"/>
        <v>39577.662657528883</v>
      </c>
      <c r="P32" s="1">
        <f t="shared" si="13"/>
        <v>47217.654266158206</v>
      </c>
      <c r="Q32" s="1">
        <f t="shared" si="13"/>
        <v>56072.644616081932</v>
      </c>
    </row>
    <row r="33" spans="1:17" ht="24" hidden="1" customHeight="1" x14ac:dyDescent="0.3">
      <c r="A33" s="31" t="s">
        <v>60</v>
      </c>
      <c r="B33" s="32"/>
      <c r="C33" s="5"/>
      <c r="D33" s="5"/>
      <c r="E33" s="5"/>
      <c r="F33" s="5"/>
      <c r="G33" s="1"/>
      <c r="H33" s="1"/>
    </row>
    <row r="34" spans="1:17" hidden="1" x14ac:dyDescent="0.3">
      <c r="A34" s="6" t="s">
        <v>61</v>
      </c>
      <c r="B34" s="8">
        <v>6297.11</v>
      </c>
      <c r="C34" s="8">
        <v>1908.6</v>
      </c>
      <c r="D34" s="8">
        <v>1433.06</v>
      </c>
      <c r="E34" s="8">
        <v>1400.54</v>
      </c>
      <c r="F34" s="8">
        <v>1586.78</v>
      </c>
      <c r="G34" s="8">
        <v>6297.11</v>
      </c>
      <c r="H34" s="1"/>
    </row>
    <row r="35" spans="1:17" hidden="1" x14ac:dyDescent="0.3">
      <c r="A35" s="6" t="s">
        <v>62</v>
      </c>
      <c r="B35" s="7">
        <v>0</v>
      </c>
      <c r="C35" s="7">
        <v>117.21</v>
      </c>
      <c r="D35" s="13">
        <v>152.16999999999999</v>
      </c>
      <c r="E35" s="13">
        <v>0</v>
      </c>
      <c r="F35" s="13">
        <v>0</v>
      </c>
      <c r="G35" s="13">
        <v>0</v>
      </c>
      <c r="H35" s="1"/>
    </row>
    <row r="36" spans="1:17" hidden="1" x14ac:dyDescent="0.3">
      <c r="A36" s="6" t="s">
        <v>63</v>
      </c>
      <c r="B36" s="7">
        <v>-603.04999999999995</v>
      </c>
      <c r="C36" s="7">
        <v>278.38</v>
      </c>
      <c r="D36" s="13">
        <v>-55.32</v>
      </c>
      <c r="E36" s="13">
        <v>511.84</v>
      </c>
      <c r="F36" s="13">
        <v>881.92</v>
      </c>
      <c r="G36" s="13">
        <v>-603.04999999999995</v>
      </c>
      <c r="H36" s="1"/>
    </row>
    <row r="37" spans="1:17" x14ac:dyDescent="0.3">
      <c r="A37" s="4" t="s">
        <v>64</v>
      </c>
      <c r="B37" s="9">
        <v>5694.06</v>
      </c>
      <c r="C37" s="9">
        <v>2069.77</v>
      </c>
      <c r="D37" s="9">
        <v>1225.57</v>
      </c>
      <c r="E37" s="9">
        <v>1912.38</v>
      </c>
      <c r="F37" s="9">
        <v>2468.6999999999998</v>
      </c>
      <c r="G37" s="9">
        <f>SUM(G34:G36)</f>
        <v>5694.0599999999995</v>
      </c>
      <c r="H37" s="1">
        <f t="shared" ref="H37:Q37" si="14">H32*tr</f>
        <v>2729.4893174999988</v>
      </c>
      <c r="I37" s="1">
        <f t="shared" si="14"/>
        <v>3505.015378124996</v>
      </c>
      <c r="J37" s="1">
        <f t="shared" si="14"/>
        <v>4417.5703478437435</v>
      </c>
      <c r="K37" s="1">
        <f t="shared" si="14"/>
        <v>5487.7085630203073</v>
      </c>
      <c r="L37" s="1">
        <f t="shared" si="14"/>
        <v>6739.06751047335</v>
      </c>
      <c r="M37" s="1">
        <f t="shared" si="14"/>
        <v>8198.8303000443557</v>
      </c>
      <c r="N37" s="1">
        <f t="shared" si="14"/>
        <v>9898.2575080510142</v>
      </c>
      <c r="O37" s="1">
        <f t="shared" si="14"/>
        <v>11873.298797258665</v>
      </c>
      <c r="P37" s="1">
        <f t="shared" si="14"/>
        <v>14165.296279847462</v>
      </c>
      <c r="Q37" s="1">
        <f t="shared" si="14"/>
        <v>16821.793384824578</v>
      </c>
    </row>
    <row r="38" spans="1:17" ht="24" x14ac:dyDescent="0.3">
      <c r="A38" s="4" t="s">
        <v>158</v>
      </c>
      <c r="B38" s="9">
        <v>10533.19</v>
      </c>
      <c r="C38" s="9">
        <v>6439.12</v>
      </c>
      <c r="D38" s="9">
        <v>4900.95</v>
      </c>
      <c r="E38" s="9">
        <v>3444.55</v>
      </c>
      <c r="F38" s="9">
        <v>4169.55</v>
      </c>
      <c r="G38" s="9">
        <f>G32-G37</f>
        <v>10533.18999999999</v>
      </c>
      <c r="H38" s="1">
        <f>H32-H37</f>
        <v>6368.8084074999979</v>
      </c>
      <c r="I38" s="1">
        <f t="shared" ref="I38:K38" si="15">I32-I37</f>
        <v>8178.3692156249908</v>
      </c>
      <c r="J38" s="1">
        <f t="shared" si="15"/>
        <v>10307.664144968738</v>
      </c>
      <c r="K38" s="1">
        <f t="shared" si="15"/>
        <v>12804.65331371405</v>
      </c>
      <c r="L38" s="1">
        <f t="shared" ref="L38" si="16">L32-L37</f>
        <v>15724.49085777115</v>
      </c>
      <c r="M38" s="1">
        <f t="shared" ref="M38" si="17">M32-M37</f>
        <v>19130.60403343683</v>
      </c>
      <c r="N38" s="1">
        <f t="shared" ref="N38" si="18">N32-N37</f>
        <v>23095.934185452366</v>
      </c>
      <c r="O38" s="1">
        <f t="shared" ref="O38" si="19">O32-O37</f>
        <v>27704.363860270219</v>
      </c>
      <c r="P38" s="1">
        <f t="shared" ref="P38" si="20">P32-P37</f>
        <v>33052.357986310744</v>
      </c>
      <c r="Q38" s="1">
        <f t="shared" ref="Q38" si="21">Q32-Q37</f>
        <v>39250.851231257358</v>
      </c>
    </row>
    <row r="39" spans="1:17" x14ac:dyDescent="0.3">
      <c r="A39" s="4" t="s">
        <v>66</v>
      </c>
      <c r="B39" s="9">
        <v>10533.19</v>
      </c>
      <c r="C39" s="9">
        <v>6439.12</v>
      </c>
      <c r="D39" s="9">
        <v>4900.95</v>
      </c>
      <c r="E39" s="9">
        <v>3444.55</v>
      </c>
      <c r="F39" s="9">
        <v>4169.55</v>
      </c>
      <c r="G39" s="9">
        <v>10533.19</v>
      </c>
      <c r="H39" s="1"/>
    </row>
    <row r="40" spans="1:17" x14ac:dyDescent="0.3">
      <c r="A40" s="2" t="s">
        <v>67</v>
      </c>
      <c r="B40" s="12">
        <v>10533.19</v>
      </c>
      <c r="C40" s="12">
        <v>6439.12</v>
      </c>
      <c r="D40" s="12">
        <v>4900.95</v>
      </c>
      <c r="E40" s="12">
        <v>3444.55</v>
      </c>
      <c r="F40" s="12">
        <v>4169.55</v>
      </c>
      <c r="G40" s="12">
        <v>10533.19</v>
      </c>
      <c r="H40" s="1"/>
    </row>
    <row r="41" spans="1:17" x14ac:dyDescent="0.3">
      <c r="A41" s="2"/>
      <c r="B41" s="12"/>
      <c r="C41" s="12"/>
      <c r="D41" s="12"/>
      <c r="E41" s="12"/>
      <c r="F41" s="12"/>
      <c r="G41" s="12"/>
      <c r="H41" s="1"/>
    </row>
    <row r="42" spans="1:17" x14ac:dyDescent="0.3">
      <c r="A42" s="4"/>
      <c r="B42" s="11">
        <v>43525</v>
      </c>
      <c r="C42" s="11">
        <v>42064</v>
      </c>
      <c r="D42" s="11">
        <v>42430</v>
      </c>
      <c r="E42" s="11">
        <v>42795</v>
      </c>
      <c r="F42" s="11">
        <v>43160</v>
      </c>
      <c r="G42" s="11">
        <v>43525</v>
      </c>
      <c r="H42" s="1"/>
    </row>
    <row r="43" spans="1:17" hidden="1" x14ac:dyDescent="0.3">
      <c r="A43" s="30"/>
      <c r="B43" s="30"/>
      <c r="C43" s="30"/>
      <c r="D43" s="30"/>
      <c r="E43" s="30"/>
      <c r="F43" s="30"/>
      <c r="G43" s="30"/>
      <c r="H43" s="30"/>
    </row>
    <row r="44" spans="1:17" x14ac:dyDescent="0.3">
      <c r="A44" s="6"/>
      <c r="B44" s="7" t="s">
        <v>7</v>
      </c>
      <c r="C44" s="7" t="s">
        <v>7</v>
      </c>
      <c r="D44" s="13" t="s">
        <v>7</v>
      </c>
      <c r="E44" s="13" t="s">
        <v>7</v>
      </c>
      <c r="F44" s="13" t="s">
        <v>7</v>
      </c>
      <c r="G44" s="13" t="s">
        <v>7</v>
      </c>
      <c r="H44" s="1"/>
    </row>
    <row r="45" spans="1:17" hidden="1" x14ac:dyDescent="0.3">
      <c r="A45" s="30"/>
      <c r="B45" s="30"/>
      <c r="C45" s="30"/>
      <c r="D45" s="30"/>
      <c r="E45" s="30"/>
      <c r="F45" s="30"/>
      <c r="G45" s="30"/>
      <c r="H45" s="30"/>
    </row>
    <row r="46" spans="1:17" ht="24" hidden="1" customHeight="1" x14ac:dyDescent="0.3">
      <c r="A46" s="31" t="s">
        <v>68</v>
      </c>
      <c r="B46" s="32"/>
      <c r="C46" s="5"/>
      <c r="D46" s="5"/>
      <c r="E46" s="5"/>
      <c r="F46" s="5"/>
      <c r="G46" s="1"/>
      <c r="H46" s="1"/>
    </row>
    <row r="47" spans="1:17" ht="24" hidden="1" customHeight="1" x14ac:dyDescent="0.3">
      <c r="A47" s="31" t="s">
        <v>69</v>
      </c>
      <c r="B47" s="32"/>
      <c r="C47" s="5"/>
      <c r="D47" s="5"/>
      <c r="E47" s="5"/>
      <c r="F47" s="5"/>
      <c r="G47" s="1"/>
      <c r="H47" s="1"/>
    </row>
    <row r="48" spans="1:17" hidden="1" x14ac:dyDescent="0.3">
      <c r="A48" s="6" t="s">
        <v>70</v>
      </c>
      <c r="B48" s="7">
        <v>90.41</v>
      </c>
      <c r="C48" s="7">
        <v>64.489999999999995</v>
      </c>
      <c r="D48" s="13">
        <v>48.67</v>
      </c>
      <c r="E48" s="13">
        <v>31.74</v>
      </c>
      <c r="F48" s="13">
        <v>38.57</v>
      </c>
      <c r="G48" s="13">
        <v>90.41</v>
      </c>
      <c r="H48" s="1"/>
    </row>
    <row r="49" spans="1:17" hidden="1" x14ac:dyDescent="0.3">
      <c r="A49" s="6" t="s">
        <v>71</v>
      </c>
      <c r="B49" s="7">
        <v>90.4</v>
      </c>
      <c r="C49" s="7">
        <v>64.489999999999995</v>
      </c>
      <c r="D49" s="13">
        <v>48.67</v>
      </c>
      <c r="E49" s="13">
        <v>31.74</v>
      </c>
      <c r="F49" s="13">
        <v>38.56</v>
      </c>
      <c r="G49" s="13">
        <v>90.4</v>
      </c>
      <c r="H49" s="1"/>
    </row>
    <row r="50" spans="1:17" ht="36" hidden="1" customHeight="1" x14ac:dyDescent="0.3">
      <c r="A50" s="31" t="s">
        <v>72</v>
      </c>
      <c r="B50" s="32"/>
      <c r="C50" s="5"/>
      <c r="D50" s="5"/>
      <c r="E50" s="5"/>
      <c r="F50" s="5"/>
      <c r="G50" s="1"/>
      <c r="H50" s="1"/>
    </row>
    <row r="51" spans="1:17" hidden="1" x14ac:dyDescent="0.3">
      <c r="A51" s="6" t="s">
        <v>73</v>
      </c>
      <c r="B51" s="7">
        <v>0</v>
      </c>
      <c r="C51" s="8">
        <v>8163.97</v>
      </c>
      <c r="D51" s="8">
        <v>7194.82</v>
      </c>
      <c r="E51" s="13">
        <v>0</v>
      </c>
      <c r="F51" s="13">
        <v>0</v>
      </c>
      <c r="G51" s="13">
        <v>0</v>
      </c>
      <c r="H51" s="1"/>
    </row>
    <row r="52" spans="1:17" hidden="1" x14ac:dyDescent="0.3">
      <c r="A52" s="6" t="s">
        <v>74</v>
      </c>
      <c r="B52" s="7">
        <v>0</v>
      </c>
      <c r="C52" s="8">
        <v>5704.96</v>
      </c>
      <c r="D52" s="8">
        <v>5477.23</v>
      </c>
      <c r="E52" s="13">
        <v>0</v>
      </c>
      <c r="F52" s="13">
        <v>0</v>
      </c>
      <c r="G52" s="13">
        <v>0</v>
      </c>
      <c r="H52" s="1"/>
    </row>
    <row r="53" spans="1:17" ht="24" hidden="1" customHeight="1" x14ac:dyDescent="0.3">
      <c r="A53" s="31" t="s">
        <v>75</v>
      </c>
      <c r="B53" s="32"/>
      <c r="C53" s="5"/>
      <c r="D53" s="5"/>
      <c r="E53" s="5"/>
      <c r="F53" s="5"/>
      <c r="G53" s="1"/>
      <c r="H53" s="1"/>
    </row>
    <row r="54" spans="1:17" hidden="1" x14ac:dyDescent="0.3">
      <c r="A54" s="6" t="s">
        <v>76</v>
      </c>
      <c r="B54" s="7">
        <v>0</v>
      </c>
      <c r="C54" s="7">
        <v>817.19</v>
      </c>
      <c r="D54" s="13">
        <v>661.94</v>
      </c>
      <c r="E54" s="13">
        <v>0</v>
      </c>
      <c r="F54" s="13">
        <v>0</v>
      </c>
      <c r="G54" s="13">
        <v>0</v>
      </c>
      <c r="H54" s="1"/>
    </row>
    <row r="55" spans="1:17" hidden="1" x14ac:dyDescent="0.3">
      <c r="A55" s="6" t="s">
        <v>77</v>
      </c>
      <c r="B55" s="7">
        <v>0</v>
      </c>
      <c r="C55" s="8">
        <v>3384.85</v>
      </c>
      <c r="D55" s="8">
        <v>3685.78</v>
      </c>
      <c r="E55" s="13">
        <v>0</v>
      </c>
      <c r="F55" s="13">
        <v>0</v>
      </c>
      <c r="G55" s="13">
        <v>0</v>
      </c>
      <c r="H55" s="1"/>
    </row>
    <row r="56" spans="1:17" ht="36" customHeight="1" x14ac:dyDescent="0.3">
      <c r="A56" s="31" t="s">
        <v>78</v>
      </c>
      <c r="B56" s="32"/>
      <c r="C56" s="5"/>
      <c r="D56" s="5"/>
      <c r="E56" s="5"/>
      <c r="F56" s="5"/>
      <c r="G56" s="1"/>
      <c r="H56" s="1"/>
    </row>
    <row r="57" spans="1:17" x14ac:dyDescent="0.3">
      <c r="A57" s="6" t="s">
        <v>79</v>
      </c>
      <c r="B57" s="8">
        <v>1145.92</v>
      </c>
      <c r="C57" s="7">
        <v>776.97</v>
      </c>
      <c r="D57" s="13">
        <v>776.97</v>
      </c>
      <c r="E57" s="8">
        <v>1043.07</v>
      </c>
      <c r="F57" s="8">
        <v>1237.3499999999999</v>
      </c>
      <c r="G57" s="8">
        <v>1145.92</v>
      </c>
      <c r="H57" s="1">
        <f>H38*Assumptions!$I$4</f>
        <v>955.32126112499964</v>
      </c>
      <c r="I57" s="1">
        <f>I38*Assumptions!$I$4</f>
        <v>1226.7553823437486</v>
      </c>
      <c r="J57" s="1">
        <f>J38*Assumptions!$I$4</f>
        <v>1546.1496217453107</v>
      </c>
      <c r="K57" s="1">
        <f>K38*Assumptions!$I$4</f>
        <v>1920.6979970571074</v>
      </c>
      <c r="L57" s="1">
        <f>L38*Assumptions!$I$4</f>
        <v>2358.6736286656724</v>
      </c>
      <c r="M57" s="1">
        <f>M38*Assumptions!$I$4</f>
        <v>2869.5906050155245</v>
      </c>
      <c r="N57" s="1">
        <f>N38*Assumptions!$I$4</f>
        <v>3464.390127817855</v>
      </c>
      <c r="O57" s="1">
        <f>O38*Assumptions!$I$4</f>
        <v>4155.6545790405326</v>
      </c>
      <c r="P57" s="1">
        <f>P38*Assumptions!$I$4</f>
        <v>4957.8536979466116</v>
      </c>
      <c r="Q57" s="1">
        <f>Q38*Assumptions!$I$4</f>
        <v>5887.6276846886039</v>
      </c>
    </row>
    <row r="58" spans="1:17" hidden="1" x14ac:dyDescent="0.3">
      <c r="A58" s="6" t="s">
        <v>80</v>
      </c>
      <c r="B58" s="7">
        <v>224.86</v>
      </c>
      <c r="C58" s="7">
        <v>153.02000000000001</v>
      </c>
      <c r="D58" s="13">
        <v>149.30000000000001</v>
      </c>
      <c r="E58" s="13">
        <v>55.65</v>
      </c>
      <c r="F58" s="13">
        <v>95.71</v>
      </c>
      <c r="G58" s="13">
        <v>224.86</v>
      </c>
      <c r="H58" s="1"/>
    </row>
    <row r="59" spans="1:17" hidden="1" x14ac:dyDescent="0.3">
      <c r="A59" s="6" t="s">
        <v>81</v>
      </c>
      <c r="B59" s="7">
        <v>130</v>
      </c>
      <c r="C59" s="7">
        <v>80</v>
      </c>
      <c r="D59" s="13">
        <v>80</v>
      </c>
      <c r="E59" s="13">
        <v>100</v>
      </c>
      <c r="F59" s="13">
        <v>100</v>
      </c>
      <c r="G59" s="13">
        <v>130</v>
      </c>
      <c r="H59" s="1"/>
    </row>
    <row r="61" spans="1:17" x14ac:dyDescent="0.3">
      <c r="A61" s="18" t="s">
        <v>164</v>
      </c>
      <c r="B61" s="19">
        <f>B38-B57</f>
        <v>9387.27</v>
      </c>
      <c r="C61" s="19">
        <f t="shared" ref="C61:K61" si="22">C38-C57</f>
        <v>5662.15</v>
      </c>
      <c r="D61" s="19">
        <f t="shared" si="22"/>
        <v>4123.9799999999996</v>
      </c>
      <c r="E61" s="19">
        <f t="shared" si="22"/>
        <v>2401.4800000000005</v>
      </c>
      <c r="F61" s="19">
        <f t="shared" si="22"/>
        <v>2932.2000000000003</v>
      </c>
      <c r="G61" s="19">
        <f t="shared" si="22"/>
        <v>9387.2699999999895</v>
      </c>
      <c r="H61" s="19">
        <f t="shared" si="22"/>
        <v>5413.4871463749987</v>
      </c>
      <c r="I61" s="19">
        <f t="shared" si="22"/>
        <v>6951.6138332812425</v>
      </c>
      <c r="J61" s="19">
        <f t="shared" si="22"/>
        <v>8761.5145232234263</v>
      </c>
      <c r="K61" s="19">
        <f t="shared" si="22"/>
        <v>10883.955316656942</v>
      </c>
      <c r="L61" s="19">
        <f t="shared" ref="L61:Q61" si="23">L38-L57</f>
        <v>13365.817229105478</v>
      </c>
      <c r="M61" s="19">
        <f t="shared" si="23"/>
        <v>16261.013428421305</v>
      </c>
      <c r="N61" s="19">
        <f t="shared" si="23"/>
        <v>19631.54405763451</v>
      </c>
      <c r="O61" s="19">
        <f t="shared" si="23"/>
        <v>23548.709281229687</v>
      </c>
      <c r="P61" s="19">
        <f t="shared" si="23"/>
        <v>28094.504288364133</v>
      </c>
      <c r="Q61" s="19">
        <f t="shared" si="23"/>
        <v>33363.223546568755</v>
      </c>
    </row>
  </sheetData>
  <mergeCells count="14">
    <mergeCell ref="A53:B53"/>
    <mergeCell ref="A56:B56"/>
    <mergeCell ref="A33:B33"/>
    <mergeCell ref="A43:H43"/>
    <mergeCell ref="A45:H45"/>
    <mergeCell ref="A46:B46"/>
    <mergeCell ref="A47:B47"/>
    <mergeCell ref="A50:B50"/>
    <mergeCell ref="A29:H29"/>
    <mergeCell ref="A3:H3"/>
    <mergeCell ref="A5:H5"/>
    <mergeCell ref="A6:B6"/>
    <mergeCell ref="A14:B14"/>
    <mergeCell ref="A27:H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C22" sqref="C22"/>
    </sheetView>
  </sheetViews>
  <sheetFormatPr defaultRowHeight="14.4" x14ac:dyDescent="0.3"/>
  <cols>
    <col min="1" max="1" width="30.109375" bestFit="1" customWidth="1"/>
  </cols>
  <sheetData>
    <row r="1" spans="1:9" x14ac:dyDescent="0.3">
      <c r="A1" s="33"/>
      <c r="B1" s="11"/>
      <c r="C1" s="11">
        <v>42064</v>
      </c>
      <c r="D1" s="11">
        <v>42430</v>
      </c>
      <c r="E1" s="11">
        <v>42795</v>
      </c>
      <c r="F1" s="11">
        <v>43160</v>
      </c>
      <c r="G1" s="11">
        <v>43525</v>
      </c>
      <c r="I1" s="33" t="s">
        <v>159</v>
      </c>
    </row>
    <row r="2" spans="1:9" x14ac:dyDescent="0.3">
      <c r="A2" s="33"/>
      <c r="I2" s="33"/>
    </row>
    <row r="3" spans="1:9" x14ac:dyDescent="0.3">
      <c r="A3" t="s">
        <v>157</v>
      </c>
      <c r="C3">
        <f>PnL!C37/PnL!C32</f>
        <v>0.24324794420893914</v>
      </c>
      <c r="D3">
        <f>PnL!D37/PnL!D32</f>
        <v>0.20004341779672632</v>
      </c>
      <c r="E3">
        <f>PnL!E37/PnL!E32</f>
        <v>0.35699178447356977</v>
      </c>
      <c r="F3">
        <f>PnL!F37/PnL!F32</f>
        <v>0.37189018190035023</v>
      </c>
      <c r="G3">
        <f>PnL!G37/PnL!G32</f>
        <v>0.35089494523101594</v>
      </c>
      <c r="I3">
        <v>0.3</v>
      </c>
    </row>
    <row r="4" spans="1:9" x14ac:dyDescent="0.3">
      <c r="A4" t="s">
        <v>160</v>
      </c>
      <c r="C4">
        <f>PnL!C57/PnL!C40</f>
        <v>0.12066400377691362</v>
      </c>
      <c r="D4">
        <f>PnL!D57/PnL!D40</f>
        <v>0.15853456982829861</v>
      </c>
      <c r="E4">
        <f>PnL!E57/PnL!E40</f>
        <v>0.30281749430259391</v>
      </c>
      <c r="F4">
        <f>PnL!F57/PnL!F40</f>
        <v>0.29675864301903082</v>
      </c>
      <c r="G4">
        <f>PnL!G57/PnL!G40</f>
        <v>0.10879135380639673</v>
      </c>
      <c r="I4" s="17">
        <v>0.15</v>
      </c>
    </row>
    <row r="5" spans="1:9" x14ac:dyDescent="0.3">
      <c r="A5" t="s">
        <v>161</v>
      </c>
      <c r="D5">
        <f>(PnL!D11-PnL!C11)/PnL!C11</f>
        <v>-8.5548881177456113E-2</v>
      </c>
      <c r="E5">
        <f>(PnL!E11-PnL!D11)/PnL!D11</f>
        <v>0.25602179933494446</v>
      </c>
      <c r="F5">
        <f>(PnL!F11-PnL!E11)/PnL!E11</f>
        <v>0.2421977195850564</v>
      </c>
      <c r="G5">
        <f>(PnL!G11-PnL!F11)/PnL!F11</f>
        <v>0.18440919861206942</v>
      </c>
      <c r="I5" s="17">
        <v>0.15</v>
      </c>
    </row>
    <row r="6" spans="1:9" x14ac:dyDescent="0.3">
      <c r="A6" t="s">
        <v>162</v>
      </c>
      <c r="C6">
        <f>PnL!C21/PnL!C13</f>
        <v>0.75000861503718164</v>
      </c>
      <c r="D6">
        <f>PnL!D21/PnL!D13</f>
        <v>0.736290362423351</v>
      </c>
      <c r="E6">
        <f>PnL!E21/PnL!E13</f>
        <v>0.74610514738631317</v>
      </c>
      <c r="F6">
        <f>PnL!F21/PnL!F13</f>
        <v>0.72602702065303226</v>
      </c>
      <c r="G6">
        <f>PnL!G21/PnL!G13</f>
        <v>0.68543762931278296</v>
      </c>
      <c r="I6" s="17">
        <v>0.75</v>
      </c>
    </row>
    <row r="7" spans="1:9" x14ac:dyDescent="0.3">
      <c r="A7" t="s">
        <v>168</v>
      </c>
      <c r="I7" s="22">
        <v>-500</v>
      </c>
    </row>
    <row r="8" spans="1:9" x14ac:dyDescent="0.3">
      <c r="A8" t="s">
        <v>169</v>
      </c>
      <c r="C8">
        <f>PnL!C22/'Balance Sheet'!D14</f>
        <v>7.5388445360116754E-2</v>
      </c>
      <c r="D8">
        <f>PnL!D22/'Balance Sheet'!E14</f>
        <v>4.7114922053740439E-2</v>
      </c>
      <c r="E8">
        <f>PnL!E22/'Balance Sheet'!F14</f>
        <v>8.8998193918111937E-2</v>
      </c>
      <c r="F8">
        <f>PnL!F22/'Balance Sheet'!G14</f>
        <v>0.10215298996904465</v>
      </c>
      <c r="G8">
        <f>PnL!G22/'Balance Sheet'!H14</f>
        <v>9.7585977601654508E-2</v>
      </c>
      <c r="H8">
        <f>AVERAGE(C8:G8)</f>
        <v>8.2248105780533654E-2</v>
      </c>
      <c r="I8" s="17">
        <v>0.08</v>
      </c>
    </row>
    <row r="9" spans="1:9" x14ac:dyDescent="0.3">
      <c r="A9" t="s">
        <v>181</v>
      </c>
      <c r="I9" s="23">
        <v>5000</v>
      </c>
    </row>
    <row r="10" spans="1:9" x14ac:dyDescent="0.3">
      <c r="A10" t="s">
        <v>188</v>
      </c>
      <c r="I10" s="17">
        <v>0.1</v>
      </c>
    </row>
    <row r="11" spans="1:9" x14ac:dyDescent="0.3">
      <c r="A11" t="s">
        <v>22</v>
      </c>
      <c r="I11" s="23">
        <v>2000</v>
      </c>
    </row>
    <row r="12" spans="1:9" x14ac:dyDescent="0.3">
      <c r="A12" t="s">
        <v>189</v>
      </c>
      <c r="I12" s="17">
        <v>0.05</v>
      </c>
    </row>
    <row r="13" spans="1:9" x14ac:dyDescent="0.3">
      <c r="A13" t="s">
        <v>190</v>
      </c>
      <c r="C13">
        <f>'Balance Sheet'!D26/PnL!C11</f>
        <v>0.19246140959674524</v>
      </c>
      <c r="D13">
        <f>'Balance Sheet'!E26/PnL!D11</f>
        <v>0.18538987090928793</v>
      </c>
      <c r="E13">
        <f>'Balance Sheet'!F26/PnL!E11</f>
        <v>0.21329872552300316</v>
      </c>
      <c r="F13">
        <f>'Balance Sheet'!G26/PnL!F11</f>
        <v>0.18490436088338827</v>
      </c>
      <c r="G13">
        <f>'Balance Sheet'!H26/PnL!G11</f>
        <v>0.15939989840068172</v>
      </c>
      <c r="I13" s="17">
        <v>0.2</v>
      </c>
    </row>
    <row r="14" spans="1:9" x14ac:dyDescent="0.3">
      <c r="A14" t="s">
        <v>191</v>
      </c>
      <c r="C14">
        <f>'Balance Sheet'!D27/PnL!C11</f>
        <v>1.1761636951058993E-2</v>
      </c>
      <c r="D14">
        <f>'Balance Sheet'!E27/PnL!D11</f>
        <v>1.6560962294499344E-2</v>
      </c>
      <c r="E14">
        <f>'Balance Sheet'!F27/PnL!E11</f>
        <v>4.1808579664292848E-2</v>
      </c>
      <c r="F14">
        <f>'Balance Sheet'!G27/PnL!F11</f>
        <v>3.1461423135282961E-2</v>
      </c>
      <c r="G14">
        <f>'Balance Sheet'!H27/PnL!G11</f>
        <v>1.9303587232021885E-2</v>
      </c>
      <c r="I14" s="17">
        <v>0.03</v>
      </c>
    </row>
    <row r="15" spans="1:9" x14ac:dyDescent="0.3">
      <c r="A15" t="s">
        <v>194</v>
      </c>
      <c r="C15">
        <f>'Balance Sheet'!D30/PnL!C11</f>
        <v>0.12481895417015676</v>
      </c>
      <c r="D15">
        <f>'Balance Sheet'!E30/PnL!D11</f>
        <v>0.14093881394407901</v>
      </c>
      <c r="E15">
        <f>'Balance Sheet'!F30/PnL!E11</f>
        <v>0.12199503177753765</v>
      </c>
      <c r="F15">
        <f>'Balance Sheet'!G30/PnL!F11</f>
        <v>9.7946854595733213E-2</v>
      </c>
      <c r="G15">
        <f>'Balance Sheet'!H30/PnL!G11</f>
        <v>0.10957034704791951</v>
      </c>
      <c r="I15" s="17">
        <v>0.1</v>
      </c>
    </row>
    <row r="16" spans="1:9" x14ac:dyDescent="0.3">
      <c r="A16" t="s">
        <v>192</v>
      </c>
      <c r="C16">
        <f>'Balance Sheet'!D32/PnL!C11</f>
        <v>0.43679909058274502</v>
      </c>
      <c r="D16">
        <f>'Balance Sheet'!E32/PnL!D11</f>
        <v>0.44083433960545765</v>
      </c>
      <c r="E16">
        <f>'Balance Sheet'!F32/PnL!E11</f>
        <v>0.60158789757343889</v>
      </c>
      <c r="F16">
        <f>'Balance Sheet'!G32/PnL!F11</f>
        <v>0.56006308286822415</v>
      </c>
      <c r="G16">
        <f>'Balance Sheet'!H32/PnL!G11</f>
        <v>0.50152391896356807</v>
      </c>
      <c r="I16" s="17">
        <v>0.5</v>
      </c>
    </row>
    <row r="17" spans="1:9" x14ac:dyDescent="0.3">
      <c r="A17" t="s">
        <v>193</v>
      </c>
      <c r="C17">
        <f>'Balance Sheet'!D34/PnL!C11</f>
        <v>0.10892257987316023</v>
      </c>
      <c r="D17">
        <f>'Balance Sheet'!E34/PnL!D11</f>
        <v>0.12805983930004289</v>
      </c>
      <c r="E17">
        <f>'Balance Sheet'!F34/PnL!E11</f>
        <v>5.6786174322849457E-2</v>
      </c>
      <c r="F17">
        <f>'Balance Sheet'!G34/PnL!F11</f>
        <v>4.5230356131038187E-2</v>
      </c>
      <c r="G17">
        <f>'Balance Sheet'!H34/PnL!G11</f>
        <v>3.8186983249424912E-2</v>
      </c>
      <c r="I17" s="17">
        <v>0.05</v>
      </c>
    </row>
    <row r="19" spans="1:9" x14ac:dyDescent="0.3">
      <c r="A19" t="s">
        <v>206</v>
      </c>
      <c r="I19" s="17">
        <v>0.1717937603746843</v>
      </c>
    </row>
    <row r="20" spans="1:9" x14ac:dyDescent="0.3">
      <c r="A20" t="s">
        <v>208</v>
      </c>
      <c r="I20" s="17">
        <v>0.02</v>
      </c>
    </row>
    <row r="22" spans="1:9" x14ac:dyDescent="0.3">
      <c r="A22" t="s">
        <v>222</v>
      </c>
      <c r="C22">
        <f>CAPM!C3-CAPM!C4</f>
        <v>0</v>
      </c>
    </row>
  </sheetData>
  <mergeCells count="2">
    <mergeCell ref="A1:A2"/>
    <mergeCell ref="I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>
      <selection activeCell="C12" sqref="C12"/>
    </sheetView>
  </sheetViews>
  <sheetFormatPr defaultRowHeight="14.4" x14ac:dyDescent="0.3"/>
  <sheetData>
    <row r="1" spans="1:11" ht="48" x14ac:dyDescent="0.3">
      <c r="A1" s="2" t="s">
        <v>82</v>
      </c>
      <c r="B1" s="3" t="s">
        <v>1</v>
      </c>
    </row>
    <row r="2" spans="1:11" x14ac:dyDescent="0.3">
      <c r="A2" s="4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"/>
      <c r="H2" s="1"/>
      <c r="I2" s="1"/>
      <c r="J2" s="1"/>
      <c r="K2" s="1"/>
    </row>
    <row r="3" spans="1:1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3">
      <c r="A4" s="6"/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1"/>
      <c r="H4" s="1"/>
      <c r="I4" s="1"/>
      <c r="J4" s="1"/>
      <c r="K4" s="1"/>
    </row>
    <row r="5" spans="1:1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36" x14ac:dyDescent="0.3">
      <c r="A6" s="4" t="s">
        <v>83</v>
      </c>
      <c r="B6" s="5">
        <v>16227.25</v>
      </c>
      <c r="C6" s="5">
        <v>6638.25</v>
      </c>
      <c r="D6" s="5">
        <v>5356.93</v>
      </c>
      <c r="E6" s="5">
        <v>6126.52</v>
      </c>
      <c r="F6" s="5">
        <v>8508.89</v>
      </c>
      <c r="G6" s="1"/>
      <c r="H6" s="1"/>
      <c r="I6" s="1"/>
      <c r="J6" s="1"/>
      <c r="K6" s="1"/>
    </row>
    <row r="7" spans="1:11" ht="45.6" x14ac:dyDescent="0.3">
      <c r="A7" s="6" t="s">
        <v>84</v>
      </c>
      <c r="B7" s="7">
        <v>15193.11</v>
      </c>
      <c r="C7" s="7">
        <v>11791.45</v>
      </c>
      <c r="D7" s="7">
        <v>11166.64</v>
      </c>
      <c r="E7" s="7">
        <v>7567.68</v>
      </c>
      <c r="F7" s="7">
        <v>4851.8900000000003</v>
      </c>
      <c r="G7" s="1"/>
      <c r="H7" s="1"/>
      <c r="I7" s="1"/>
      <c r="J7" s="1"/>
      <c r="K7" s="1"/>
    </row>
    <row r="8" spans="1:11" ht="34.200000000000003" x14ac:dyDescent="0.3">
      <c r="A8" s="6" t="s">
        <v>85</v>
      </c>
      <c r="B8" s="34">
        <v>-16349.98</v>
      </c>
      <c r="C8" s="34">
        <v>-12273.35</v>
      </c>
      <c r="D8" s="34">
        <v>-3956.4</v>
      </c>
      <c r="E8" s="34">
        <v>-5405.22</v>
      </c>
      <c r="F8" s="34">
        <v>-2382.1</v>
      </c>
      <c r="G8" s="1"/>
      <c r="H8" s="1"/>
      <c r="I8" s="1"/>
      <c r="J8" s="1"/>
      <c r="K8" s="1"/>
    </row>
    <row r="9" spans="1:11" ht="22.8" x14ac:dyDescent="0.3">
      <c r="A9" s="6" t="s">
        <v>86</v>
      </c>
      <c r="B9" s="34"/>
      <c r="C9" s="34"/>
      <c r="D9" s="34"/>
      <c r="E9" s="34"/>
      <c r="F9" s="34"/>
      <c r="G9" s="1"/>
      <c r="H9" s="1"/>
      <c r="I9" s="1"/>
      <c r="J9" s="1"/>
      <c r="K9" s="1"/>
    </row>
    <row r="10" spans="1:11" ht="57" x14ac:dyDescent="0.3">
      <c r="A10" s="6" t="s">
        <v>87</v>
      </c>
      <c r="B10" s="7">
        <v>-2887.17</v>
      </c>
      <c r="C10" s="7">
        <v>4165.58</v>
      </c>
      <c r="D10" s="7">
        <v>-7279.71</v>
      </c>
      <c r="E10" s="7">
        <v>-1631.04</v>
      </c>
      <c r="F10" s="7">
        <v>-2957.21</v>
      </c>
      <c r="G10" s="1"/>
      <c r="H10" s="1"/>
      <c r="I10" s="1"/>
      <c r="J10" s="1"/>
      <c r="K10" s="1"/>
    </row>
    <row r="11" spans="1:11" ht="84" x14ac:dyDescent="0.3">
      <c r="A11" s="4" t="s">
        <v>88</v>
      </c>
      <c r="B11" s="5">
        <v>-4044.04</v>
      </c>
      <c r="C11" s="5">
        <v>3683.68</v>
      </c>
      <c r="D11" s="5">
        <v>-69.47</v>
      </c>
      <c r="E11" s="5">
        <v>531.29999999999995</v>
      </c>
      <c r="F11" s="5">
        <v>-487.4</v>
      </c>
      <c r="G11" s="1"/>
      <c r="H11" s="1"/>
      <c r="I11" s="1"/>
      <c r="J11" s="1"/>
      <c r="K11" s="1"/>
    </row>
    <row r="12" spans="1:11" ht="57" x14ac:dyDescent="0.3">
      <c r="A12" s="6" t="s">
        <v>89</v>
      </c>
      <c r="B12" s="7">
        <v>4588.8900000000003</v>
      </c>
      <c r="C12" s="7">
        <v>905.21</v>
      </c>
      <c r="D12" s="7">
        <v>974.68</v>
      </c>
      <c r="E12" s="7">
        <v>421.93</v>
      </c>
      <c r="F12" s="7">
        <v>909.33</v>
      </c>
      <c r="G12" s="1"/>
      <c r="H12" s="1"/>
      <c r="I12" s="1"/>
      <c r="J12" s="1"/>
      <c r="K12" s="1"/>
    </row>
    <row r="13" spans="1:11" ht="57" x14ac:dyDescent="0.3">
      <c r="A13" s="6" t="s">
        <v>90</v>
      </c>
      <c r="B13" s="7">
        <v>544.85</v>
      </c>
      <c r="C13" s="7">
        <v>4588.8900000000003</v>
      </c>
      <c r="D13" s="7">
        <v>905.21</v>
      </c>
      <c r="E13" s="7">
        <v>953.23</v>
      </c>
      <c r="F13" s="7">
        <v>421.93</v>
      </c>
      <c r="G13" s="1"/>
      <c r="H13" s="1"/>
      <c r="I13" s="1"/>
      <c r="J13" s="1"/>
      <c r="K13" s="1"/>
    </row>
  </sheetData>
  <mergeCells count="7">
    <mergeCell ref="A3:K3"/>
    <mergeCell ref="A5:K5"/>
    <mergeCell ref="B8:B9"/>
    <mergeCell ref="C8:C9"/>
    <mergeCell ref="D8:D9"/>
    <mergeCell ref="E8:E9"/>
    <mergeCell ref="F8:F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"/>
  <sheetViews>
    <sheetView workbookViewId="0">
      <selection activeCell="C28" sqref="C28"/>
    </sheetView>
  </sheetViews>
  <sheetFormatPr defaultRowHeight="14.4" x14ac:dyDescent="0.3"/>
  <cols>
    <col min="1" max="1" width="22.5546875" bestFit="1" customWidth="1"/>
  </cols>
  <sheetData>
    <row r="1" spans="1:12" x14ac:dyDescent="0.3">
      <c r="A1" s="11"/>
      <c r="B1" s="11">
        <v>43525</v>
      </c>
      <c r="C1" s="11">
        <v>43891</v>
      </c>
      <c r="D1" s="11">
        <v>44256</v>
      </c>
      <c r="E1" s="11">
        <v>44621</v>
      </c>
      <c r="F1" s="11">
        <v>44986</v>
      </c>
      <c r="G1" s="11">
        <v>45352</v>
      </c>
      <c r="H1" s="11">
        <v>45717</v>
      </c>
      <c r="I1" s="11">
        <v>46082</v>
      </c>
      <c r="J1" s="11">
        <v>46447</v>
      </c>
      <c r="K1" s="11">
        <v>46813</v>
      </c>
      <c r="L1" s="11">
        <v>47178</v>
      </c>
    </row>
    <row r="2" spans="1:12" x14ac:dyDescent="0.3">
      <c r="A2" t="s">
        <v>165</v>
      </c>
      <c r="C2" s="19">
        <f>B4</f>
        <v>28934.28</v>
      </c>
      <c r="D2" s="19">
        <f t="shared" ref="D2:K2" si="0">C4</f>
        <v>28434.28</v>
      </c>
      <c r="E2" s="19">
        <f t="shared" si="0"/>
        <v>27934.28</v>
      </c>
      <c r="F2" s="19">
        <f t="shared" si="0"/>
        <v>27434.28</v>
      </c>
      <c r="G2" s="19">
        <f t="shared" si="0"/>
        <v>26934.28</v>
      </c>
      <c r="H2" s="19">
        <f t="shared" si="0"/>
        <v>26434.28</v>
      </c>
      <c r="I2" s="19">
        <f t="shared" si="0"/>
        <v>25934.28</v>
      </c>
      <c r="J2" s="19">
        <f t="shared" si="0"/>
        <v>25434.28</v>
      </c>
      <c r="K2" s="19">
        <f t="shared" si="0"/>
        <v>24934.28</v>
      </c>
      <c r="L2" s="19">
        <f>K4</f>
        <v>24434.28</v>
      </c>
    </row>
    <row r="3" spans="1:12" x14ac:dyDescent="0.3">
      <c r="A3" t="s">
        <v>166</v>
      </c>
      <c r="C3" s="22">
        <f>Assumptions!$I$7</f>
        <v>-500</v>
      </c>
      <c r="D3" s="22">
        <f>Assumptions!$I$7</f>
        <v>-500</v>
      </c>
      <c r="E3" s="22">
        <f>Assumptions!$I$7</f>
        <v>-500</v>
      </c>
      <c r="F3" s="22">
        <f>Assumptions!$I$7</f>
        <v>-500</v>
      </c>
      <c r="G3" s="22">
        <f>Assumptions!$I$7</f>
        <v>-500</v>
      </c>
      <c r="H3" s="22">
        <f>Assumptions!$I$7</f>
        <v>-500</v>
      </c>
      <c r="I3" s="22">
        <f>Assumptions!$I$7</f>
        <v>-500</v>
      </c>
      <c r="J3" s="22">
        <f>Assumptions!$I$7</f>
        <v>-500</v>
      </c>
      <c r="K3" s="22">
        <f>Assumptions!$I$7</f>
        <v>-500</v>
      </c>
      <c r="L3" s="22">
        <f>Assumptions!$I$7</f>
        <v>-500</v>
      </c>
    </row>
    <row r="4" spans="1:12" x14ac:dyDescent="0.3">
      <c r="A4" t="s">
        <v>167</v>
      </c>
      <c r="B4" s="19">
        <f>'Balance Sheet'!H14</f>
        <v>28934.28</v>
      </c>
      <c r="C4" s="19">
        <f>C2+C3</f>
        <v>28434.28</v>
      </c>
      <c r="D4" s="19">
        <f t="shared" ref="D4:J4" si="1">D2+D3</f>
        <v>27934.28</v>
      </c>
      <c r="E4" s="19">
        <f t="shared" si="1"/>
        <v>27434.28</v>
      </c>
      <c r="F4" s="19">
        <f t="shared" si="1"/>
        <v>26934.28</v>
      </c>
      <c r="G4" s="19">
        <f t="shared" si="1"/>
        <v>26434.28</v>
      </c>
      <c r="H4" s="19">
        <f t="shared" si="1"/>
        <v>25934.28</v>
      </c>
      <c r="I4" s="19">
        <f t="shared" si="1"/>
        <v>25434.28</v>
      </c>
      <c r="J4" s="19">
        <f t="shared" si="1"/>
        <v>24934.28</v>
      </c>
      <c r="K4" s="19">
        <f>K2+K3</f>
        <v>24434.28</v>
      </c>
      <c r="L4" s="19">
        <f>L2+L3</f>
        <v>23934.28</v>
      </c>
    </row>
    <row r="6" spans="1:12" x14ac:dyDescent="0.3">
      <c r="A6" t="s">
        <v>170</v>
      </c>
      <c r="C6" s="19">
        <f t="shared" ref="C6:L6" si="2">AVERAGE(C2,C4)*ir</f>
        <v>2294.7424000000001</v>
      </c>
      <c r="D6" s="19">
        <f t="shared" si="2"/>
        <v>2254.7424000000001</v>
      </c>
      <c r="E6" s="19">
        <f t="shared" si="2"/>
        <v>2214.7424000000001</v>
      </c>
      <c r="F6" s="19">
        <f t="shared" si="2"/>
        <v>2174.7424000000001</v>
      </c>
      <c r="G6" s="19">
        <f t="shared" si="2"/>
        <v>2134.7424000000001</v>
      </c>
      <c r="H6" s="19">
        <f t="shared" si="2"/>
        <v>2094.7424000000001</v>
      </c>
      <c r="I6" s="19">
        <f t="shared" si="2"/>
        <v>2054.7424000000001</v>
      </c>
      <c r="J6" s="19">
        <f t="shared" si="2"/>
        <v>2014.7423999999999</v>
      </c>
      <c r="K6" s="19">
        <f t="shared" si="2"/>
        <v>1974.7423999999999</v>
      </c>
      <c r="L6" s="19">
        <f t="shared" si="2"/>
        <v>1934.7423999999999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CD86-34B6-49DE-881D-0875AD4CAFBB}">
  <dimension ref="A1:K20"/>
  <sheetViews>
    <sheetView tabSelected="1" workbookViewId="0">
      <selection activeCell="A22" sqref="A22:B22"/>
    </sheetView>
  </sheetViews>
  <sheetFormatPr defaultRowHeight="14.4" x14ac:dyDescent="0.3"/>
  <cols>
    <col min="1" max="1" width="26.109375" bestFit="1" customWidth="1"/>
  </cols>
  <sheetData>
    <row r="1" spans="1:11" x14ac:dyDescent="0.3">
      <c r="B1" s="11">
        <v>43891</v>
      </c>
      <c r="C1" s="11">
        <v>44256</v>
      </c>
      <c r="D1" s="11">
        <v>44621</v>
      </c>
      <c r="E1" s="11">
        <v>44986</v>
      </c>
      <c r="F1" s="11">
        <v>45352</v>
      </c>
      <c r="G1" s="11">
        <v>45717</v>
      </c>
      <c r="H1" s="11">
        <v>46082</v>
      </c>
      <c r="I1" s="11">
        <v>46447</v>
      </c>
      <c r="J1" s="11">
        <v>46813</v>
      </c>
      <c r="K1" s="11">
        <v>47178</v>
      </c>
    </row>
    <row r="2" spans="1:11" x14ac:dyDescent="0.3"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</row>
    <row r="3" spans="1:11" x14ac:dyDescent="0.3">
      <c r="A3" t="s">
        <v>198</v>
      </c>
      <c r="B3" s="19">
        <f>PnL!H13-PnL!H21-PnL!H23</f>
        <v>11393.040124999996</v>
      </c>
      <c r="C3" s="19">
        <f>PnL!I13-PnL!I21-PnL!I23</f>
        <v>13938.126993749993</v>
      </c>
      <c r="D3" s="19">
        <f>PnL!J13-PnL!J21-PnL!J23</f>
        <v>16939.976892812487</v>
      </c>
      <c r="E3" s="19">
        <f>PnL!K13-PnL!K21-PnL!K23</f>
        <v>20467.104276734364</v>
      </c>
      <c r="F3" s="19">
        <f>PnL!L13-PnL!L21-PnL!L23</f>
        <v>24598.300768244506</v>
      </c>
      <c r="G3" s="19">
        <f>PnL!M13-PnL!M21-PnL!M23</f>
        <v>29424.176733481192</v>
      </c>
      <c r="H3" s="19">
        <f>PnL!N13-PnL!N21-PnL!N23</f>
        <v>35048.934093503354</v>
      </c>
      <c r="I3" s="19">
        <f>PnL!O13-PnL!O21-PnL!O23</f>
        <v>41592.405057528857</v>
      </c>
      <c r="J3" s="19">
        <f>PnL!P13-PnL!P21-PnL!P23</f>
        <v>49192.39666615818</v>
      </c>
      <c r="K3" s="19">
        <f>PnL!Q13-PnL!Q21-PnL!Q23</f>
        <v>58007.387016081906</v>
      </c>
    </row>
    <row r="4" spans="1:11" x14ac:dyDescent="0.3">
      <c r="A4" t="s">
        <v>199</v>
      </c>
      <c r="B4">
        <f>Valuation!B3*tr</f>
        <v>3417.9120374999989</v>
      </c>
      <c r="C4">
        <f>Valuation!C3*tr</f>
        <v>4181.4380981249979</v>
      </c>
      <c r="D4">
        <f>Valuation!D3*tr</f>
        <v>5081.9930678437458</v>
      </c>
      <c r="E4">
        <f>Valuation!E3*tr</f>
        <v>6140.1312830203087</v>
      </c>
      <c r="F4">
        <f>Valuation!F3*tr</f>
        <v>7379.4902304733514</v>
      </c>
      <c r="G4">
        <f>Valuation!G3*tr</f>
        <v>8827.253020044358</v>
      </c>
      <c r="H4">
        <f>Valuation!H3*tr</f>
        <v>10514.680228051006</v>
      </c>
      <c r="I4">
        <f>Valuation!I3*tr</f>
        <v>12477.721517258657</v>
      </c>
      <c r="J4">
        <f>Valuation!J3*tr</f>
        <v>14757.718999847453</v>
      </c>
      <c r="K4">
        <f>Valuation!K3*tr</f>
        <v>17402.216104824573</v>
      </c>
    </row>
    <row r="5" spans="1:11" x14ac:dyDescent="0.3">
      <c r="A5" t="s">
        <v>200</v>
      </c>
      <c r="B5" s="19">
        <f>B3-B4</f>
        <v>7975.1280874999975</v>
      </c>
      <c r="C5" s="19">
        <f t="shared" ref="C5:K5" si="0">C3-C4</f>
        <v>9756.688895624995</v>
      </c>
      <c r="D5" s="19">
        <f t="shared" si="0"/>
        <v>11857.983824968742</v>
      </c>
      <c r="E5" s="19">
        <f t="shared" si="0"/>
        <v>14326.972993714055</v>
      </c>
      <c r="F5" s="19">
        <f t="shared" si="0"/>
        <v>17218.810537771154</v>
      </c>
      <c r="G5" s="19">
        <f t="shared" si="0"/>
        <v>20596.923713436834</v>
      </c>
      <c r="H5" s="19">
        <f t="shared" si="0"/>
        <v>24534.253865452349</v>
      </c>
      <c r="I5" s="19">
        <f t="shared" si="0"/>
        <v>29114.683540270198</v>
      </c>
      <c r="J5" s="19">
        <f t="shared" si="0"/>
        <v>34434.67766631073</v>
      </c>
      <c r="K5" s="19">
        <f t="shared" si="0"/>
        <v>40605.17091125733</v>
      </c>
    </row>
    <row r="6" spans="1:11" x14ac:dyDescent="0.3">
      <c r="A6" t="s">
        <v>201</v>
      </c>
      <c r="B6">
        <f>'Fixed Assets'!C3</f>
        <v>5000</v>
      </c>
      <c r="C6">
        <f>'Fixed Assets'!D3</f>
        <v>5000</v>
      </c>
      <c r="D6">
        <f>'Fixed Assets'!E3</f>
        <v>5000</v>
      </c>
      <c r="E6">
        <f>'Fixed Assets'!F3</f>
        <v>5000</v>
      </c>
      <c r="F6">
        <f>'Fixed Assets'!G3</f>
        <v>5000</v>
      </c>
      <c r="G6">
        <f>'Fixed Assets'!H3</f>
        <v>5000</v>
      </c>
      <c r="H6">
        <f>'Fixed Assets'!I3</f>
        <v>5000</v>
      </c>
      <c r="I6">
        <f>'Fixed Assets'!J3</f>
        <v>5000</v>
      </c>
      <c r="J6">
        <f>'Fixed Assets'!K3</f>
        <v>5000</v>
      </c>
      <c r="K6">
        <f>'Fixed Assets'!L3</f>
        <v>5000</v>
      </c>
    </row>
    <row r="7" spans="1:11" x14ac:dyDescent="0.3">
      <c r="A7" t="s">
        <v>202</v>
      </c>
      <c r="B7" s="19">
        <f>'Balance Sheet'!I36-'Balance Sheet'!H36</f>
        <v>10646.980146374968</v>
      </c>
      <c r="C7" s="19">
        <f>'Balance Sheet'!J36-'Balance Sheet'!I36</f>
        <v>8790.3000332812808</v>
      </c>
      <c r="D7" s="19">
        <f>'Balance Sheet'!K36-'Balance Sheet'!J36</f>
        <v>10996.758083223394</v>
      </c>
      <c r="E7" s="19">
        <f>'Balance Sheet'!L36-'Balance Sheet'!K36</f>
        <v>13510.58410465694</v>
      </c>
      <c r="F7" s="19">
        <f>'Balance Sheet'!M36-'Balance Sheet'!L36</f>
        <v>16378.40050650551</v>
      </c>
      <c r="G7" s="19">
        <f>'Balance Sheet'!N36-'Balance Sheet'!M36</f>
        <v>19653.848919691314</v>
      </c>
      <c r="H7" s="19">
        <f>'Balance Sheet'!O36-'Balance Sheet'!N36</f>
        <v>23398.644373467992</v>
      </c>
      <c r="I7" s="19">
        <f>'Balance Sheet'!P36-'Balance Sheet'!O36</f>
        <v>27683.787662854884</v>
      </c>
      <c r="J7" s="19">
        <f>'Balance Sheet'!Q36-'Balance Sheet'!P36</f>
        <v>32590.959639070541</v>
      </c>
      <c r="K7" s="19">
        <f>'Balance Sheet'!R36-'Balance Sheet'!Q36</f>
        <v>38214.124714810489</v>
      </c>
    </row>
    <row r="8" spans="1:11" x14ac:dyDescent="0.3">
      <c r="A8" t="s">
        <v>185</v>
      </c>
      <c r="B8" s="19">
        <f>'Fixed Assets'!C7</f>
        <v>8907.5390000000007</v>
      </c>
      <c r="C8" s="19">
        <f>'Fixed Assets'!D7</f>
        <v>9407.5390000000007</v>
      </c>
      <c r="D8" s="19">
        <f>'Fixed Assets'!E7</f>
        <v>9907.5390000000007</v>
      </c>
      <c r="E8" s="19">
        <f>'Fixed Assets'!F7</f>
        <v>10407.539000000001</v>
      </c>
      <c r="F8" s="19">
        <f>'Fixed Assets'!G7</f>
        <v>10907.539000000001</v>
      </c>
      <c r="G8" s="19">
        <f>'Fixed Assets'!H7</f>
        <v>11407.539000000001</v>
      </c>
      <c r="H8" s="19">
        <f>'Fixed Assets'!I7</f>
        <v>11907.539000000001</v>
      </c>
      <c r="I8" s="19">
        <f>'Fixed Assets'!J7</f>
        <v>12407.539000000001</v>
      </c>
      <c r="J8" s="19">
        <f>'Fixed Assets'!K7</f>
        <v>12907.539000000002</v>
      </c>
      <c r="K8" s="19">
        <f>'Fixed Assets'!L7</f>
        <v>13407.539000000002</v>
      </c>
    </row>
    <row r="9" spans="1:11" x14ac:dyDescent="0.3">
      <c r="A9" t="s">
        <v>203</v>
      </c>
      <c r="B9" s="19">
        <f>'Balance Sheet'!I8-'Balance Sheet'!H8</f>
        <v>0</v>
      </c>
      <c r="C9" s="19">
        <f>'Balance Sheet'!J8-'Balance Sheet'!I8</f>
        <v>0</v>
      </c>
      <c r="D9" s="19">
        <f>'Balance Sheet'!K8-'Balance Sheet'!J8</f>
        <v>0</v>
      </c>
      <c r="E9" s="19">
        <f>'Balance Sheet'!L8-'Balance Sheet'!K8</f>
        <v>0</v>
      </c>
      <c r="F9" s="19">
        <f>'Balance Sheet'!M8-'Balance Sheet'!L8</f>
        <v>0</v>
      </c>
      <c r="G9" s="19">
        <f>'Balance Sheet'!N8-'Balance Sheet'!M8</f>
        <v>0</v>
      </c>
      <c r="H9" s="19">
        <f>'Balance Sheet'!O8-'Balance Sheet'!N8</f>
        <v>0</v>
      </c>
      <c r="I9" s="19">
        <f>'Balance Sheet'!P8-'Balance Sheet'!O8</f>
        <v>0</v>
      </c>
      <c r="J9" s="19">
        <f>'Balance Sheet'!Q8-'Balance Sheet'!P8</f>
        <v>0</v>
      </c>
      <c r="K9" s="19">
        <f>'Balance Sheet'!R8-'Balance Sheet'!Q8</f>
        <v>0</v>
      </c>
    </row>
    <row r="10" spans="1:11" x14ac:dyDescent="0.3">
      <c r="A10" t="s">
        <v>204</v>
      </c>
      <c r="B10" s="19">
        <f>B5-B6-B7+B8</f>
        <v>1235.68694112503</v>
      </c>
      <c r="C10" s="19">
        <f t="shared" ref="C10:J10" si="1">C5-C6-C7+C8</f>
        <v>5373.9278623437149</v>
      </c>
      <c r="D10" s="19">
        <f t="shared" si="1"/>
        <v>5768.7647417453481</v>
      </c>
      <c r="E10" s="19">
        <f t="shared" si="1"/>
        <v>6223.927889057115</v>
      </c>
      <c r="F10" s="19">
        <f t="shared" si="1"/>
        <v>6747.9490312656453</v>
      </c>
      <c r="G10" s="19">
        <f t="shared" si="1"/>
        <v>7350.6137937455205</v>
      </c>
      <c r="H10" s="19">
        <f t="shared" si="1"/>
        <v>8043.148491984357</v>
      </c>
      <c r="I10" s="19">
        <f t="shared" si="1"/>
        <v>8838.434877415315</v>
      </c>
      <c r="J10" s="19">
        <f t="shared" si="1"/>
        <v>9751.2570272401917</v>
      </c>
      <c r="K10" s="19">
        <f t="shared" ref="K10" si="2">K5-K6-K7+K8</f>
        <v>10798.585196446844</v>
      </c>
    </row>
    <row r="11" spans="1:11" x14ac:dyDescent="0.3">
      <c r="A11" t="s">
        <v>205</v>
      </c>
      <c r="B11">
        <f t="shared" ref="B11:K11" si="3">B10/((1+eu)^B2)</f>
        <v>1054.5259608908616</v>
      </c>
      <c r="C11">
        <f t="shared" si="3"/>
        <v>3913.7174627887184</v>
      </c>
      <c r="D11">
        <f t="shared" si="3"/>
        <v>3585.3312362585589</v>
      </c>
      <c r="E11">
        <f t="shared" si="3"/>
        <v>3301.108719618745</v>
      </c>
      <c r="F11">
        <f t="shared" si="3"/>
        <v>3054.3295084309516</v>
      </c>
      <c r="G11">
        <f t="shared" si="3"/>
        <v>2839.3342319778071</v>
      </c>
      <c r="H11">
        <f t="shared" si="3"/>
        <v>2651.3546205612633</v>
      </c>
      <c r="I11">
        <f t="shared" si="3"/>
        <v>2486.370917670436</v>
      </c>
      <c r="J11">
        <f t="shared" si="3"/>
        <v>2340.9922382440641</v>
      </c>
      <c r="K11">
        <f t="shared" si="3"/>
        <v>2212.3561797553525</v>
      </c>
    </row>
    <row r="12" spans="1:11" x14ac:dyDescent="0.3">
      <c r="A12" t="s">
        <v>207</v>
      </c>
      <c r="B12">
        <f>SUM(B11:K11)+K12</f>
        <v>30077.791989962185</v>
      </c>
      <c r="K12">
        <f>K11*(1+gr)/((eu-gr)*(1+eu)^K2)</f>
        <v>2638.3709137654305</v>
      </c>
    </row>
    <row r="14" spans="1:11" x14ac:dyDescent="0.3">
      <c r="A14" t="s">
        <v>209</v>
      </c>
      <c r="B14">
        <f>Debt!C6*tr</f>
        <v>688.42272000000003</v>
      </c>
      <c r="C14">
        <f>Debt!D6*tr</f>
        <v>676.42272000000003</v>
      </c>
      <c r="D14">
        <f>Debt!E6*tr</f>
        <v>664.42272000000003</v>
      </c>
      <c r="E14">
        <f>Debt!F6*tr</f>
        <v>652.42272000000003</v>
      </c>
      <c r="F14">
        <f>Debt!G6*tr</f>
        <v>640.42272000000003</v>
      </c>
      <c r="G14">
        <f>Debt!H6*tr</f>
        <v>628.42272000000003</v>
      </c>
      <c r="H14">
        <f>Debt!I6*tr</f>
        <v>616.42272000000003</v>
      </c>
      <c r="I14">
        <f>Debt!J6*tr</f>
        <v>604.42271999999991</v>
      </c>
      <c r="J14">
        <f>Debt!K6*tr</f>
        <v>592.42271999999991</v>
      </c>
      <c r="K14">
        <f>Debt!L6*tr</f>
        <v>580.42271999999991</v>
      </c>
    </row>
    <row r="15" spans="1:11" x14ac:dyDescent="0.3">
      <c r="A15" t="s">
        <v>210</v>
      </c>
      <c r="B15">
        <f t="shared" ref="B15:K15" si="4">B14/(1+kd)^B2</f>
        <v>637.42844444444438</v>
      </c>
      <c r="C15">
        <f t="shared" si="4"/>
        <v>579.9234567901234</v>
      </c>
      <c r="D15">
        <f t="shared" si="4"/>
        <v>527.44017680231673</v>
      </c>
      <c r="E15">
        <f t="shared" si="4"/>
        <v>479.55017584266164</v>
      </c>
      <c r="F15">
        <f t="shared" si="4"/>
        <v>435.86094223065203</v>
      </c>
      <c r="G15">
        <f t="shared" si="4"/>
        <v>396.01291098726568</v>
      </c>
      <c r="H15">
        <f t="shared" si="4"/>
        <v>359.67673654135967</v>
      </c>
      <c r="I15">
        <f t="shared" si="4"/>
        <v>326.55078870205</v>
      </c>
      <c r="J15">
        <f t="shared" si="4"/>
        <v>296.35885378520948</v>
      </c>
      <c r="K15">
        <f t="shared" si="4"/>
        <v>268.84802424039998</v>
      </c>
    </row>
    <row r="16" spans="1:11" x14ac:dyDescent="0.3">
      <c r="A16" t="s">
        <v>212</v>
      </c>
      <c r="B16">
        <f>SUM(B15:K15)+K16</f>
        <v>7668.2508133714828</v>
      </c>
      <c r="K16">
        <f>K14*(1+gr)/((kd-gr)*(1+kd)^K2)</f>
        <v>3360.6003030049997</v>
      </c>
    </row>
    <row r="17" spans="1:2" x14ac:dyDescent="0.3">
      <c r="A17" t="s">
        <v>211</v>
      </c>
      <c r="B17">
        <f>B12+B16</f>
        <v>37746.042803333665</v>
      </c>
    </row>
    <row r="19" spans="1:2" x14ac:dyDescent="0.3">
      <c r="A19" t="s">
        <v>214</v>
      </c>
      <c r="B19">
        <v>97</v>
      </c>
    </row>
    <row r="20" spans="1:2" x14ac:dyDescent="0.3">
      <c r="A20" t="s">
        <v>213</v>
      </c>
      <c r="B20">
        <f>(B17-Debt!B4)/Valuation!B19</f>
        <v>90.842915498285222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A450-0681-4F03-9F94-617D04066732}">
  <dimension ref="B2:F6"/>
  <sheetViews>
    <sheetView workbookViewId="0">
      <selection activeCell="D11" sqref="D11"/>
    </sheetView>
  </sheetViews>
  <sheetFormatPr defaultRowHeight="14.4" x14ac:dyDescent="0.3"/>
  <cols>
    <col min="2" max="2" width="10.44140625" bestFit="1" customWidth="1"/>
    <col min="3" max="3" width="15.33203125" bestFit="1" customWidth="1"/>
  </cols>
  <sheetData>
    <row r="2" spans="2:6" x14ac:dyDescent="0.3">
      <c r="B2" t="s">
        <v>215</v>
      </c>
      <c r="C2" s="35" t="s">
        <v>216</v>
      </c>
      <c r="E2" t="s">
        <v>218</v>
      </c>
      <c r="F2">
        <v>1.38</v>
      </c>
    </row>
    <row r="3" spans="2:6" x14ac:dyDescent="0.3">
      <c r="C3" s="37">
        <f>F3+F2*(F4-F3)</f>
        <v>0.1961</v>
      </c>
      <c r="E3" t="s">
        <v>219</v>
      </c>
      <c r="F3" s="36">
        <v>6.5000000000000002E-2</v>
      </c>
    </row>
    <row r="4" spans="2:6" x14ac:dyDescent="0.3">
      <c r="B4" t="s">
        <v>217</v>
      </c>
      <c r="C4">
        <f>eu + 'Balance Sheet N.F'!H16/'Balance Sheet N.F'!H12*(eu-kd)*(1-tr)</f>
        <v>0.19610000000000002</v>
      </c>
      <c r="E4" t="s">
        <v>220</v>
      </c>
      <c r="F4" s="17">
        <v>0.16</v>
      </c>
    </row>
    <row r="6" spans="2:6" x14ac:dyDescent="0.3">
      <c r="B6" t="s">
        <v>221</v>
      </c>
      <c r="C6" s="37">
        <f>C3-C4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0"/>
  <sheetViews>
    <sheetView topLeftCell="A4" workbookViewId="0">
      <selection activeCell="J7" sqref="J7"/>
    </sheetView>
  </sheetViews>
  <sheetFormatPr defaultRowHeight="14.4" x14ac:dyDescent="0.3"/>
  <cols>
    <col min="1" max="1" width="33.109375" customWidth="1"/>
    <col min="2" max="2" width="9.88671875" bestFit="1" customWidth="1"/>
    <col min="3" max="3" width="9.88671875" customWidth="1"/>
    <col min="4" max="8" width="9.88671875" bestFit="1" customWidth="1"/>
  </cols>
  <sheetData>
    <row r="1" spans="1:8" ht="48" x14ac:dyDescent="0.3">
      <c r="A1" s="2" t="s">
        <v>0</v>
      </c>
      <c r="B1" s="3" t="s">
        <v>1</v>
      </c>
      <c r="C1" s="20"/>
      <c r="H1" s="3"/>
    </row>
    <row r="2" spans="1:8" x14ac:dyDescent="0.3">
      <c r="A2" s="4"/>
      <c r="B2" s="5" t="s">
        <v>38</v>
      </c>
      <c r="C2" s="5"/>
      <c r="D2" s="11">
        <v>42064</v>
      </c>
      <c r="E2" s="11">
        <v>42430</v>
      </c>
      <c r="F2" s="11">
        <v>42795</v>
      </c>
      <c r="G2" s="11">
        <v>43160</v>
      </c>
      <c r="H2" s="11">
        <v>43525</v>
      </c>
    </row>
    <row r="3" spans="1:8" x14ac:dyDescent="0.3">
      <c r="A3" s="30"/>
      <c r="B3" s="30"/>
      <c r="C3" s="30"/>
      <c r="D3" s="30"/>
      <c r="E3" s="30"/>
      <c r="F3" s="30"/>
      <c r="G3" s="30"/>
      <c r="H3" s="30"/>
    </row>
    <row r="4" spans="1:8" x14ac:dyDescent="0.3">
      <c r="A4" s="6"/>
      <c r="B4" s="7" t="s">
        <v>7</v>
      </c>
      <c r="C4" s="13"/>
      <c r="D4" s="7" t="s">
        <v>7</v>
      </c>
      <c r="E4" s="13" t="s">
        <v>7</v>
      </c>
      <c r="F4" s="13" t="s">
        <v>7</v>
      </c>
      <c r="G4" s="13" t="s">
        <v>7</v>
      </c>
      <c r="H4" s="13" t="s">
        <v>7</v>
      </c>
    </row>
    <row r="5" spans="1:8" x14ac:dyDescent="0.3">
      <c r="A5" s="30"/>
      <c r="B5" s="30"/>
      <c r="C5" s="30"/>
      <c r="D5" s="30"/>
      <c r="E5" s="30"/>
      <c r="F5" s="30"/>
      <c r="G5" s="30"/>
      <c r="H5" s="30"/>
    </row>
    <row r="6" spans="1:8" ht="24" customHeight="1" x14ac:dyDescent="0.3">
      <c r="A6" s="31" t="s">
        <v>91</v>
      </c>
      <c r="B6" s="32"/>
      <c r="C6" s="10"/>
      <c r="D6" s="5"/>
      <c r="E6" s="5"/>
      <c r="F6" s="5"/>
      <c r="G6" s="5"/>
      <c r="H6" s="1"/>
    </row>
    <row r="7" spans="1:8" ht="24" customHeight="1" x14ac:dyDescent="0.3">
      <c r="A7" s="31" t="s">
        <v>92</v>
      </c>
      <c r="B7" s="32"/>
      <c r="C7" s="10"/>
      <c r="D7" s="5"/>
      <c r="E7" s="5"/>
      <c r="F7" s="5"/>
      <c r="G7" s="5"/>
      <c r="H7" s="1"/>
    </row>
    <row r="8" spans="1:8" x14ac:dyDescent="0.3">
      <c r="A8" s="6" t="s">
        <v>10</v>
      </c>
      <c r="B8" s="8">
        <v>1146.1199999999999</v>
      </c>
      <c r="C8" s="8"/>
      <c r="D8" s="7">
        <v>971.41</v>
      </c>
      <c r="E8" s="13">
        <v>971.41</v>
      </c>
      <c r="F8" s="13">
        <v>971.41</v>
      </c>
      <c r="G8" s="8">
        <v>1146.1199999999999</v>
      </c>
      <c r="H8" s="8">
        <v>1146.1199999999999</v>
      </c>
    </row>
    <row r="9" spans="1:8" x14ac:dyDescent="0.3">
      <c r="A9" s="2" t="s">
        <v>9</v>
      </c>
      <c r="B9" s="12">
        <v>1146.1199999999999</v>
      </c>
      <c r="C9" s="12"/>
      <c r="D9" s="14">
        <v>971.41</v>
      </c>
      <c r="E9" s="14">
        <v>971.41</v>
      </c>
      <c r="F9" s="14">
        <v>971.41</v>
      </c>
      <c r="G9" s="12">
        <v>1146.1199999999999</v>
      </c>
      <c r="H9" s="12">
        <v>1146.1199999999999</v>
      </c>
    </row>
    <row r="10" spans="1:8" x14ac:dyDescent="0.3">
      <c r="A10" s="6" t="s">
        <v>93</v>
      </c>
      <c r="B10" s="8">
        <v>69308.59</v>
      </c>
      <c r="C10" s="8"/>
      <c r="D10" s="8">
        <v>65692.479999999996</v>
      </c>
      <c r="E10" s="8">
        <v>69505.31</v>
      </c>
      <c r="F10" s="8">
        <v>48687.59</v>
      </c>
      <c r="G10" s="8">
        <v>60368.7</v>
      </c>
      <c r="H10" s="8">
        <v>69308.59</v>
      </c>
    </row>
    <row r="11" spans="1:8" x14ac:dyDescent="0.3">
      <c r="A11" s="2" t="s">
        <v>94</v>
      </c>
      <c r="B11" s="12">
        <v>69308.59</v>
      </c>
      <c r="C11" s="12"/>
      <c r="D11" s="12">
        <v>65692.479999999996</v>
      </c>
      <c r="E11" s="12">
        <v>69505.31</v>
      </c>
      <c r="F11" s="12">
        <v>48687.59</v>
      </c>
      <c r="G11" s="12">
        <v>60368.7</v>
      </c>
      <c r="H11" s="12">
        <v>69308.59</v>
      </c>
    </row>
    <row r="12" spans="1:8" x14ac:dyDescent="0.3">
      <c r="A12" s="2" t="s">
        <v>95</v>
      </c>
      <c r="B12" s="12">
        <v>70454.710000000006</v>
      </c>
      <c r="C12" s="12"/>
      <c r="D12" s="12">
        <v>66663.89</v>
      </c>
      <c r="E12" s="12">
        <v>70476.72</v>
      </c>
      <c r="F12" s="12">
        <v>49659</v>
      </c>
      <c r="G12" s="12">
        <v>61514.82</v>
      </c>
      <c r="H12" s="12">
        <v>70454.710000000006</v>
      </c>
    </row>
    <row r="13" spans="1:8" x14ac:dyDescent="0.3">
      <c r="A13" s="6" t="s">
        <v>96</v>
      </c>
      <c r="B13" s="7">
        <v>0</v>
      </c>
      <c r="C13" s="13"/>
      <c r="D13" s="7">
        <v>0</v>
      </c>
      <c r="E13" s="13">
        <v>0</v>
      </c>
      <c r="F13" s="13">
        <v>0.01</v>
      </c>
      <c r="G13" s="13">
        <v>0.02</v>
      </c>
      <c r="H13" s="13">
        <v>0</v>
      </c>
    </row>
    <row r="14" spans="1:8" x14ac:dyDescent="0.3">
      <c r="A14" s="6" t="s">
        <v>97</v>
      </c>
      <c r="B14" s="8">
        <v>2275</v>
      </c>
      <c r="C14" s="8"/>
      <c r="D14" s="8">
        <v>2275</v>
      </c>
      <c r="E14" s="8">
        <v>2275</v>
      </c>
      <c r="F14" s="8">
        <v>2275</v>
      </c>
      <c r="G14" s="8">
        <v>2275</v>
      </c>
      <c r="H14" s="8">
        <v>2275</v>
      </c>
    </row>
    <row r="15" spans="1:8" ht="24" customHeight="1" x14ac:dyDescent="0.3">
      <c r="A15" s="31" t="s">
        <v>98</v>
      </c>
      <c r="B15" s="32"/>
      <c r="C15" s="10"/>
      <c r="D15" s="5"/>
      <c r="E15" s="5"/>
      <c r="F15" s="5"/>
      <c r="G15" s="5"/>
      <c r="H15" s="1"/>
    </row>
    <row r="16" spans="1:8" x14ac:dyDescent="0.3">
      <c r="A16" s="6" t="s">
        <v>99</v>
      </c>
      <c r="B16" s="8">
        <v>26651.19</v>
      </c>
      <c r="C16" s="8"/>
      <c r="D16" s="8">
        <v>23900.37</v>
      </c>
      <c r="E16" s="8">
        <v>23457.77</v>
      </c>
      <c r="F16" s="8">
        <v>24694.37</v>
      </c>
      <c r="G16" s="8">
        <v>24568.95</v>
      </c>
      <c r="H16" s="8">
        <v>26651.19</v>
      </c>
    </row>
    <row r="17" spans="1:8" x14ac:dyDescent="0.3">
      <c r="A17" s="6" t="s">
        <v>100</v>
      </c>
      <c r="B17" s="8">
        <v>7807</v>
      </c>
      <c r="C17" s="8"/>
      <c r="D17" s="8">
        <v>2250.41</v>
      </c>
      <c r="E17" s="8">
        <v>2179.83</v>
      </c>
      <c r="F17" s="8">
        <v>6111.27</v>
      </c>
      <c r="G17" s="8">
        <v>6259.09</v>
      </c>
      <c r="H17" s="8">
        <v>7807</v>
      </c>
    </row>
    <row r="18" spans="1:8" x14ac:dyDescent="0.3">
      <c r="A18" s="6" t="s">
        <v>101</v>
      </c>
      <c r="B18" s="8">
        <v>2798.63</v>
      </c>
      <c r="C18" s="8"/>
      <c r="D18" s="8">
        <v>1087.74</v>
      </c>
      <c r="E18" s="13">
        <v>842.66</v>
      </c>
      <c r="F18" s="8">
        <v>3644.69</v>
      </c>
      <c r="G18" s="8">
        <v>2927.91</v>
      </c>
      <c r="H18" s="8">
        <v>2798.63</v>
      </c>
    </row>
    <row r="19" spans="1:8" x14ac:dyDescent="0.3">
      <c r="A19" s="6" t="s">
        <v>102</v>
      </c>
      <c r="B19" s="8">
        <v>1918.18</v>
      </c>
      <c r="C19" s="8"/>
      <c r="D19" s="8">
        <v>2875.92</v>
      </c>
      <c r="E19" s="8">
        <v>2888.18</v>
      </c>
      <c r="F19" s="8">
        <v>2024.74</v>
      </c>
      <c r="G19" s="8">
        <v>1961.21</v>
      </c>
      <c r="H19" s="8">
        <v>1918.18</v>
      </c>
    </row>
    <row r="20" spans="1:8" x14ac:dyDescent="0.3">
      <c r="A20" s="2" t="s">
        <v>103</v>
      </c>
      <c r="B20" s="12">
        <v>39175</v>
      </c>
      <c r="C20" s="12"/>
      <c r="D20" s="12">
        <v>30114.44</v>
      </c>
      <c r="E20" s="12">
        <v>29368.44</v>
      </c>
      <c r="F20" s="12">
        <v>36475.07</v>
      </c>
      <c r="G20" s="12">
        <v>35717.160000000003</v>
      </c>
      <c r="H20" s="12">
        <v>39175</v>
      </c>
    </row>
    <row r="21" spans="1:8" x14ac:dyDescent="0.3">
      <c r="A21" s="31" t="s">
        <v>104</v>
      </c>
      <c r="B21" s="32"/>
      <c r="C21" s="10"/>
      <c r="D21" s="5"/>
      <c r="E21" s="5"/>
      <c r="F21" s="5"/>
      <c r="G21" s="5"/>
      <c r="H21" s="1"/>
    </row>
    <row r="22" spans="1:8" x14ac:dyDescent="0.3">
      <c r="A22" s="6" t="s">
        <v>105</v>
      </c>
      <c r="B22" s="7">
        <v>8.09</v>
      </c>
      <c r="C22" s="13"/>
      <c r="D22" s="7">
        <v>34.880000000000003</v>
      </c>
      <c r="E22" s="8">
        <v>5261.02</v>
      </c>
      <c r="F22" s="8">
        <v>3239.67</v>
      </c>
      <c r="G22" s="13">
        <v>669.88</v>
      </c>
      <c r="H22" s="13">
        <v>8.09</v>
      </c>
    </row>
    <row r="23" spans="1:8" x14ac:dyDescent="0.3">
      <c r="A23" s="6" t="s">
        <v>106</v>
      </c>
      <c r="B23" s="8">
        <v>10969.56</v>
      </c>
      <c r="C23" s="8"/>
      <c r="D23" s="8">
        <v>5801.98</v>
      </c>
      <c r="E23" s="8">
        <v>7706.13</v>
      </c>
      <c r="F23" s="8">
        <v>10717.44</v>
      </c>
      <c r="G23" s="8">
        <v>11242.75</v>
      </c>
      <c r="H23" s="8">
        <v>10969.56</v>
      </c>
    </row>
    <row r="24" spans="1:8" x14ac:dyDescent="0.3">
      <c r="A24" s="6" t="s">
        <v>107</v>
      </c>
      <c r="B24" s="8">
        <v>13837.77</v>
      </c>
      <c r="C24" s="8"/>
      <c r="D24" s="8">
        <v>9111.52</v>
      </c>
      <c r="E24" s="8">
        <v>6115.81</v>
      </c>
      <c r="F24" s="8">
        <v>8398.6200000000008</v>
      </c>
      <c r="G24" s="8">
        <v>12959.43</v>
      </c>
      <c r="H24" s="8">
        <v>13837.77</v>
      </c>
    </row>
    <row r="25" spans="1:8" x14ac:dyDescent="0.3">
      <c r="A25" s="6" t="s">
        <v>108</v>
      </c>
      <c r="B25" s="7">
        <v>778.23</v>
      </c>
      <c r="C25" s="13"/>
      <c r="D25" s="8">
        <v>1675.41</v>
      </c>
      <c r="E25" s="8">
        <v>2005.03</v>
      </c>
      <c r="F25" s="13">
        <v>700.6</v>
      </c>
      <c r="G25" s="13">
        <v>735.28</v>
      </c>
      <c r="H25" s="13">
        <v>778.23</v>
      </c>
    </row>
    <row r="26" spans="1:8" x14ac:dyDescent="0.3">
      <c r="A26" s="2" t="s">
        <v>109</v>
      </c>
      <c r="B26" s="12">
        <v>25593.65</v>
      </c>
      <c r="C26" s="12"/>
      <c r="D26" s="12">
        <v>16623.79</v>
      </c>
      <c r="E26" s="12">
        <v>21087.99</v>
      </c>
      <c r="F26" s="12">
        <v>23056.33</v>
      </c>
      <c r="G26" s="12">
        <v>25607.34</v>
      </c>
      <c r="H26" s="12">
        <v>25593.65</v>
      </c>
    </row>
    <row r="27" spans="1:8" x14ac:dyDescent="0.3">
      <c r="A27" s="2" t="s">
        <v>110</v>
      </c>
      <c r="B27" s="12">
        <v>137498.35999999999</v>
      </c>
      <c r="C27" s="12"/>
      <c r="D27" s="12">
        <v>115677.12</v>
      </c>
      <c r="E27" s="12">
        <v>123208.15</v>
      </c>
      <c r="F27" s="12">
        <v>111465.41</v>
      </c>
      <c r="G27" s="12">
        <v>125114.34</v>
      </c>
      <c r="H27" s="12">
        <v>137498.35999999999</v>
      </c>
    </row>
    <row r="28" spans="1:8" x14ac:dyDescent="0.3">
      <c r="A28" s="31" t="s">
        <v>111</v>
      </c>
      <c r="B28" s="32"/>
      <c r="C28" s="10"/>
      <c r="D28" s="5"/>
      <c r="E28" s="5"/>
      <c r="F28" s="5"/>
      <c r="G28" s="5"/>
      <c r="H28" s="1"/>
    </row>
    <row r="29" spans="1:8" ht="24" customHeight="1" x14ac:dyDescent="0.3">
      <c r="A29" s="31" t="s">
        <v>112</v>
      </c>
      <c r="B29" s="32"/>
      <c r="C29" s="10"/>
      <c r="D29" s="5"/>
      <c r="E29" s="5"/>
      <c r="F29" s="5"/>
      <c r="G29" s="5"/>
      <c r="H29" s="1"/>
    </row>
    <row r="30" spans="1:8" x14ac:dyDescent="0.3">
      <c r="A30" s="6" t="s">
        <v>113</v>
      </c>
      <c r="B30" s="8">
        <v>70416.820000000007</v>
      </c>
      <c r="C30" s="8"/>
      <c r="D30" s="8">
        <v>25071.38</v>
      </c>
      <c r="E30" s="8">
        <v>24901.24</v>
      </c>
      <c r="F30" s="8">
        <v>71778.97</v>
      </c>
      <c r="G30" s="8">
        <v>70942.899999999994</v>
      </c>
      <c r="H30" s="8">
        <v>70416.820000000007</v>
      </c>
    </row>
    <row r="31" spans="1:8" x14ac:dyDescent="0.3">
      <c r="A31" s="6" t="s">
        <v>114</v>
      </c>
      <c r="B31" s="7">
        <v>805.2</v>
      </c>
      <c r="C31" s="13"/>
      <c r="D31" s="7">
        <v>177.14</v>
      </c>
      <c r="E31" s="13">
        <v>527.35</v>
      </c>
      <c r="F31" s="13">
        <v>788.18</v>
      </c>
      <c r="G31" s="13">
        <v>786.18</v>
      </c>
      <c r="H31" s="13">
        <v>805.2</v>
      </c>
    </row>
    <row r="32" spans="1:8" x14ac:dyDescent="0.3">
      <c r="A32" s="6" t="s">
        <v>115</v>
      </c>
      <c r="B32" s="8">
        <v>5686.02</v>
      </c>
      <c r="C32" s="8"/>
      <c r="D32" s="8">
        <v>23036.67</v>
      </c>
      <c r="E32" s="8">
        <v>26982.37</v>
      </c>
      <c r="F32" s="8">
        <v>6125.35</v>
      </c>
      <c r="G32" s="8">
        <v>5641.5</v>
      </c>
      <c r="H32" s="8">
        <v>5686.02</v>
      </c>
    </row>
    <row r="33" spans="1:8" x14ac:dyDescent="0.3">
      <c r="A33" s="6" t="s">
        <v>116</v>
      </c>
      <c r="B33" s="7">
        <v>110.27</v>
      </c>
      <c r="C33" s="13"/>
      <c r="D33" s="7">
        <v>0</v>
      </c>
      <c r="E33" s="13">
        <v>0</v>
      </c>
      <c r="F33" s="13">
        <v>38.61</v>
      </c>
      <c r="G33" s="13">
        <v>31.77</v>
      </c>
      <c r="H33" s="13">
        <v>110.27</v>
      </c>
    </row>
    <row r="34" spans="1:8" x14ac:dyDescent="0.3">
      <c r="A34" s="2" t="s">
        <v>117</v>
      </c>
      <c r="B34" s="12">
        <v>77018.31</v>
      </c>
      <c r="C34" s="12"/>
      <c r="D34" s="12">
        <v>48285.19</v>
      </c>
      <c r="E34" s="12">
        <v>52410.96</v>
      </c>
      <c r="F34" s="12">
        <v>78731.11</v>
      </c>
      <c r="G34" s="12">
        <v>77402.350000000006</v>
      </c>
      <c r="H34" s="12">
        <v>77018.31</v>
      </c>
    </row>
    <row r="35" spans="1:8" x14ac:dyDescent="0.3">
      <c r="A35" s="6" t="s">
        <v>118</v>
      </c>
      <c r="B35" s="8">
        <v>38929.25</v>
      </c>
      <c r="C35" s="8"/>
      <c r="D35" s="8">
        <v>52164.24</v>
      </c>
      <c r="E35" s="8">
        <v>52360.42</v>
      </c>
      <c r="F35" s="8">
        <v>8355.9</v>
      </c>
      <c r="G35" s="8">
        <v>9636.56</v>
      </c>
      <c r="H35" s="8">
        <v>38929.25</v>
      </c>
    </row>
    <row r="36" spans="1:8" x14ac:dyDescent="0.3">
      <c r="A36" s="6" t="s">
        <v>119</v>
      </c>
      <c r="B36" s="7">
        <v>231.16</v>
      </c>
      <c r="C36" s="13"/>
      <c r="D36" s="8">
        <v>3166.77</v>
      </c>
      <c r="E36" s="8">
        <v>3787.88</v>
      </c>
      <c r="F36" s="13">
        <v>211.97</v>
      </c>
      <c r="G36" s="13">
        <v>213.5</v>
      </c>
      <c r="H36" s="13">
        <v>231.16</v>
      </c>
    </row>
    <row r="37" spans="1:8" x14ac:dyDescent="0.3">
      <c r="A37" s="6" t="s">
        <v>120</v>
      </c>
      <c r="B37" s="8">
        <v>4284.0600000000004</v>
      </c>
      <c r="C37" s="8"/>
      <c r="D37" s="7">
        <v>211.75</v>
      </c>
      <c r="E37" s="13">
        <v>227.4</v>
      </c>
      <c r="F37" s="8">
        <v>4056.03</v>
      </c>
      <c r="G37" s="8">
        <v>3218.02</v>
      </c>
      <c r="H37" s="8">
        <v>4284.0600000000004</v>
      </c>
    </row>
    <row r="38" spans="1:8" x14ac:dyDescent="0.3">
      <c r="A38" s="2" t="s">
        <v>121</v>
      </c>
      <c r="B38" s="12">
        <v>120462.78</v>
      </c>
      <c r="C38" s="12"/>
      <c r="D38" s="12">
        <v>103827.95</v>
      </c>
      <c r="E38" s="12">
        <v>108786.66</v>
      </c>
      <c r="F38" s="12">
        <v>91355.01</v>
      </c>
      <c r="G38" s="12">
        <v>90470.43</v>
      </c>
      <c r="H38" s="12">
        <v>120462.78</v>
      </c>
    </row>
    <row r="39" spans="1:8" x14ac:dyDescent="0.3">
      <c r="A39" s="31" t="s">
        <v>122</v>
      </c>
      <c r="B39" s="32"/>
      <c r="C39" s="10"/>
      <c r="D39" s="5"/>
      <c r="E39" s="5"/>
      <c r="F39" s="5"/>
      <c r="G39" s="5"/>
      <c r="H39" s="1"/>
    </row>
    <row r="40" spans="1:8" x14ac:dyDescent="0.3">
      <c r="A40" s="6" t="s">
        <v>123</v>
      </c>
      <c r="B40" s="7">
        <v>477.47</v>
      </c>
      <c r="C40" s="13"/>
      <c r="D40" s="8">
        <v>1000.08</v>
      </c>
      <c r="E40" s="8">
        <v>4320.17</v>
      </c>
      <c r="F40" s="8">
        <v>5309.81</v>
      </c>
      <c r="G40" s="8">
        <v>14640.37</v>
      </c>
      <c r="H40" s="13">
        <v>477.47</v>
      </c>
    </row>
    <row r="41" spans="1:8" x14ac:dyDescent="0.3">
      <c r="A41" s="6" t="s">
        <v>24</v>
      </c>
      <c r="B41" s="8">
        <v>11255.34</v>
      </c>
      <c r="C41" s="8"/>
      <c r="D41" s="8">
        <v>8042</v>
      </c>
      <c r="E41" s="8">
        <v>7083.81</v>
      </c>
      <c r="F41" s="8">
        <v>10236.85</v>
      </c>
      <c r="G41" s="8">
        <v>11023.41</v>
      </c>
      <c r="H41" s="8">
        <v>11255.34</v>
      </c>
    </row>
    <row r="42" spans="1:8" x14ac:dyDescent="0.3">
      <c r="A42" s="6" t="s">
        <v>124</v>
      </c>
      <c r="B42" s="8">
        <v>1363.04</v>
      </c>
      <c r="C42" s="8"/>
      <c r="D42" s="7">
        <v>491.46</v>
      </c>
      <c r="E42" s="13">
        <v>632.79999999999995</v>
      </c>
      <c r="F42" s="8">
        <v>2006.52</v>
      </c>
      <c r="G42" s="8">
        <v>1875.63</v>
      </c>
      <c r="H42" s="8">
        <v>1363.04</v>
      </c>
    </row>
    <row r="43" spans="1:8" x14ac:dyDescent="0.3">
      <c r="A43" s="6" t="s">
        <v>125</v>
      </c>
      <c r="B43" s="7">
        <v>718.11</v>
      </c>
      <c r="C43" s="13"/>
      <c r="D43" s="7">
        <v>478.59</v>
      </c>
      <c r="E43" s="8">
        <v>1014.67</v>
      </c>
      <c r="F43" s="13">
        <v>970.31</v>
      </c>
      <c r="G43" s="8">
        <v>4696.74</v>
      </c>
      <c r="H43" s="13">
        <v>718.11</v>
      </c>
    </row>
    <row r="44" spans="1:8" x14ac:dyDescent="0.3">
      <c r="A44" s="6" t="s">
        <v>126</v>
      </c>
      <c r="B44" s="7">
        <v>55.92</v>
      </c>
      <c r="C44" s="13"/>
      <c r="D44" s="8">
        <v>1781.77</v>
      </c>
      <c r="E44" s="8">
        <v>1243.48</v>
      </c>
      <c r="F44" s="13">
        <v>27.14</v>
      </c>
      <c r="G44" s="13">
        <v>74.13</v>
      </c>
      <c r="H44" s="13">
        <v>55.92</v>
      </c>
    </row>
    <row r="45" spans="1:8" x14ac:dyDescent="0.3">
      <c r="A45" s="6" t="s">
        <v>127</v>
      </c>
      <c r="B45" s="8">
        <v>3165.7</v>
      </c>
      <c r="C45" s="8"/>
      <c r="D45" s="7">
        <v>55.27</v>
      </c>
      <c r="E45" s="13">
        <v>126.56</v>
      </c>
      <c r="F45" s="8">
        <v>1559.77</v>
      </c>
      <c r="G45" s="8">
        <v>2333.63</v>
      </c>
      <c r="H45" s="8">
        <v>3165.7</v>
      </c>
    </row>
    <row r="46" spans="1:8" x14ac:dyDescent="0.3">
      <c r="A46" s="2" t="s">
        <v>27</v>
      </c>
      <c r="B46" s="12">
        <v>17035.580000000002</v>
      </c>
      <c r="C46" s="12"/>
      <c r="D46" s="12">
        <v>11849.17</v>
      </c>
      <c r="E46" s="12">
        <v>14421.49</v>
      </c>
      <c r="F46" s="12">
        <v>20110.400000000001</v>
      </c>
      <c r="G46" s="12">
        <v>34643.910000000003</v>
      </c>
      <c r="H46" s="12">
        <v>17035.580000000002</v>
      </c>
    </row>
    <row r="47" spans="1:8" x14ac:dyDescent="0.3">
      <c r="A47" s="2" t="s">
        <v>34</v>
      </c>
      <c r="B47" s="12">
        <v>137498.35999999999</v>
      </c>
      <c r="C47" s="12"/>
      <c r="D47" s="12">
        <v>115677.12</v>
      </c>
      <c r="E47" s="12">
        <v>123208.15</v>
      </c>
      <c r="F47" s="12">
        <v>111465.41</v>
      </c>
      <c r="G47" s="12">
        <v>125114.34</v>
      </c>
      <c r="H47" s="12">
        <v>137498.35999999999</v>
      </c>
    </row>
    <row r="48" spans="1:8" ht="24" customHeight="1" x14ac:dyDescent="0.3">
      <c r="A48" s="31" t="s">
        <v>68</v>
      </c>
      <c r="B48" s="32"/>
      <c r="C48" s="10"/>
      <c r="D48" s="5"/>
      <c r="E48" s="5"/>
      <c r="F48" s="5"/>
      <c r="G48" s="5"/>
      <c r="H48" s="1"/>
    </row>
    <row r="49" spans="1:8" ht="36" customHeight="1" x14ac:dyDescent="0.3">
      <c r="A49" s="31" t="s">
        <v>128</v>
      </c>
      <c r="B49" s="32"/>
      <c r="C49" s="10"/>
      <c r="D49" s="5"/>
      <c r="E49" s="5"/>
      <c r="F49" s="5"/>
      <c r="G49" s="5"/>
      <c r="H49" s="1"/>
    </row>
    <row r="50" spans="1:8" x14ac:dyDescent="0.3">
      <c r="A50" s="6" t="s">
        <v>35</v>
      </c>
      <c r="B50" s="8">
        <v>34622.43</v>
      </c>
      <c r="C50" s="8"/>
      <c r="D50" s="8">
        <v>14610.35</v>
      </c>
      <c r="E50" s="8">
        <v>38595.949999999997</v>
      </c>
      <c r="F50" s="8">
        <v>25991.16</v>
      </c>
      <c r="G50" s="8">
        <v>28359.61</v>
      </c>
      <c r="H50" s="8">
        <v>34622.43</v>
      </c>
    </row>
    <row r="51" spans="1:8" ht="24" customHeight="1" x14ac:dyDescent="0.3">
      <c r="A51" s="31" t="s">
        <v>129</v>
      </c>
      <c r="B51" s="32"/>
      <c r="C51" s="10"/>
      <c r="D51" s="5"/>
      <c r="E51" s="5"/>
      <c r="F51" s="5"/>
      <c r="G51" s="5"/>
      <c r="H51" s="1"/>
    </row>
    <row r="52" spans="1:8" x14ac:dyDescent="0.3">
      <c r="A52" s="6" t="s">
        <v>130</v>
      </c>
      <c r="B52" s="7">
        <v>0</v>
      </c>
      <c r="C52" s="13"/>
      <c r="D52" s="8">
        <v>7570.66</v>
      </c>
      <c r="E52" s="8">
        <v>4406.87</v>
      </c>
      <c r="F52" s="13">
        <v>0</v>
      </c>
      <c r="G52" s="13">
        <v>0</v>
      </c>
      <c r="H52" s="13">
        <v>0</v>
      </c>
    </row>
    <row r="53" spans="1:8" x14ac:dyDescent="0.3">
      <c r="A53" s="6" t="s">
        <v>131</v>
      </c>
      <c r="B53" s="7">
        <v>0</v>
      </c>
      <c r="C53" s="13"/>
      <c r="D53" s="7">
        <v>618.75</v>
      </c>
      <c r="E53" s="13">
        <v>679.93</v>
      </c>
      <c r="F53" s="13">
        <v>0</v>
      </c>
      <c r="G53" s="13">
        <v>0</v>
      </c>
      <c r="H53" s="13">
        <v>0</v>
      </c>
    </row>
    <row r="54" spans="1:8" x14ac:dyDescent="0.3">
      <c r="A54" s="6" t="s">
        <v>132</v>
      </c>
      <c r="B54" s="8">
        <v>14519.26</v>
      </c>
      <c r="C54" s="8"/>
      <c r="D54" s="7">
        <v>398.7</v>
      </c>
      <c r="E54" s="13">
        <v>685.26</v>
      </c>
      <c r="F54" s="8">
        <v>10298</v>
      </c>
      <c r="G54" s="8">
        <v>13355.43</v>
      </c>
      <c r="H54" s="8">
        <v>14519.26</v>
      </c>
    </row>
    <row r="55" spans="1:8" x14ac:dyDescent="0.3">
      <c r="A55" s="6" t="s">
        <v>133</v>
      </c>
      <c r="B55" s="7">
        <v>0</v>
      </c>
      <c r="C55" s="13"/>
      <c r="D55" s="7">
        <v>696.21</v>
      </c>
      <c r="E55" s="13">
        <v>598.29</v>
      </c>
      <c r="F55" s="13">
        <v>0</v>
      </c>
      <c r="G55" s="13">
        <v>0</v>
      </c>
      <c r="H55" s="13">
        <v>0</v>
      </c>
    </row>
    <row r="56" spans="1:8" ht="24" customHeight="1" x14ac:dyDescent="0.3">
      <c r="A56" s="31" t="s">
        <v>134</v>
      </c>
      <c r="B56" s="32"/>
      <c r="C56" s="10"/>
      <c r="D56" s="5"/>
      <c r="E56" s="5"/>
      <c r="F56" s="5"/>
      <c r="G56" s="5"/>
      <c r="H56" s="1"/>
    </row>
    <row r="57" spans="1:8" x14ac:dyDescent="0.3">
      <c r="A57" s="6" t="s">
        <v>135</v>
      </c>
      <c r="B57" s="7">
        <v>450.04</v>
      </c>
      <c r="C57" s="13"/>
      <c r="D57" s="7">
        <v>821.06</v>
      </c>
      <c r="E57" s="13">
        <v>544.25</v>
      </c>
      <c r="F57" s="13">
        <v>447.38</v>
      </c>
      <c r="G57" s="13">
        <v>334.94</v>
      </c>
      <c r="H57" s="13">
        <v>450.04</v>
      </c>
    </row>
    <row r="58" spans="1:8" ht="48" customHeight="1" x14ac:dyDescent="0.3">
      <c r="A58" s="31" t="s">
        <v>136</v>
      </c>
      <c r="B58" s="32"/>
      <c r="C58" s="10"/>
      <c r="D58" s="5"/>
      <c r="E58" s="5"/>
      <c r="F58" s="5"/>
      <c r="G58" s="5"/>
      <c r="H58" s="1"/>
    </row>
    <row r="59" spans="1:8" x14ac:dyDescent="0.3">
      <c r="A59" s="6" t="s">
        <v>137</v>
      </c>
      <c r="B59" s="7" t="s">
        <v>138</v>
      </c>
      <c r="C59" s="13"/>
      <c r="D59" s="7">
        <v>207.78</v>
      </c>
      <c r="E59" s="13">
        <v>128.79</v>
      </c>
      <c r="F59" s="13" t="s">
        <v>138</v>
      </c>
      <c r="G59" s="13" t="s">
        <v>138</v>
      </c>
      <c r="H59" s="13" t="s">
        <v>138</v>
      </c>
    </row>
    <row r="60" spans="1:8" ht="24" customHeight="1" x14ac:dyDescent="0.3">
      <c r="A60" s="31" t="s">
        <v>139</v>
      </c>
      <c r="B60" s="32"/>
      <c r="C60" s="10"/>
      <c r="D60" s="5"/>
      <c r="E60" s="5"/>
      <c r="F60" s="5"/>
      <c r="G60" s="5"/>
      <c r="H60" s="1"/>
    </row>
    <row r="61" spans="1:8" x14ac:dyDescent="0.3">
      <c r="A61" s="6" t="s">
        <v>140</v>
      </c>
      <c r="B61" s="7" t="s">
        <v>138</v>
      </c>
      <c r="C61" s="13"/>
      <c r="D61" s="7">
        <v>883.79</v>
      </c>
      <c r="E61" s="8">
        <v>1001.37</v>
      </c>
      <c r="F61" s="8">
        <v>3996.55</v>
      </c>
      <c r="G61" s="8">
        <v>5898.19</v>
      </c>
      <c r="H61" s="13" t="s">
        <v>138</v>
      </c>
    </row>
    <row r="62" spans="1:8" x14ac:dyDescent="0.3">
      <c r="A62" s="6" t="s">
        <v>141</v>
      </c>
      <c r="B62" s="8">
        <v>6497.94</v>
      </c>
      <c r="C62" s="8"/>
      <c r="D62" s="7">
        <v>104.59</v>
      </c>
      <c r="E62" s="13">
        <v>88.23</v>
      </c>
      <c r="F62" s="13" t="s">
        <v>138</v>
      </c>
      <c r="G62" s="13" t="s">
        <v>138</v>
      </c>
      <c r="H62" s="8">
        <v>6497.94</v>
      </c>
    </row>
    <row r="63" spans="1:8" x14ac:dyDescent="0.3">
      <c r="A63" s="31" t="s">
        <v>142</v>
      </c>
      <c r="B63" s="32"/>
      <c r="C63" s="10"/>
      <c r="D63" s="5"/>
      <c r="E63" s="5"/>
      <c r="F63" s="5"/>
      <c r="G63" s="5"/>
      <c r="H63" s="1"/>
    </row>
    <row r="64" spans="1:8" x14ac:dyDescent="0.3">
      <c r="A64" s="6" t="s">
        <v>143</v>
      </c>
      <c r="B64" s="7">
        <v>252.97</v>
      </c>
      <c r="C64" s="13"/>
      <c r="D64" s="7">
        <v>252.97</v>
      </c>
      <c r="E64" s="13">
        <v>252.97</v>
      </c>
      <c r="F64" s="13">
        <v>252.97</v>
      </c>
      <c r="G64" s="13">
        <v>252.97</v>
      </c>
      <c r="H64" s="13">
        <v>252.97</v>
      </c>
    </row>
    <row r="65" spans="1:8" ht="24" customHeight="1" x14ac:dyDescent="0.3">
      <c r="A65" s="31" t="s">
        <v>144</v>
      </c>
      <c r="B65" s="32"/>
      <c r="C65" s="10"/>
      <c r="D65" s="5"/>
      <c r="E65" s="5"/>
      <c r="F65" s="5"/>
      <c r="G65" s="5"/>
      <c r="H65" s="1"/>
    </row>
    <row r="66" spans="1:8" ht="22.8" x14ac:dyDescent="0.3">
      <c r="A66" s="6" t="s">
        <v>145</v>
      </c>
      <c r="B66" s="8">
        <v>3370.16</v>
      </c>
      <c r="C66" s="8"/>
      <c r="D66" s="8">
        <v>11528.97</v>
      </c>
      <c r="E66" s="8">
        <v>4745.79</v>
      </c>
      <c r="F66" s="8">
        <v>4422.17</v>
      </c>
      <c r="G66" s="13">
        <v>497.21</v>
      </c>
      <c r="H66" s="8">
        <v>3370.16</v>
      </c>
    </row>
    <row r="67" spans="1:8" ht="22.8" x14ac:dyDescent="0.3">
      <c r="A67" s="6" t="s">
        <v>146</v>
      </c>
      <c r="B67" s="8">
        <v>36177.360000000001</v>
      </c>
      <c r="C67" s="8"/>
      <c r="D67" s="8">
        <v>51088.78</v>
      </c>
      <c r="E67" s="8">
        <v>51244.67</v>
      </c>
      <c r="F67" s="8">
        <v>5845.71</v>
      </c>
      <c r="G67" s="8">
        <v>20113.48</v>
      </c>
      <c r="H67" s="8">
        <v>36177.360000000001</v>
      </c>
    </row>
    <row r="68" spans="1:8" ht="24" customHeight="1" x14ac:dyDescent="0.3">
      <c r="A68" s="31" t="s">
        <v>147</v>
      </c>
      <c r="B68" s="32"/>
      <c r="C68" s="10"/>
      <c r="D68" s="5"/>
      <c r="E68" s="5"/>
      <c r="F68" s="5"/>
      <c r="G68" s="5"/>
      <c r="H68" s="1"/>
    </row>
    <row r="69" spans="1:8" x14ac:dyDescent="0.3">
      <c r="A69" s="6" t="s">
        <v>148</v>
      </c>
      <c r="B69" s="7" t="s">
        <v>138</v>
      </c>
      <c r="C69" s="13"/>
      <c r="D69" s="7" t="s">
        <v>138</v>
      </c>
      <c r="E69" s="13" t="s">
        <v>138</v>
      </c>
      <c r="F69" s="13" t="s">
        <v>138</v>
      </c>
      <c r="G69" s="13" t="s">
        <v>138</v>
      </c>
      <c r="H69" s="13" t="s">
        <v>138</v>
      </c>
    </row>
    <row r="70" spans="1:8" x14ac:dyDescent="0.3">
      <c r="A70" s="6" t="s">
        <v>149</v>
      </c>
      <c r="B70" s="7">
        <v>477.47</v>
      </c>
      <c r="C70" s="13"/>
      <c r="D70" s="8">
        <v>1000.08</v>
      </c>
      <c r="E70" s="8">
        <v>4320.17</v>
      </c>
      <c r="F70" s="13" t="s">
        <v>138</v>
      </c>
      <c r="G70" s="13" t="s">
        <v>138</v>
      </c>
      <c r="H70" s="13">
        <v>477.47</v>
      </c>
    </row>
  </sheetData>
  <mergeCells count="18">
    <mergeCell ref="A68:B68"/>
    <mergeCell ref="A28:B28"/>
    <mergeCell ref="A29:B29"/>
    <mergeCell ref="A39:B39"/>
    <mergeCell ref="A48:B48"/>
    <mergeCell ref="A49:B49"/>
    <mergeCell ref="A51:B51"/>
    <mergeCell ref="A56:B56"/>
    <mergeCell ref="A58:B58"/>
    <mergeCell ref="A60:B60"/>
    <mergeCell ref="A63:B63"/>
    <mergeCell ref="A65:B65"/>
    <mergeCell ref="A21:B21"/>
    <mergeCell ref="A3:H3"/>
    <mergeCell ref="A5:H5"/>
    <mergeCell ref="A6:B6"/>
    <mergeCell ref="A7:B7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Balance Sheet</vt:lpstr>
      <vt:lpstr>Fixed Assets</vt:lpstr>
      <vt:lpstr>PnL</vt:lpstr>
      <vt:lpstr>Assumptions</vt:lpstr>
      <vt:lpstr>Cash Flows</vt:lpstr>
      <vt:lpstr>Debt</vt:lpstr>
      <vt:lpstr>Valuation</vt:lpstr>
      <vt:lpstr>CAPM</vt:lpstr>
      <vt:lpstr>Balance Sheet N.F</vt:lpstr>
      <vt:lpstr>PnL N.F</vt:lpstr>
      <vt:lpstr>Cash Flows N.F</vt:lpstr>
      <vt:lpstr>eu</vt:lpstr>
      <vt:lpstr>gr</vt:lpstr>
      <vt:lpstr>ir</vt:lpstr>
      <vt:lpstr>kd</vt:lpstr>
      <vt:lpstr>keu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Arghi</dc:creator>
  <cp:lastModifiedBy>Divyam Jain</cp:lastModifiedBy>
  <dcterms:created xsi:type="dcterms:W3CDTF">2020-01-09T08:01:02Z</dcterms:created>
  <dcterms:modified xsi:type="dcterms:W3CDTF">2020-01-23T09:06:26Z</dcterms:modified>
</cp:coreProperties>
</file>