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poorvaS\Downloads\"/>
    </mc:Choice>
  </mc:AlternateContent>
  <xr:revisionPtr revIDLastSave="0" documentId="13_ncr:1_{50B3FA37-9FD9-4EB3-BE2F-C2B576A61CB9}" xr6:coauthVersionLast="45" xr6:coauthVersionMax="47" xr10:uidLastSave="{00000000-0000-0000-0000-000000000000}"/>
  <bookViews>
    <workbookView xWindow="-120" yWindow="-120" windowWidth="29040" windowHeight="15840" tabRatio="791" activeTab="3" xr2:uid="{D97B9F5D-A3CE-4FA8-AF3C-B3351FD5CB72}"/>
  </bookViews>
  <sheets>
    <sheet name="Input Screen" sheetId="2" r:id="rId1"/>
    <sheet name="Results summary(1-5 Years)" sheetId="6" r:id="rId2"/>
    <sheet name="Results summary(6, 7 Years)" sheetId="3" r:id="rId3"/>
    <sheet name="Results summary(8+ Years)" sheetId="4" r:id="rId4"/>
    <sheet name="Contributions" sheetId="9" r:id="rId5"/>
    <sheet name="Formulas" sheetId="5" r:id="rId6"/>
  </sheets>
  <externalReferences>
    <externalReference r:id="rId7"/>
  </externalReferences>
  <definedNames>
    <definedName name="_Hlk108188009" localSheetId="5">Formulas!$A$14</definedName>
    <definedName name="Acc_Bal">[1]Data!$B$4</definedName>
    <definedName name="Club">[1]Data!$B$24</definedName>
    <definedName name="Lookup_PHI_Bal">[1]Data!$B$25</definedName>
    <definedName name="Lookup_PRA_Bal">[1]Data!$B$26</definedName>
    <definedName name="Member_No">[1]Data!$B$20</definedName>
    <definedName name="Seas_Played">[1]Cal_Med!$I$8</definedName>
    <definedName name="Yrs_To_Ret">[1]Cal_Med!$I$7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8" i="3" l="1"/>
  <c r="G56" i="4"/>
  <c r="H35" i="4"/>
  <c r="D35" i="4"/>
  <c r="O47" i="9" l="1"/>
  <c r="G42" i="9" l="1"/>
  <c r="J42" i="9"/>
  <c r="M42" i="9"/>
  <c r="G43" i="9"/>
  <c r="J43" i="9"/>
  <c r="M43" i="9"/>
  <c r="G44" i="9"/>
  <c r="J44" i="9"/>
  <c r="M44" i="9"/>
  <c r="I38" i="9"/>
  <c r="I30" i="9"/>
  <c r="M41" i="9"/>
  <c r="J41" i="9"/>
  <c r="G41" i="9"/>
  <c r="M40" i="9"/>
  <c r="J40" i="9"/>
  <c r="G40" i="9"/>
  <c r="M39" i="9"/>
  <c r="J39" i="9"/>
  <c r="G39" i="9"/>
  <c r="M38" i="9"/>
  <c r="J38" i="9"/>
  <c r="G32" i="9"/>
  <c r="J32" i="9"/>
  <c r="M32" i="9"/>
  <c r="G33" i="9"/>
  <c r="J33" i="9"/>
  <c r="M33" i="9"/>
  <c r="M31" i="9"/>
  <c r="J31" i="9"/>
  <c r="M30" i="9"/>
  <c r="J30" i="9"/>
  <c r="G31" i="9"/>
  <c r="K30" i="9" l="1"/>
  <c r="L30" i="9" s="1"/>
  <c r="K38" i="9"/>
  <c r="L38" i="9" s="1"/>
  <c r="N38" i="9" s="1"/>
  <c r="N30" i="9" l="1"/>
  <c r="O30" i="9" s="1"/>
  <c r="P30" i="9" s="1"/>
  <c r="E31" i="9" s="1"/>
  <c r="O38" i="9"/>
  <c r="D24" i="3" s="1"/>
  <c r="P38" i="9" l="1"/>
  <c r="E24" i="3" s="1"/>
  <c r="D24" i="4"/>
  <c r="F31" i="9"/>
  <c r="H31" i="9" s="1"/>
  <c r="E39" i="9" l="1"/>
  <c r="F39" i="9" s="1"/>
  <c r="E24" i="4"/>
  <c r="I31" i="9"/>
  <c r="K31" i="9" s="1"/>
  <c r="L31" i="9" s="1"/>
  <c r="N31" i="9" s="1"/>
  <c r="O31" i="9" l="1"/>
  <c r="P31" i="9" s="1"/>
  <c r="E32" i="9" s="1"/>
  <c r="F32" i="9" s="1"/>
  <c r="H32" i="9" s="1"/>
  <c r="I32" i="9" s="1"/>
  <c r="K32" i="9" s="1"/>
  <c r="L32" i="9" s="1"/>
  <c r="N32" i="9" s="1"/>
  <c r="O32" i="9" s="1"/>
  <c r="P32" i="9" s="1"/>
  <c r="H39" i="9"/>
  <c r="I39" i="9" s="1"/>
  <c r="K39" i="9" s="1"/>
  <c r="L39" i="9" s="1"/>
  <c r="N39" i="9" l="1"/>
  <c r="O39" i="9" s="1"/>
  <c r="D25" i="3" s="1"/>
  <c r="P39" i="9" l="1"/>
  <c r="E25" i="3" s="1"/>
  <c r="D25" i="4"/>
  <c r="E33" i="9"/>
  <c r="E40" i="9" l="1"/>
  <c r="F40" i="9" s="1"/>
  <c r="E25" i="4"/>
  <c r="F33" i="9"/>
  <c r="H33" i="9" s="1"/>
  <c r="H40" i="9" l="1"/>
  <c r="I40" i="9" s="1"/>
  <c r="K40" i="9" s="1"/>
  <c r="L40" i="9" s="1"/>
  <c r="I33" i="9"/>
  <c r="K33" i="9" s="1"/>
  <c r="N40" i="9" l="1"/>
  <c r="O40" i="9" s="1"/>
  <c r="P40" i="9" s="1"/>
  <c r="E26" i="3" s="1"/>
  <c r="L33" i="9"/>
  <c r="N33" i="9" s="1"/>
  <c r="D26" i="3" l="1"/>
  <c r="D26" i="4"/>
  <c r="E41" i="9"/>
  <c r="F41" i="9" s="1"/>
  <c r="E26" i="4"/>
  <c r="O33" i="9"/>
  <c r="P33" i="9" s="1"/>
  <c r="H41" i="9" l="1"/>
  <c r="I41" i="9" s="1"/>
  <c r="K41" i="9" l="1"/>
  <c r="L41" i="9" s="1"/>
  <c r="N41" i="9" l="1"/>
  <c r="O41" i="9" s="1"/>
  <c r="P41" i="9" l="1"/>
  <c r="D27" i="4"/>
  <c r="E42" i="9" l="1"/>
  <c r="F42" i="9" s="1"/>
  <c r="E27" i="4"/>
  <c r="H42" i="9" l="1"/>
  <c r="I42" i="9" s="1"/>
  <c r="K42" i="9" s="1"/>
  <c r="L42" i="9" s="1"/>
  <c r="N42" i="9" s="1"/>
  <c r="O42" i="9" s="1"/>
  <c r="P42" i="9" s="1"/>
  <c r="D28" i="4" l="1"/>
  <c r="E43" i="9"/>
  <c r="F43" i="9" s="1"/>
  <c r="E28" i="4"/>
  <c r="H43" i="9" l="1"/>
  <c r="I43" i="9" s="1"/>
  <c r="K43" i="9" s="1"/>
  <c r="L43" i="9" s="1"/>
  <c r="N43" i="9" s="1"/>
  <c r="O43" i="9" s="1"/>
  <c r="P43" i="9" s="1"/>
  <c r="E44" i="9" l="1"/>
  <c r="F44" i="9" s="1"/>
  <c r="E29" i="4"/>
  <c r="D29" i="4"/>
  <c r="H44" i="9" l="1"/>
  <c r="I44" i="9" s="1"/>
  <c r="K44" i="9" s="1"/>
  <c r="L44" i="9" s="1"/>
  <c r="N44" i="9" s="1"/>
  <c r="O44" i="9" s="1"/>
  <c r="P44" i="9" s="1"/>
  <c r="E30" i="4" s="1"/>
  <c r="D30" i="4" l="1"/>
  <c r="I26" i="9" l="1"/>
  <c r="E60" i="4"/>
  <c r="C35" i="4"/>
  <c r="M26" i="9"/>
  <c r="J26" i="9"/>
  <c r="K26" i="9" l="1"/>
  <c r="L26" i="9" s="1"/>
  <c r="N26" i="9" l="1"/>
  <c r="O26" i="9" s="1"/>
  <c r="D24" i="6" s="1"/>
  <c r="P26" i="9" l="1"/>
  <c r="E24" i="6" s="1"/>
  <c r="E52" i="3" l="1"/>
  <c r="C32" i="3"/>
  <c r="D32" i="3" s="1"/>
  <c r="E36" i="6"/>
  <c r="C30" i="6"/>
  <c r="D30" i="6" s="1"/>
  <c r="E39" i="6" s="1"/>
  <c r="E32" i="3" l="1"/>
  <c r="F32" i="3" s="1"/>
  <c r="E53" i="3" s="1"/>
  <c r="G32" i="3" l="1"/>
  <c r="H32" i="3"/>
  <c r="C37" i="3" s="1"/>
  <c r="D37" i="3" l="1"/>
  <c r="C38" i="3" s="1"/>
  <c r="D38" i="3" s="1"/>
  <c r="C39" i="3" s="1"/>
  <c r="D39" i="3" s="1"/>
  <c r="D44" i="3" s="1"/>
  <c r="F44" i="3" s="1"/>
  <c r="E44" i="3" l="1"/>
  <c r="G44" i="3"/>
  <c r="H44" i="3" l="1"/>
  <c r="D45" i="3" s="1"/>
  <c r="F45" i="3" l="1"/>
  <c r="E45" i="3"/>
  <c r="G45" i="3" l="1"/>
  <c r="H45" i="3"/>
  <c r="D46" i="3" s="1"/>
  <c r="F46" i="3" l="1"/>
  <c r="E46" i="3"/>
  <c r="G46" i="3" l="1"/>
  <c r="H46" i="3"/>
  <c r="D47" i="3" s="1"/>
  <c r="E47" i="3" s="1"/>
  <c r="F47" i="3" l="1"/>
  <c r="H47" i="3" l="1"/>
  <c r="D48" i="3" s="1"/>
  <c r="E48" i="3" s="1"/>
  <c r="E55" i="3" s="1"/>
  <c r="G47" i="3"/>
  <c r="F48" i="3" l="1"/>
  <c r="E54" i="3" l="1"/>
  <c r="E35" i="4" l="1"/>
  <c r="F35" i="4" s="1"/>
  <c r="E61" i="4" s="1"/>
  <c r="C40" i="4" l="1"/>
  <c r="G35" i="4"/>
  <c r="E30" i="6"/>
  <c r="G30" i="6" l="1"/>
  <c r="F30" i="6"/>
  <c r="E37" i="6" s="1"/>
  <c r="D40" i="4"/>
  <c r="C41" i="4" s="1"/>
  <c r="D41" i="4" l="1"/>
  <c r="C42" i="4" s="1"/>
  <c r="D42" i="4" s="1"/>
  <c r="D47" i="4" s="1"/>
  <c r="F47" i="4" l="1"/>
  <c r="G47" i="4" s="1"/>
  <c r="E47" i="4"/>
  <c r="H47" i="4" l="1"/>
  <c r="D48" i="4" s="1"/>
  <c r="F48" i="4" s="1"/>
  <c r="G48" i="4" s="1"/>
  <c r="E48" i="4" l="1"/>
  <c r="H48" i="4" s="1"/>
  <c r="D49" i="4" s="1"/>
  <c r="F49" i="4" s="1"/>
  <c r="G49" i="4" s="1"/>
  <c r="E49" i="4" l="1"/>
  <c r="H49" i="4" s="1"/>
  <c r="D50" i="4" s="1"/>
  <c r="E50" i="4" l="1"/>
  <c r="F50" i="4"/>
  <c r="G50" i="4" s="1"/>
  <c r="H50" i="4" l="1"/>
  <c r="D51" i="4" s="1"/>
  <c r="E51" i="4" l="1"/>
  <c r="F51" i="4"/>
  <c r="G51" i="4" s="1"/>
  <c r="H51" i="4" l="1"/>
  <c r="D52" i="4" s="1"/>
  <c r="F52" i="4" l="1"/>
  <c r="G52" i="4" s="1"/>
  <c r="E52" i="4"/>
  <c r="H52" i="4" l="1"/>
  <c r="D53" i="4" s="1"/>
  <c r="E53" i="4" s="1"/>
  <c r="F53" i="4" l="1"/>
  <c r="H53" i="4" s="1"/>
  <c r="D54" i="4" s="1"/>
  <c r="E54" i="4" l="1"/>
  <c r="F54" i="4"/>
  <c r="G54" i="4" s="1"/>
  <c r="G53" i="4"/>
  <c r="H54" i="4" l="1"/>
  <c r="D55" i="4" s="1"/>
  <c r="E55" i="4" s="1"/>
  <c r="F55" i="4" l="1"/>
  <c r="G55" i="4" s="1"/>
  <c r="H55" i="4" l="1"/>
  <c r="D56" i="4" s="1"/>
  <c r="F56" i="4" s="1"/>
  <c r="E62" i="4" l="1"/>
  <c r="E56" i="4"/>
  <c r="E63"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Apoorva Sreeramakavacham</author>
  </authors>
  <commentList>
    <comment ref="G8" authorId="0" shapeId="0" xr:uid="{3FBC68DE-E185-458C-BA19-A5582845E307}">
      <text>
        <r>
          <rPr>
            <b/>
            <sz val="9"/>
            <color indexed="81"/>
            <rFont val="Tahoma"/>
            <family val="2"/>
          </rPr>
          <t>Player: Current year – Year of retirement
Ex - Player: Years Retired = Current year – Year of retirement</t>
        </r>
        <r>
          <rPr>
            <sz val="9"/>
            <color indexed="81"/>
            <rFont val="Tahoma"/>
            <family val="2"/>
          </rPr>
          <t xml:space="preserve">
</t>
        </r>
      </text>
    </comment>
    <comment ref="G9" authorId="0" shapeId="0" xr:uid="{5CDA4BE2-E1CD-4E0E-89A9-FF4E30044C83}">
      <text>
        <r>
          <rPr>
            <b/>
            <sz val="9"/>
            <color indexed="81"/>
            <rFont val="Tahoma"/>
            <family val="2"/>
          </rPr>
          <t>Player: Expected Total Career length - no. of years not played
Ex - Player: Total career length - no. of years not played.</t>
        </r>
        <r>
          <rPr>
            <sz val="9"/>
            <color indexed="81"/>
            <rFont val="Tahoma"/>
            <family val="2"/>
          </rPr>
          <t xml:space="preserve">
</t>
        </r>
      </text>
    </comment>
    <comment ref="G10" authorId="0" shapeId="0" xr:uid="{C637C745-DCC5-4383-8A92-267931729DA0}">
      <text>
        <r>
          <rPr>
            <b/>
            <sz val="9"/>
            <color indexed="81"/>
            <rFont val="Tahoma"/>
            <family val="2"/>
          </rPr>
          <t>Player : Years to retirment + Number of seasons played to date
Ex - player: Number of seasons played to date</t>
        </r>
        <r>
          <rPr>
            <sz val="9"/>
            <color indexed="81"/>
            <rFont val="Tahoma"/>
            <family val="2"/>
          </rPr>
          <t xml:space="preserve">
</t>
        </r>
      </text>
    </comment>
    <comment ref="E11" authorId="0" shapeId="0" xr:uid="{2EA999F1-98ED-42DB-841C-C704C0D05917}">
      <text>
        <r>
          <rPr>
            <b/>
            <sz val="9"/>
            <color indexed="81"/>
            <rFont val="Tahoma"/>
            <charset val="1"/>
          </rPr>
          <t>Balance after the additional member contributions - (Input from the user)</t>
        </r>
        <r>
          <rPr>
            <sz val="9"/>
            <color indexed="81"/>
            <rFont val="Tahoma"/>
            <charset val="1"/>
          </rPr>
          <t xml:space="preserve">
Account balance = Balance available in the account date + additional member contributions
i.e in this case Balance = 40,251, Additional member balance =9000
Account balance = 49,251</t>
        </r>
      </text>
    </comment>
    <comment ref="G11" authorId="0" shapeId="0" xr:uid="{4C55C55C-D9B2-45CA-BEB1-C930A4A271AA}">
      <text>
        <r>
          <rPr>
            <sz val="9"/>
            <color indexed="81"/>
            <rFont val="Tahoma"/>
            <family val="2"/>
          </rPr>
          <t xml:space="preserve">
</t>
        </r>
        <r>
          <rPr>
            <b/>
            <sz val="9"/>
            <color indexed="81"/>
            <rFont val="Tahoma"/>
            <family val="2"/>
          </rPr>
          <t>Only applicable rates to be shown</t>
        </r>
      </text>
    </comment>
    <comment ref="G12" authorId="0" shapeId="0" xr:uid="{D1AE4661-B185-438B-A158-D7BCE14FC2B8}">
      <text>
        <r>
          <rPr>
            <b/>
            <sz val="9"/>
            <color indexed="81"/>
            <rFont val="Tahoma"/>
            <family val="2"/>
          </rPr>
          <t>Display only the rates of the investment option chosen</t>
        </r>
        <r>
          <rPr>
            <sz val="9"/>
            <color indexed="81"/>
            <rFont val="Tahoma"/>
            <family val="2"/>
          </rPr>
          <t xml:space="preserve">
</t>
        </r>
      </text>
    </comment>
    <comment ref="G13" authorId="0" shapeId="0" xr:uid="{1182C745-1D24-466F-B0D2-60DEC15629F5}">
      <text>
        <r>
          <rPr>
            <b/>
            <sz val="11"/>
            <color theme="1"/>
            <rFont val="Calibri"/>
            <family val="2"/>
            <scheme val="minor"/>
          </rPr>
          <t>The lump sum payout will be 100% for the players with 1-5 years of service</t>
        </r>
      </text>
    </comment>
    <comment ref="G14" authorId="0" shapeId="0" xr:uid="{AAE9E947-8312-48A8-9648-225E2391CE3D}">
      <text>
        <r>
          <rPr>
            <b/>
            <sz val="9"/>
            <color indexed="81"/>
            <rFont val="Tahoma"/>
            <family val="2"/>
          </rPr>
          <t>The players with a  1-5 years of service will not participate in the periodic payment plan</t>
        </r>
      </text>
    </comment>
    <comment ref="B21" authorId="0" shapeId="0" xr:uid="{3A44F2F6-C0E8-4D22-9393-2CE3C4FD5DCD}">
      <text>
        <r>
          <rPr>
            <sz val="11"/>
            <color theme="1"/>
            <rFont val="Calibri"/>
            <family val="2"/>
            <scheme val="minor"/>
          </rPr>
          <t xml:space="preserve">No auto switches considered
</t>
        </r>
      </text>
    </comment>
    <comment ref="C23" authorId="0" shapeId="0" xr:uid="{FB658BDC-B3D3-4981-82AA-5112EE298A26}">
      <text>
        <r>
          <rPr>
            <b/>
            <sz val="9"/>
            <color indexed="81"/>
            <rFont val="Tahoma"/>
            <family val="2"/>
          </rPr>
          <t>Refer to the contributions sheet for sample Annual contribution amounts</t>
        </r>
        <r>
          <rPr>
            <sz val="9"/>
            <color indexed="81"/>
            <rFont val="Tahoma"/>
            <family val="2"/>
          </rPr>
          <t xml:space="preserve">
</t>
        </r>
      </text>
    </comment>
    <comment ref="D23" authorId="0" shapeId="0" xr:uid="{8F282BED-BC80-451A-A2C8-39AF2B5EB037}">
      <text>
        <r>
          <rPr>
            <b/>
            <sz val="9"/>
            <color indexed="81"/>
            <rFont val="Tahoma"/>
            <family val="2"/>
          </rPr>
          <t>Refer to the contributions sheet in this workbook</t>
        </r>
      </text>
    </comment>
    <comment ref="E23" authorId="0" shapeId="0" xr:uid="{7424346E-82F8-42A2-AF4F-DFD319FD08AB}">
      <text>
        <r>
          <rPr>
            <b/>
            <sz val="9"/>
            <color indexed="81"/>
            <rFont val="Tahoma"/>
            <family val="2"/>
          </rPr>
          <t>Refer to the contributions sheet in this workbook</t>
        </r>
        <r>
          <rPr>
            <sz val="9"/>
            <color indexed="81"/>
            <rFont val="Tahoma"/>
            <family val="2"/>
          </rPr>
          <t xml:space="preserve">
</t>
        </r>
      </text>
    </comment>
    <comment ref="C29" authorId="0" shapeId="0" xr:uid="{A6E678F5-C789-40DA-B0B0-AAEFD1263D04}">
      <text>
        <r>
          <rPr>
            <b/>
            <sz val="9"/>
            <color indexed="81"/>
            <rFont val="Tahoma"/>
            <family val="2"/>
          </rPr>
          <t>Closing balance of phase 1</t>
        </r>
      </text>
    </comment>
    <comment ref="D29" authorId="0" shapeId="0" xr:uid="{F6DEFF6B-7603-46F5-98FB-CCAE67E11F39}">
      <text>
        <r>
          <rPr>
            <b/>
            <sz val="9"/>
            <color indexed="81"/>
            <rFont val="Tahoma"/>
            <family val="2"/>
          </rPr>
          <t>Investment return is adjusted to the 30th June of the following year of retirement
i.e 
(opening member balance * Investment rate/365)*no.of days until 30th June</t>
        </r>
        <r>
          <rPr>
            <sz val="9"/>
            <color indexed="81"/>
            <rFont val="Tahoma"/>
            <family val="2"/>
          </rPr>
          <t xml:space="preserve">
</t>
        </r>
      </text>
    </comment>
    <comment ref="E29" authorId="0" shapeId="0" xr:uid="{B1EA5A11-D706-41E8-A603-ADA0E928961A}">
      <text>
        <r>
          <rPr>
            <b/>
            <sz val="9"/>
            <color indexed="81"/>
            <rFont val="Tahoma"/>
            <family val="2"/>
          </rPr>
          <t>opening member balance + Investment return on PRS Balance</t>
        </r>
        <r>
          <rPr>
            <sz val="9"/>
            <color indexed="81"/>
            <rFont val="Tahoma"/>
            <family val="2"/>
          </rPr>
          <t xml:space="preserve">
</t>
        </r>
      </text>
    </comment>
    <comment ref="F29" authorId="0" shapeId="0" xr:uid="{8900958A-2E86-49A0-88D4-B5C45487B9A1}">
      <text>
        <r>
          <rPr>
            <b/>
            <sz val="9"/>
            <color indexed="81"/>
            <rFont val="Tahoma"/>
            <family val="2"/>
          </rPr>
          <t>Total Member Balance after Inv. Return * Lump sum payout %</t>
        </r>
        <r>
          <rPr>
            <sz val="9"/>
            <color indexed="81"/>
            <rFont val="Tahoma"/>
            <family val="2"/>
          </rPr>
          <t xml:space="preserve">
</t>
        </r>
      </text>
    </comment>
    <comment ref="G29" authorId="0" shapeId="0" xr:uid="{14746AF8-683F-42F9-905A-2028BA70F534}">
      <text>
        <r>
          <rPr>
            <b/>
            <sz val="9"/>
            <color indexed="81"/>
            <rFont val="Tahoma"/>
            <family val="2"/>
          </rPr>
          <t>membership Fee =1 029 , Tax =32% (Tax and fees are subject to change).
The players with 1-5 years of service will have a lump sum payout as 100%
Lump sum payout after fees &amp; tax = (Total member balance after inv. Return* lump sum payout%) -  (Total member balance after inv. Return *  lump sum payout%)* Tax rate - membership fee</t>
        </r>
      </text>
    </comment>
    <comment ref="C36" authorId="0" shapeId="0" xr:uid="{719E325A-0B87-4220-843D-AF6DBE516A64}">
      <text>
        <r>
          <rPr>
            <b/>
            <sz val="9"/>
            <color indexed="81"/>
            <rFont val="Tahoma"/>
            <family val="2"/>
          </rPr>
          <t>Balance after the contribution period</t>
        </r>
      </text>
    </comment>
    <comment ref="C37" authorId="0" shapeId="0" xr:uid="{55BD53D9-4E7B-4E01-ACB8-8D3E532A788E}">
      <text>
        <r>
          <rPr>
            <b/>
            <sz val="9"/>
            <color indexed="81"/>
            <rFont val="Tahoma"/>
            <family val="2"/>
          </rPr>
          <t>Total Member Balance after Inv. Return * Lump sum payout%</t>
        </r>
      </text>
    </comment>
    <comment ref="C38" authorId="0" shapeId="0" xr:uid="{2DEDD09B-00C5-4482-8C17-07EC0E09A58A}">
      <text>
        <r>
          <rPr>
            <b/>
            <sz val="9"/>
            <color indexed="81"/>
            <rFont val="Tahoma"/>
            <family val="2"/>
          </rPr>
          <t>Total of period payment gross</t>
        </r>
        <r>
          <rPr>
            <sz val="9"/>
            <color indexed="81"/>
            <rFont val="Tahoma"/>
            <family val="2"/>
          </rPr>
          <t xml:space="preserve">
</t>
        </r>
      </text>
    </comment>
    <comment ref="C39" authorId="0" shapeId="0" xr:uid="{890E9274-A1B1-4D5C-AD13-5FA50C3760BF}">
      <text>
        <r>
          <rPr>
            <b/>
            <sz val="9"/>
            <color indexed="81"/>
            <rFont val="Tahoma"/>
            <family val="2"/>
          </rPr>
          <t xml:space="preserve">Total of all the investment returns (Phase 1 + 2 +3+ 4)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Apoorva Sreeramakavacham</author>
  </authors>
  <commentList>
    <comment ref="G8" authorId="0" shapeId="0" xr:uid="{BCF7DF82-E93D-4A56-BD6E-0F85938D0063}">
      <text>
        <r>
          <rPr>
            <b/>
            <sz val="9"/>
            <color indexed="81"/>
            <rFont val="Tahoma"/>
            <family val="2"/>
          </rPr>
          <t>Player: Current year – Year of retirement
Ex - Player: Years Retired = Current year – Year of retirement</t>
        </r>
        <r>
          <rPr>
            <sz val="9"/>
            <color indexed="81"/>
            <rFont val="Tahoma"/>
            <family val="2"/>
          </rPr>
          <t xml:space="preserve">
</t>
        </r>
      </text>
    </comment>
    <comment ref="G9" authorId="0" shapeId="0" xr:uid="{624A5746-C140-4070-86BD-45B4AAD6A3FD}">
      <text>
        <r>
          <rPr>
            <b/>
            <sz val="9"/>
            <color indexed="81"/>
            <rFont val="Tahoma"/>
            <family val="2"/>
          </rPr>
          <t>Player: Expected Total Career length - no. of years not played
Ex - Player: Total career length - no. of years not played.</t>
        </r>
        <r>
          <rPr>
            <sz val="9"/>
            <color indexed="81"/>
            <rFont val="Tahoma"/>
            <family val="2"/>
          </rPr>
          <t xml:space="preserve">
</t>
        </r>
      </text>
    </comment>
    <comment ref="G10" authorId="0" shapeId="0" xr:uid="{DADC52E6-D87E-4D91-A592-A0E1423B4679}">
      <text>
        <r>
          <rPr>
            <b/>
            <sz val="9"/>
            <color indexed="81"/>
            <rFont val="Tahoma"/>
            <family val="2"/>
          </rPr>
          <t>Player : Years to retirment + Number of seasons played to date
Ex - player: Number of seasons played to date</t>
        </r>
        <r>
          <rPr>
            <sz val="9"/>
            <color indexed="81"/>
            <rFont val="Tahoma"/>
            <family val="2"/>
          </rPr>
          <t xml:space="preserve">
</t>
        </r>
      </text>
    </comment>
    <comment ref="E11" authorId="0" shapeId="0" xr:uid="{D081ADBD-06A1-4635-9722-FD90962464EB}">
      <text>
        <r>
          <rPr>
            <b/>
            <sz val="9"/>
            <color indexed="81"/>
            <rFont val="Tahoma"/>
            <charset val="1"/>
          </rPr>
          <t>Balance after the additional member contributions - (Input from the user)</t>
        </r>
        <r>
          <rPr>
            <sz val="9"/>
            <color indexed="81"/>
            <rFont val="Tahoma"/>
            <charset val="1"/>
          </rPr>
          <t xml:space="preserve">
Account balance = Balance available in the account date + additional member contributions
i.e in this case Balance = 40,251, Additional member balance =9000
Account balance = 49,251</t>
        </r>
      </text>
    </comment>
    <comment ref="G11" authorId="0" shapeId="0" xr:uid="{68D7BE84-3A10-4888-A53E-E61C0630EAF6}">
      <text>
        <r>
          <rPr>
            <sz val="9"/>
            <color indexed="81"/>
            <rFont val="Tahoma"/>
            <family val="2"/>
          </rPr>
          <t xml:space="preserve">
</t>
        </r>
        <r>
          <rPr>
            <b/>
            <sz val="9"/>
            <color indexed="81"/>
            <rFont val="Tahoma"/>
            <family val="2"/>
          </rPr>
          <t>Only applicable rates to be shown</t>
        </r>
      </text>
    </comment>
    <comment ref="G12" authorId="0" shapeId="0" xr:uid="{91712440-DF0D-4A2F-8DE1-14D9FD0F6BF0}">
      <text>
        <r>
          <rPr>
            <b/>
            <sz val="9"/>
            <color indexed="81"/>
            <rFont val="Tahoma"/>
            <family val="2"/>
          </rPr>
          <t>Display only the rates of the investment option chosen</t>
        </r>
        <r>
          <rPr>
            <sz val="9"/>
            <color indexed="81"/>
            <rFont val="Tahoma"/>
            <family val="2"/>
          </rPr>
          <t xml:space="preserve">
</t>
        </r>
      </text>
    </comment>
    <comment ref="G13" authorId="0" shapeId="0" xr:uid="{39485730-73DE-46FB-820B-CF83C3CF9CA4}">
      <text>
        <r>
          <rPr>
            <b/>
            <sz val="9"/>
            <color indexed="81"/>
            <rFont val="Tahoma"/>
            <family val="2"/>
          </rPr>
          <t>The lump sum payout will be 30% for the players with 6, 7 years of service</t>
        </r>
      </text>
    </comment>
    <comment ref="G14" authorId="0" shapeId="0" xr:uid="{276749FD-1D8D-431A-8114-7106572E894B}">
      <text>
        <r>
          <rPr>
            <b/>
            <sz val="9"/>
            <color indexed="81"/>
            <rFont val="Tahoma"/>
            <family val="2"/>
          </rPr>
          <t>The players with 6 &amp; 7 years of service will have 3 years of  periodic payments waiting period (Phase 3) followed by Periodic payments for 5 years.</t>
        </r>
      </text>
    </comment>
    <comment ref="B21" authorId="0" shapeId="0" xr:uid="{AA866EA4-5FC2-4231-8010-725DC15D2CA0}">
      <text>
        <r>
          <rPr>
            <sz val="11"/>
            <color theme="1"/>
            <rFont val="Calibri"/>
            <family val="2"/>
            <scheme val="minor"/>
          </rPr>
          <t xml:space="preserve">The contributions for this example is calculated in the same way as the 1-5 years of service example
No auto switches considered
</t>
        </r>
      </text>
    </comment>
    <comment ref="B27" authorId="0" shapeId="0" xr:uid="{4A3024EA-5101-4F30-AAB2-6EB6A831AA1F}">
      <text>
        <r>
          <rPr>
            <b/>
            <sz val="9"/>
            <color indexed="81"/>
            <rFont val="Tahoma"/>
            <family val="2"/>
          </rPr>
          <t>* The contributions continue until the year of retirement. For this case, the contribution are made from 2022-2025 as the player is retiring in the year 2025
For projections the balance after the last contribution is taken as the opening balance of phase 2</t>
        </r>
        <r>
          <rPr>
            <sz val="9"/>
            <color indexed="81"/>
            <rFont val="Tahoma"/>
            <family val="2"/>
          </rPr>
          <t xml:space="preserve">
</t>
        </r>
      </text>
    </comment>
    <comment ref="C31" authorId="0" shapeId="0" xr:uid="{FC4E4514-65F2-4A20-9F2D-1795E377B15B}">
      <text>
        <r>
          <rPr>
            <b/>
            <sz val="9"/>
            <color indexed="81"/>
            <rFont val="Tahoma"/>
            <family val="2"/>
          </rPr>
          <t>Closing balance of phase 1</t>
        </r>
      </text>
    </comment>
    <comment ref="D31" authorId="0" shapeId="0" xr:uid="{20967C15-0CA9-4E94-9836-FBBF4921AB61}">
      <text>
        <r>
          <rPr>
            <b/>
            <sz val="9"/>
            <color indexed="81"/>
            <rFont val="Tahoma"/>
            <family val="2"/>
          </rPr>
          <t>Investment return is adjusted to the 30th June of the following year of retirement
i.e 
(opening member balance * Investment rate/365)*no.of days until 30th June</t>
        </r>
        <r>
          <rPr>
            <sz val="9"/>
            <color indexed="81"/>
            <rFont val="Tahoma"/>
            <family val="2"/>
          </rPr>
          <t xml:space="preserve">
</t>
        </r>
      </text>
    </comment>
    <comment ref="E31" authorId="0" shapeId="0" xr:uid="{B89B6C8E-528D-455C-A653-442D8A7B2BCD}">
      <text>
        <r>
          <rPr>
            <b/>
            <sz val="9"/>
            <color indexed="81"/>
            <rFont val="Tahoma"/>
            <family val="2"/>
          </rPr>
          <t>opening member balance + Investment return on PRS Balance</t>
        </r>
        <r>
          <rPr>
            <sz val="9"/>
            <color indexed="81"/>
            <rFont val="Tahoma"/>
            <family val="2"/>
          </rPr>
          <t xml:space="preserve">
</t>
        </r>
      </text>
    </comment>
    <comment ref="F31" authorId="0" shapeId="0" xr:uid="{8AEFB2F7-C117-4DD8-B7B8-C56B92A82614}">
      <text>
        <r>
          <rPr>
            <b/>
            <sz val="9"/>
            <color indexed="81"/>
            <rFont val="Tahoma"/>
            <family val="2"/>
          </rPr>
          <t>Total Member Balance after Inv. Return * Lump sum payout %</t>
        </r>
        <r>
          <rPr>
            <sz val="9"/>
            <color indexed="81"/>
            <rFont val="Tahoma"/>
            <family val="2"/>
          </rPr>
          <t xml:space="preserve">
</t>
        </r>
      </text>
    </comment>
    <comment ref="G31" authorId="0" shapeId="0" xr:uid="{31731B5C-027F-4945-AEB5-0B28B4F26AD5}">
      <text>
        <r>
          <rPr>
            <b/>
            <sz val="9"/>
            <color indexed="81"/>
            <rFont val="Tahoma"/>
            <family val="2"/>
          </rPr>
          <t>membership Fee =1 029 , Tax =32% (Tax and fees are subject to change).
The players with 6,7  years of service will have a lump sum payout as 30%
Lump sum payout after fees and tax = (Lump Sum Amount) – ((Lump Sum Amount) *Tax rate) - Membership Fee</t>
        </r>
      </text>
    </comment>
    <comment ref="H31" authorId="0" shapeId="0" xr:uid="{09FAFD9D-B7F8-440D-A965-0EC24170FC24}">
      <text>
        <r>
          <rPr>
            <b/>
            <sz val="9"/>
            <color indexed="81"/>
            <rFont val="Tahoma"/>
            <family val="2"/>
          </rPr>
          <t>= Total PRS balance after investment - Lump Sum Amount
where,
Lump sum amount = Total PRS balance after investment * Lump sum payout %</t>
        </r>
      </text>
    </comment>
    <comment ref="B34" authorId="0" shapeId="0" xr:uid="{F0A78DD9-D407-4C1F-838A-AFB52BEC1728}">
      <text>
        <r>
          <rPr>
            <b/>
            <sz val="9"/>
            <color indexed="81"/>
            <rFont val="Tahoma"/>
            <family val="2"/>
          </rPr>
          <t>A waiting period of 3years applies to the players with 6,7 years of service</t>
        </r>
      </text>
    </comment>
    <comment ref="C36" authorId="0" shapeId="0" xr:uid="{73BEED40-D23F-423A-9EE1-952FCE72BF0F}">
      <text>
        <r>
          <rPr>
            <b/>
            <sz val="9"/>
            <color indexed="81"/>
            <rFont val="Tahoma"/>
            <family val="2"/>
          </rPr>
          <t xml:space="preserve">For year 1: Closing balance (phase 2) * Investment rate (selected by the user)
For year 2&amp;3: Closing balance of previous year * Investment rate (selected by the user)
</t>
        </r>
      </text>
    </comment>
    <comment ref="D36" authorId="0" shapeId="0" xr:uid="{AF3DA671-FB0A-42EB-AB1B-C78D22AD2045}">
      <text>
        <r>
          <rPr>
            <b/>
            <sz val="9"/>
            <color indexed="81"/>
            <rFont val="Tahoma"/>
            <family val="2"/>
          </rPr>
          <t>For year 1: Opening balance (Phase 2) + Investment return (year 1)
For year 2&amp;3: Closing balance of previous year + Investment return (year 1)</t>
        </r>
        <r>
          <rPr>
            <sz val="9"/>
            <color indexed="81"/>
            <rFont val="Tahoma"/>
            <family val="2"/>
          </rPr>
          <t xml:space="preserve">
</t>
        </r>
      </text>
    </comment>
    <comment ref="B41" authorId="0" shapeId="0" xr:uid="{91D6CE3B-11BE-41D8-A291-29E676A0C199}">
      <text>
        <r>
          <rPr>
            <b/>
            <sz val="9"/>
            <color indexed="81"/>
            <rFont val="Tahoma"/>
            <family val="2"/>
          </rPr>
          <t>Periodic payments are made for 5 years to the players with  6 or 7 years of service</t>
        </r>
        <r>
          <rPr>
            <sz val="9"/>
            <color indexed="81"/>
            <rFont val="Tahoma"/>
            <family val="2"/>
          </rPr>
          <t xml:space="preserve">
</t>
        </r>
      </text>
    </comment>
    <comment ref="C43" authorId="0" shapeId="0" xr:uid="{80B3362A-70E6-435B-AFAD-3C57638FB20A}">
      <text>
        <r>
          <rPr>
            <b/>
            <sz val="9"/>
            <color indexed="81"/>
            <rFont val="Tahoma"/>
            <family val="2"/>
          </rPr>
          <t xml:space="preserve">*The pay out ratio is calculated as [100% / no. of years left for last payment]
These values are defaulted with respect to the years of service.
</t>
        </r>
        <r>
          <rPr>
            <sz val="9"/>
            <color indexed="81"/>
            <rFont val="Tahoma"/>
            <family val="2"/>
          </rPr>
          <t xml:space="preserve">
i.e for year 1 100/5 = 20.0%
year 2 100/4 = 25.0%</t>
        </r>
      </text>
    </comment>
    <comment ref="D43" authorId="0" shapeId="0" xr:uid="{BA6773FA-8F8B-4813-BE79-B02C482E8406}">
      <text>
        <r>
          <rPr>
            <b/>
            <sz val="9"/>
            <color indexed="81"/>
            <rFont val="Tahoma"/>
            <family val="2"/>
          </rPr>
          <t>For year 1: Closing balance (Phase 3), later: Closing balance of previous year</t>
        </r>
        <r>
          <rPr>
            <sz val="9"/>
            <color indexed="81"/>
            <rFont val="Tahoma"/>
            <family val="2"/>
          </rPr>
          <t xml:space="preserve">
</t>
        </r>
        <r>
          <rPr>
            <sz val="9"/>
            <color indexed="81"/>
            <rFont val="Tahoma"/>
            <family val="2"/>
          </rPr>
          <t xml:space="preserve">
</t>
        </r>
      </text>
    </comment>
    <comment ref="E43" authorId="0" shapeId="0" xr:uid="{DE876A91-FD9A-42C6-B14C-E23879C20D8A}">
      <text>
        <r>
          <rPr>
            <b/>
            <sz val="9"/>
            <color indexed="81"/>
            <rFont val="Tahoma"/>
            <family val="2"/>
          </rPr>
          <t xml:space="preserve"> 
For year 1: Closing Bal (phase 2) * Investment rate (selected by the user)
For year 2&amp;3: Closing Bal of previous year * Investment rate (selected by the user)
</t>
        </r>
        <r>
          <rPr>
            <sz val="9"/>
            <color indexed="81"/>
            <rFont val="Tahoma"/>
            <family val="2"/>
          </rPr>
          <t xml:space="preserve">
</t>
        </r>
      </text>
    </comment>
    <comment ref="F43" authorId="0" shapeId="0" xr:uid="{3B800F53-9DE4-4663-88FF-BA1935E9F82B}">
      <text>
        <r>
          <rPr>
            <b/>
            <sz val="9"/>
            <color indexed="81"/>
            <rFont val="Tahoma"/>
            <family val="2"/>
          </rPr>
          <t>opening bal * payout ratio</t>
        </r>
      </text>
    </comment>
    <comment ref="G43" authorId="0" shapeId="0" xr:uid="{A9411E87-D80A-463F-9EC4-120D760BEC0F}">
      <text>
        <r>
          <rPr>
            <b/>
            <sz val="9"/>
            <color indexed="81"/>
            <rFont val="Tahoma"/>
            <family val="2"/>
          </rPr>
          <t>Periodic Payment Gross * Tax rate
~ 32% considered for projections</t>
        </r>
        <r>
          <rPr>
            <sz val="9"/>
            <color indexed="81"/>
            <rFont val="Tahoma"/>
            <family val="2"/>
          </rPr>
          <t xml:space="preserve">
</t>
        </r>
      </text>
    </comment>
    <comment ref="H43" authorId="0" shapeId="0" xr:uid="{3CAE8B84-CDC0-4017-B047-3C685FA935C4}">
      <text>
        <r>
          <rPr>
            <b/>
            <sz val="9"/>
            <color indexed="81"/>
            <rFont val="Tahoma"/>
            <family val="2"/>
          </rPr>
          <t xml:space="preserve">Opening Bal + Investment return – Periodic Payment Gross
</t>
        </r>
      </text>
    </comment>
    <comment ref="H48" authorId="0" shapeId="0" xr:uid="{D7ADBAFA-C456-4704-8127-0C39A2A491FF}">
      <text>
        <r>
          <rPr>
            <b/>
            <sz val="9"/>
            <color indexed="81"/>
            <rFont val="Tahoma"/>
            <family val="2"/>
          </rPr>
          <t>The investment return for the final year is payed out and the closing balance will be 0</t>
        </r>
      </text>
    </comment>
    <comment ref="C52" authorId="0" shapeId="0" xr:uid="{2E13265F-6BAC-4025-89F2-8B9ED94E91CE}">
      <text>
        <r>
          <rPr>
            <b/>
            <sz val="9"/>
            <color indexed="81"/>
            <rFont val="Tahoma"/>
            <family val="2"/>
          </rPr>
          <t>Balance after the contribution period</t>
        </r>
      </text>
    </comment>
    <comment ref="C53" authorId="0" shapeId="0" xr:uid="{3BB2E786-624F-4D59-8E00-B1439ADC3C31}">
      <text>
        <r>
          <rPr>
            <b/>
            <sz val="9"/>
            <color indexed="81"/>
            <rFont val="Tahoma"/>
            <family val="2"/>
          </rPr>
          <t>Total Member Balance after Inv. Return * Lump sum payout%</t>
        </r>
      </text>
    </comment>
    <comment ref="C54" authorId="0" shapeId="0" xr:uid="{8DD30BFB-3303-4639-867D-E607FE045577}">
      <text>
        <r>
          <rPr>
            <b/>
            <sz val="9"/>
            <color indexed="81"/>
            <rFont val="Tahoma"/>
            <family val="2"/>
          </rPr>
          <t>Total of period payment gross</t>
        </r>
        <r>
          <rPr>
            <sz val="9"/>
            <color indexed="81"/>
            <rFont val="Tahoma"/>
            <family val="2"/>
          </rPr>
          <t xml:space="preserve">
</t>
        </r>
      </text>
    </comment>
    <comment ref="C55" authorId="0" shapeId="0" xr:uid="{E7DCBD05-2134-412F-8157-95371764513D}">
      <text>
        <r>
          <rPr>
            <b/>
            <sz val="9"/>
            <color indexed="81"/>
            <rFont val="Tahoma"/>
            <family val="2"/>
          </rPr>
          <t>Total of all the investment returns (Phase 1 + 2 +3+4)</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Apoorva Sreeramakavacham</author>
  </authors>
  <commentList>
    <comment ref="G8" authorId="0" shapeId="0" xr:uid="{35EAA7C3-0831-446F-A1BA-BA470E302C52}">
      <text>
        <r>
          <rPr>
            <b/>
            <sz val="9"/>
            <color indexed="81"/>
            <rFont val="Tahoma"/>
            <family val="2"/>
          </rPr>
          <t>Player: Current year – Year of retirement
Ex - Player: Years Retired = Current year – Year of retirement</t>
        </r>
        <r>
          <rPr>
            <sz val="9"/>
            <color indexed="81"/>
            <rFont val="Tahoma"/>
            <family val="2"/>
          </rPr>
          <t xml:space="preserve">
</t>
        </r>
      </text>
    </comment>
    <comment ref="G9" authorId="0" shapeId="0" xr:uid="{72FE5958-D2EE-43BE-9138-74522E374109}">
      <text>
        <r>
          <rPr>
            <b/>
            <sz val="9"/>
            <color indexed="81"/>
            <rFont val="Tahoma"/>
            <family val="2"/>
          </rPr>
          <t>Player: Expected Total Career length - no. of years not played
Ex - Player: Total career length - no. of years not played.</t>
        </r>
        <r>
          <rPr>
            <sz val="9"/>
            <color indexed="81"/>
            <rFont val="Tahoma"/>
            <family val="2"/>
          </rPr>
          <t xml:space="preserve">
</t>
        </r>
      </text>
    </comment>
    <comment ref="G10" authorId="0" shapeId="0" xr:uid="{5C40B10B-AC71-4F05-A573-D36C6280047E}">
      <text>
        <r>
          <rPr>
            <b/>
            <sz val="9"/>
            <color indexed="81"/>
            <rFont val="Tahoma"/>
            <family val="2"/>
          </rPr>
          <t>Player : Years to retirment + Number of seasons played to date
Ex - player: Number of seasons played to date</t>
        </r>
        <r>
          <rPr>
            <sz val="9"/>
            <color indexed="81"/>
            <rFont val="Tahoma"/>
            <family val="2"/>
          </rPr>
          <t xml:space="preserve">
</t>
        </r>
      </text>
    </comment>
    <comment ref="E11" authorId="0" shapeId="0" xr:uid="{BF44D525-182C-4B92-8C1B-FB41DE8197BF}">
      <text>
        <r>
          <rPr>
            <b/>
            <sz val="9"/>
            <color indexed="81"/>
            <rFont val="Tahoma"/>
            <charset val="1"/>
          </rPr>
          <t>Balance after the additional member contributions - (Input from the user)</t>
        </r>
        <r>
          <rPr>
            <sz val="9"/>
            <color indexed="81"/>
            <rFont val="Tahoma"/>
            <charset val="1"/>
          </rPr>
          <t xml:space="preserve">
Account balance = Balance available in the account date + additional member contributions
i.e in this case Balance = 40,251, Additional member balance =9000
Account balance = 49,251</t>
        </r>
      </text>
    </comment>
    <comment ref="G11" authorId="0" shapeId="0" xr:uid="{9EF521E8-B6EB-4AAF-84BF-77C3A61DFBBF}">
      <text>
        <r>
          <rPr>
            <sz val="9"/>
            <color indexed="81"/>
            <rFont val="Tahoma"/>
            <family val="2"/>
          </rPr>
          <t xml:space="preserve">
</t>
        </r>
        <r>
          <rPr>
            <b/>
            <sz val="9"/>
            <color indexed="81"/>
            <rFont val="Tahoma"/>
            <family val="2"/>
          </rPr>
          <t>Only applicable rates to be shown</t>
        </r>
      </text>
    </comment>
    <comment ref="G12" authorId="0" shapeId="0" xr:uid="{A3D92365-825A-4260-B96F-145EB34B0AA1}">
      <text>
        <r>
          <rPr>
            <b/>
            <sz val="9"/>
            <color indexed="81"/>
            <rFont val="Tahoma"/>
            <family val="2"/>
          </rPr>
          <t>Display only the rates of the investment option chosen</t>
        </r>
        <r>
          <rPr>
            <sz val="9"/>
            <color indexed="81"/>
            <rFont val="Tahoma"/>
            <family val="2"/>
          </rPr>
          <t xml:space="preserve">
</t>
        </r>
      </text>
    </comment>
    <comment ref="G13" authorId="0" shapeId="0" xr:uid="{907FC7AB-8F9F-47C2-BB6A-7EE9BA563A6F}">
      <text>
        <r>
          <rPr>
            <b/>
            <sz val="9"/>
            <color indexed="81"/>
            <rFont val="Tahoma"/>
            <family val="2"/>
          </rPr>
          <t>The lump sum payout will be 30% for the players with 8+years of service</t>
        </r>
      </text>
    </comment>
    <comment ref="G14" authorId="0" shapeId="0" xr:uid="{7F6EB5B4-78A4-411E-A2FC-09FCB2B133C2}">
      <text>
        <r>
          <rPr>
            <b/>
            <sz val="9"/>
            <color indexed="81"/>
            <rFont val="Tahoma"/>
            <family val="2"/>
          </rPr>
          <t>The players with 8+ years of service will have 3 years of  periodic payments waiting period (Phase 3) followed by Periodic payments for 10 years.</t>
        </r>
      </text>
    </comment>
    <comment ref="B21" authorId="0" shapeId="0" xr:uid="{3F0AB23B-7C8B-4B6A-996A-87E037E88CC7}">
      <text>
        <r>
          <rPr>
            <sz val="11"/>
            <color theme="1"/>
            <rFont val="Calibri"/>
            <family val="2"/>
            <scheme val="minor"/>
          </rPr>
          <t xml:space="preserve">Refer contributions sheet in this workbook
No auto switches considered
</t>
        </r>
      </text>
    </comment>
    <comment ref="B30" authorId="0" shapeId="0" xr:uid="{88B51915-0887-4B9A-B106-9ADFE734F7D0}">
      <text>
        <r>
          <rPr>
            <b/>
            <sz val="9"/>
            <color indexed="81"/>
            <rFont val="Tahoma"/>
            <family val="2"/>
          </rPr>
          <t xml:space="preserve">* The contributions continue until the year of retirement. For this case, the contribution are made from 2022-2028 as the player is retiring in the year 2028
Note:
For projections the last balance of contribution period is taken as the opening balance of Phase 2 </t>
        </r>
        <r>
          <rPr>
            <sz val="9"/>
            <color indexed="81"/>
            <rFont val="Tahoma"/>
            <family val="2"/>
          </rPr>
          <t xml:space="preserve">
</t>
        </r>
      </text>
    </comment>
    <comment ref="C34" authorId="0" shapeId="0" xr:uid="{B326795B-D10D-415A-867E-E6E6927FAA7D}">
      <text>
        <r>
          <rPr>
            <b/>
            <sz val="9"/>
            <color indexed="81"/>
            <rFont val="Tahoma"/>
            <family val="2"/>
          </rPr>
          <t>Closing balance of phase 1</t>
        </r>
      </text>
    </comment>
    <comment ref="D34" authorId="0" shapeId="0" xr:uid="{F26BFB03-F12D-45DE-8556-82D62AE9D688}">
      <text>
        <r>
          <rPr>
            <b/>
            <sz val="9"/>
            <color indexed="81"/>
            <rFont val="Tahoma"/>
            <family val="2"/>
          </rPr>
          <t>Investment return is adjusted to the July of the following year of retirement
i.e 
(opening member balance * Investment rate/365)*no.of days until 30th June</t>
        </r>
        <r>
          <rPr>
            <sz val="9"/>
            <color indexed="81"/>
            <rFont val="Tahoma"/>
            <family val="2"/>
          </rPr>
          <t xml:space="preserve">
</t>
        </r>
      </text>
    </comment>
    <comment ref="E34" authorId="0" shapeId="0" xr:uid="{31370DC3-7219-4DF4-A39F-CAD7FB1C43C4}">
      <text>
        <r>
          <rPr>
            <b/>
            <sz val="9"/>
            <color indexed="81"/>
            <rFont val="Tahoma"/>
            <family val="2"/>
          </rPr>
          <t>opening member balance + Investment return on PRS Balance</t>
        </r>
        <r>
          <rPr>
            <sz val="9"/>
            <color indexed="81"/>
            <rFont val="Tahoma"/>
            <family val="2"/>
          </rPr>
          <t xml:space="preserve">
</t>
        </r>
      </text>
    </comment>
    <comment ref="F34" authorId="0" shapeId="0" xr:uid="{4EA8A3CB-6EAA-486D-8F01-FEA626F458B0}">
      <text>
        <r>
          <rPr>
            <b/>
            <sz val="9"/>
            <color indexed="81"/>
            <rFont val="Tahoma"/>
            <family val="2"/>
          </rPr>
          <t>Total Member Balance after Inv. Return * Lump sum payout %</t>
        </r>
        <r>
          <rPr>
            <sz val="9"/>
            <color indexed="81"/>
            <rFont val="Tahoma"/>
            <family val="2"/>
          </rPr>
          <t xml:space="preserve">
</t>
        </r>
      </text>
    </comment>
    <comment ref="G34" authorId="0" shapeId="0" xr:uid="{27B5DE1F-4BC7-4477-B2BB-51804670EBAC}">
      <text>
        <r>
          <rPr>
            <b/>
            <sz val="9"/>
            <color indexed="81"/>
            <rFont val="Tahoma"/>
            <family val="2"/>
          </rPr>
          <t>membership Fee =1029 , Tax =32% (Tax and fees are subject to change).
The players with 8+  years of service will have a lump sum payout as 30%</t>
        </r>
      </text>
    </comment>
    <comment ref="H34" authorId="0" shapeId="0" xr:uid="{B5A36993-AD1C-4101-B859-B3F93DA52949}">
      <text>
        <r>
          <rPr>
            <b/>
            <sz val="9"/>
            <color indexed="81"/>
            <rFont val="Tahoma"/>
            <family val="2"/>
          </rPr>
          <t>= Total PRS balance after investment - Lump Sum Amount
where,
Lump sum amount = Total PRS balance after investment * Lump sum payout %</t>
        </r>
      </text>
    </comment>
    <comment ref="B37" authorId="0" shapeId="0" xr:uid="{20689D9F-8229-4DAC-81D1-464065E6523E}">
      <text>
        <r>
          <rPr>
            <b/>
            <sz val="9"/>
            <color indexed="81"/>
            <rFont val="Tahoma"/>
            <family val="2"/>
          </rPr>
          <t>A waiting period of 3years applies to the players with 8+ years of service</t>
        </r>
      </text>
    </comment>
    <comment ref="C39" authorId="0" shapeId="0" xr:uid="{20697B92-1F0C-48D8-BFAC-FD73D1105B4D}">
      <text>
        <r>
          <rPr>
            <b/>
            <sz val="9"/>
            <color indexed="81"/>
            <rFont val="Tahoma"/>
            <family val="2"/>
          </rPr>
          <t xml:space="preserve">For year 1: Closing balance (phase 2) * Investment rate (selected by the user)
For year 2&amp;3: Closing balance of previous year * Investment rate (selected by the user)
</t>
        </r>
      </text>
    </comment>
    <comment ref="D39" authorId="0" shapeId="0" xr:uid="{CD5A6048-11F2-44A9-AD30-6613D50CD565}">
      <text>
        <r>
          <rPr>
            <b/>
            <sz val="9"/>
            <color indexed="81"/>
            <rFont val="Tahoma"/>
            <family val="2"/>
          </rPr>
          <t>For year 1: Opening balance (Phase 2) + Investment return (year 1)
For year 2&amp;3: Closing balance of previous year + Investment return (year 1)</t>
        </r>
      </text>
    </comment>
    <comment ref="C46" authorId="0" shapeId="0" xr:uid="{CCD4C725-BB8B-4BE8-9F72-7B68A5CE0335}">
      <text>
        <r>
          <rPr>
            <b/>
            <sz val="9"/>
            <color indexed="81"/>
            <rFont val="Tahoma"/>
            <family val="2"/>
          </rPr>
          <t xml:space="preserve">*The pay out ratio is calculated as [100% / no. of years left for last payment]
These values are defaulted with respect to the years of service.
</t>
        </r>
        <r>
          <rPr>
            <sz val="9"/>
            <color indexed="81"/>
            <rFont val="Tahoma"/>
            <family val="2"/>
          </rPr>
          <t xml:space="preserve">
i.e for year 1 100/10 = 10.0%
year 2 100/9 = 11.1%</t>
        </r>
      </text>
    </comment>
    <comment ref="D46" authorId="0" shapeId="0" xr:uid="{E80D0CE4-9F49-4D59-B7C2-67BC36CE3AAD}">
      <text>
        <r>
          <rPr>
            <b/>
            <sz val="9"/>
            <color indexed="81"/>
            <rFont val="Tahoma"/>
            <family val="2"/>
          </rPr>
          <t>For year 1: Closing balance (Phase 3), later: Closing balance of previous year</t>
        </r>
        <r>
          <rPr>
            <sz val="9"/>
            <color indexed="81"/>
            <rFont val="Tahoma"/>
            <family val="2"/>
          </rPr>
          <t xml:space="preserve">
</t>
        </r>
      </text>
    </comment>
    <comment ref="E46" authorId="0" shapeId="0" xr:uid="{8FF810CD-5F9B-4DEC-8E2D-A91560AC949D}">
      <text>
        <r>
          <rPr>
            <b/>
            <sz val="9"/>
            <color indexed="81"/>
            <rFont val="Tahoma"/>
            <family val="2"/>
          </rPr>
          <t xml:space="preserve"> 
For year 1: Closing Bal (phase 2) * Investment rate (selected by the user)
For year 2&amp;3: Closing Bal of previous year * Investment rate (selected by the user)
</t>
        </r>
        <r>
          <rPr>
            <sz val="9"/>
            <color indexed="81"/>
            <rFont val="Tahoma"/>
            <family val="2"/>
          </rPr>
          <t xml:space="preserve">
</t>
        </r>
      </text>
    </comment>
    <comment ref="F46" authorId="0" shapeId="0" xr:uid="{470AA993-7501-4643-885E-AE959F29410A}">
      <text>
        <r>
          <rPr>
            <b/>
            <sz val="9"/>
            <color indexed="81"/>
            <rFont val="Tahoma"/>
            <family val="2"/>
          </rPr>
          <t>opening bal * payout ratio</t>
        </r>
      </text>
    </comment>
    <comment ref="G46" authorId="0" shapeId="0" xr:uid="{D6DD6B80-BD5A-4D66-92FF-8DA2871B7284}">
      <text>
        <r>
          <rPr>
            <b/>
            <sz val="9"/>
            <color indexed="81"/>
            <rFont val="Tahoma"/>
            <family val="2"/>
          </rPr>
          <t>Periodic Payment Gross * Tax rate
~ 32% considered for projections</t>
        </r>
        <r>
          <rPr>
            <sz val="9"/>
            <color indexed="81"/>
            <rFont val="Tahoma"/>
            <family val="2"/>
          </rPr>
          <t xml:space="preserve">
</t>
        </r>
      </text>
    </comment>
    <comment ref="H46" authorId="0" shapeId="0" xr:uid="{6F3EF93F-97DD-4A7F-86AF-76D2026581B3}">
      <text>
        <r>
          <rPr>
            <b/>
            <sz val="9"/>
            <color indexed="81"/>
            <rFont val="Tahoma"/>
            <family val="2"/>
          </rPr>
          <t xml:space="preserve">Opening Bal + Investment return – Periodic Payment Gross
</t>
        </r>
      </text>
    </comment>
    <comment ref="H56" authorId="0" shapeId="0" xr:uid="{0F2A8FFC-7124-4701-B109-4EC47A46EB60}">
      <text>
        <r>
          <rPr>
            <b/>
            <sz val="9"/>
            <color indexed="81"/>
            <rFont val="Tahoma"/>
            <family val="2"/>
          </rPr>
          <t>The investment return for the final year is payed out and the closing balance will be 0</t>
        </r>
        <r>
          <rPr>
            <sz val="9"/>
            <color indexed="81"/>
            <rFont val="Tahoma"/>
            <charset val="1"/>
          </rPr>
          <t xml:space="preserve">
</t>
        </r>
      </text>
    </comment>
    <comment ref="C60" authorId="0" shapeId="0" xr:uid="{2358EF07-73F0-4E18-9E1C-299262EB9D9E}">
      <text>
        <r>
          <rPr>
            <b/>
            <sz val="9"/>
            <color indexed="81"/>
            <rFont val="Tahoma"/>
            <family val="2"/>
          </rPr>
          <t>Balance after the contribution period</t>
        </r>
      </text>
    </comment>
    <comment ref="C61" authorId="0" shapeId="0" xr:uid="{B2AD78BB-E107-4259-A169-72998D4FA8A1}">
      <text>
        <r>
          <rPr>
            <b/>
            <sz val="9"/>
            <color indexed="81"/>
            <rFont val="Tahoma"/>
            <family val="2"/>
          </rPr>
          <t>Total Member Balance after Inv. Return * Lump sum payout%</t>
        </r>
      </text>
    </comment>
    <comment ref="C62" authorId="0" shapeId="0" xr:uid="{970AC7BB-31D0-4AC8-AA91-0E01BBA4C9ED}">
      <text>
        <r>
          <rPr>
            <b/>
            <sz val="9"/>
            <color indexed="81"/>
            <rFont val="Tahoma"/>
            <family val="2"/>
          </rPr>
          <t>Total of period payment gross</t>
        </r>
        <r>
          <rPr>
            <sz val="9"/>
            <color indexed="81"/>
            <rFont val="Tahoma"/>
            <family val="2"/>
          </rPr>
          <t xml:space="preserve">
</t>
        </r>
      </text>
    </comment>
    <comment ref="C63" authorId="0" shapeId="0" xr:uid="{0F4EE13D-2D26-4D84-B2CD-0363A33949CC}">
      <text>
        <r>
          <rPr>
            <b/>
            <sz val="9"/>
            <color indexed="81"/>
            <rFont val="Tahoma"/>
            <family val="2"/>
          </rPr>
          <t>Total of all the investment returns (Phase 1 + 2 +3+4)</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Apoorva Sreeramakavacham</author>
  </authors>
  <commentList>
    <comment ref="C22" authorId="0" shapeId="0" xr:uid="{AEDEAC3A-7652-419F-8CE1-5DDDAEFA2C7A}">
      <text>
        <r>
          <rPr>
            <b/>
            <sz val="10"/>
            <color indexed="81"/>
            <rFont val="Calibri"/>
            <family val="2"/>
            <scheme val="minor"/>
          </rPr>
          <t>Current account balance date determines the point where you are in the contributions 
For this case the current balance known is on 1st March 2022, the contributions from may are considered</t>
        </r>
        <r>
          <rPr>
            <sz val="9"/>
            <color indexed="81"/>
            <rFont val="Tahoma"/>
            <family val="2"/>
          </rPr>
          <t xml:space="preserve">
</t>
        </r>
      </text>
    </comment>
    <comment ref="D25" authorId="0" shapeId="0" xr:uid="{CE7D6A71-2D97-407F-B544-97F0CEA6BB5F}">
      <text>
        <r>
          <rPr>
            <b/>
            <sz val="9"/>
            <color indexed="81"/>
            <rFont val="Tahoma"/>
            <family val="2"/>
          </rPr>
          <t>The Annual contribution amounts are taken from the table above and varies with respect to the players starting season and the length of service</t>
        </r>
        <r>
          <rPr>
            <sz val="9"/>
            <color indexed="81"/>
            <rFont val="Tahoma"/>
            <family val="2"/>
          </rPr>
          <t xml:space="preserve">
</t>
        </r>
      </text>
    </comment>
    <comment ref="F25" authorId="0" shapeId="0" xr:uid="{9EE8AE66-EB20-492D-800B-F0F1520587DA}">
      <text>
        <r>
          <rPr>
            <sz val="11"/>
            <color theme="1"/>
            <rFont val="Calibri"/>
            <family val="2"/>
            <scheme val="minor"/>
          </rPr>
          <t xml:space="preserve">If the balance is taken at November 1st, the investment return to mid feb for (105 days) is calculated as
(Opening balance at nov * 0.02 / 365) *no. of days until mid feb from Nov 1st
November - 30 days
December - 31 days
Jan - 31 days
Feb - 14 days  ~ 105 days
i.e (last Opening balance* investment rate / 365) *no. of days until mid feb from last opening balance date
</t>
        </r>
      </text>
    </comment>
    <comment ref="G25" authorId="0" shapeId="0" xr:uid="{4E2E57CB-D668-4543-8328-0407BE27B084}">
      <text>
        <r>
          <rPr>
            <b/>
            <sz val="9"/>
            <color indexed="81"/>
            <rFont val="Tahoma"/>
            <family val="2"/>
          </rPr>
          <t>Annual contribution amount * 0.25</t>
        </r>
        <r>
          <rPr>
            <sz val="9"/>
            <color indexed="81"/>
            <rFont val="Tahoma"/>
            <family val="2"/>
          </rPr>
          <t xml:space="preserve">
</t>
        </r>
      </text>
    </comment>
    <comment ref="H25" authorId="0" shapeId="0" xr:uid="{17591B55-1335-4B84-AB52-EB7375B9C39B}">
      <text>
        <r>
          <rPr>
            <b/>
            <sz val="9"/>
            <color indexed="81"/>
            <rFont val="Tahoma"/>
            <family val="2"/>
          </rPr>
          <t>Opening bal 1Nov + Investment return to mid feb + Contribution 25%</t>
        </r>
        <r>
          <rPr>
            <sz val="9"/>
            <color indexed="81"/>
            <rFont val="Tahoma"/>
            <family val="2"/>
          </rPr>
          <t xml:space="preserve">
</t>
        </r>
      </text>
    </comment>
    <comment ref="I25" authorId="0" shapeId="0" xr:uid="{5D425ED0-7898-4E91-9547-6FE977C02ADD}">
      <text>
        <r>
          <rPr>
            <b/>
            <sz val="9"/>
            <color indexed="81"/>
            <rFont val="Tahoma"/>
            <family val="2"/>
          </rPr>
          <t xml:space="preserve">Investment return is calculated on last available balance date till mid may. 
= (last available balance * investment rate / 365) * no.of days until mid may from the last available balance date
Ex. If the last available balance is at 1st March then approximately ~75 days till mid of May. 
= (49251*0.02)/365)*75
</t>
        </r>
      </text>
    </comment>
    <comment ref="J25" authorId="0" shapeId="0" xr:uid="{355F0F21-A724-44B9-ACA1-5A6FA25ADFF4}">
      <text>
        <r>
          <rPr>
            <b/>
            <sz val="9"/>
            <color indexed="81"/>
            <rFont val="Tahoma"/>
            <family val="2"/>
          </rPr>
          <t xml:space="preserve">Annual contribution amount * 0.25
</t>
        </r>
      </text>
    </comment>
    <comment ref="K25" authorId="0" shapeId="0" xr:uid="{D310E9F1-D25A-4A57-BA16-C7DEE4CADAE5}">
      <text>
        <r>
          <rPr>
            <b/>
            <sz val="9"/>
            <color indexed="81"/>
            <rFont val="Tahoma"/>
            <family val="2"/>
          </rPr>
          <t xml:space="preserve">Balance at mid of feb +Investment return to mid may+ contribution*0.25
</t>
        </r>
        <r>
          <rPr>
            <sz val="9"/>
            <color indexed="81"/>
            <rFont val="Tahoma"/>
            <family val="2"/>
          </rPr>
          <t xml:space="preserve">
</t>
        </r>
      </text>
    </comment>
    <comment ref="L25" authorId="0" shapeId="0" xr:uid="{DA126397-356B-4743-869E-EBB03BF0000C}">
      <text>
        <r>
          <rPr>
            <b/>
            <sz val="9"/>
            <color indexed="81"/>
            <rFont val="Tahoma"/>
            <family val="2"/>
          </rPr>
          <t>investment return is calculated on balance at mid of may till mid aug. ~ 92days 
= (balance at mid of may * investment rate / 365) * 92</t>
        </r>
        <r>
          <rPr>
            <sz val="9"/>
            <color indexed="81"/>
            <rFont val="Tahoma"/>
            <family val="2"/>
          </rPr>
          <t xml:space="preserve">
</t>
        </r>
      </text>
    </comment>
    <comment ref="M25" authorId="0" shapeId="0" xr:uid="{4B5C4265-2971-4F31-9286-D01BD78DE3AA}">
      <text>
        <r>
          <rPr>
            <b/>
            <sz val="9"/>
            <color indexed="81"/>
            <rFont val="Tahoma"/>
            <family val="2"/>
          </rPr>
          <t>Annual contribution amount * 0.5</t>
        </r>
        <r>
          <rPr>
            <sz val="9"/>
            <color indexed="81"/>
            <rFont val="Tahoma"/>
            <family val="2"/>
          </rPr>
          <t xml:space="preserve">
</t>
        </r>
      </text>
    </comment>
    <comment ref="N25" authorId="0" shapeId="0" xr:uid="{04CEB5FE-F171-4F69-9DFE-7491F51764E7}">
      <text>
        <r>
          <rPr>
            <b/>
            <sz val="9"/>
            <color indexed="81"/>
            <rFont val="Tahoma"/>
            <family val="2"/>
          </rPr>
          <t>Bal at Mid may + IR at mid aug + contribution 50%</t>
        </r>
        <r>
          <rPr>
            <sz val="9"/>
            <color indexed="81"/>
            <rFont val="Tahoma"/>
            <family val="2"/>
          </rPr>
          <t xml:space="preserve">
</t>
        </r>
      </text>
    </comment>
    <comment ref="O25" authorId="0" shapeId="0" xr:uid="{FBEC7AB0-9528-4F63-AE67-F2C3485F9CAA}">
      <text>
        <r>
          <rPr>
            <b/>
            <sz val="9"/>
            <color indexed="81"/>
            <rFont val="Tahoma"/>
            <family val="2"/>
          </rPr>
          <t>~75 days approximately
= (balance at mid of aug * investment rate / 365) * no. of days from mid aug to 31 october</t>
        </r>
      </text>
    </comment>
    <comment ref="P25" authorId="0" shapeId="0" xr:uid="{F63BC054-D93B-42DA-8D9C-DB0FF9416A0F}">
      <text>
        <r>
          <rPr>
            <b/>
            <sz val="9"/>
            <color indexed="81"/>
            <rFont val="Tahoma"/>
            <family val="2"/>
          </rPr>
          <t>Bal at mid aug + Investment return to 31Oct</t>
        </r>
        <r>
          <rPr>
            <sz val="9"/>
            <color indexed="81"/>
            <rFont val="Tahoma"/>
            <family val="2"/>
          </rPr>
          <t xml:space="preserve">
</t>
        </r>
      </text>
    </comment>
    <comment ref="D26" authorId="0" shapeId="0" xr:uid="{DDE49D6C-25EA-45C9-8751-2989C7277A14}">
      <text>
        <r>
          <rPr>
            <b/>
            <sz val="9"/>
            <color indexed="81"/>
            <rFont val="Tahoma"/>
            <family val="2"/>
          </rPr>
          <t>As the player has service length of 4years at the time of retirement</t>
        </r>
        <r>
          <rPr>
            <sz val="9"/>
            <color indexed="81"/>
            <rFont val="Tahoma"/>
            <family val="2"/>
          </rPr>
          <t xml:space="preserve">
</t>
        </r>
      </text>
    </comment>
    <comment ref="E28" authorId="0" shapeId="0" xr:uid="{39FAA623-69FC-4409-A334-B6F2B1139C30}">
      <text>
        <r>
          <rPr>
            <sz val="11"/>
            <color theme="1"/>
            <rFont val="Calibri"/>
            <family val="2"/>
            <scheme val="minor"/>
          </rPr>
          <t>No auto switches of Investment return options are</t>
        </r>
      </text>
    </comment>
    <comment ref="D29" authorId="0" shapeId="0" xr:uid="{302506E3-87BF-4833-9790-80C61F4E704A}">
      <text>
        <r>
          <rPr>
            <b/>
            <sz val="9"/>
            <color indexed="81"/>
            <rFont val="Tahoma"/>
            <family val="2"/>
          </rPr>
          <t>The Annual contribution amounts are taken from the table above and varies with respect to the players starting season and the length of service</t>
        </r>
        <r>
          <rPr>
            <sz val="9"/>
            <color indexed="81"/>
            <rFont val="Tahoma"/>
            <family val="2"/>
          </rPr>
          <t xml:space="preserve">
</t>
        </r>
      </text>
    </comment>
    <comment ref="F29" authorId="0" shapeId="0" xr:uid="{3EF0B666-4BFE-40AC-ADF8-0345E236038E}">
      <text>
        <r>
          <rPr>
            <sz val="11"/>
            <color theme="1"/>
            <rFont val="Calibri"/>
            <family val="2"/>
            <scheme val="minor"/>
          </rPr>
          <t xml:space="preserve">If the balance is taken at November 1st, the investment return to mid feb for (105 days) is calculated as
(Opening balance at nov * 0.04 / 365) *no. of days until mid feb from Nov 1st
November - 30 days
December - 31 days
Jan - 31 days
Feb - 14 days  ~ 105 days
i.e (last Opening balance* investment rate / 365) *no. of days until mid feb from last opening balance date
</t>
        </r>
      </text>
    </comment>
    <comment ref="G29" authorId="0" shapeId="0" xr:uid="{98CEE8E4-59B3-4C83-884F-CEBCCA79CB13}">
      <text>
        <r>
          <rPr>
            <b/>
            <sz val="9"/>
            <color indexed="81"/>
            <rFont val="Tahoma"/>
            <family val="2"/>
          </rPr>
          <t>Annual contribution amount * 0.25</t>
        </r>
        <r>
          <rPr>
            <sz val="9"/>
            <color indexed="81"/>
            <rFont val="Tahoma"/>
            <family val="2"/>
          </rPr>
          <t xml:space="preserve">
</t>
        </r>
      </text>
    </comment>
    <comment ref="H29" authorId="0" shapeId="0" xr:uid="{C03D6B14-84A0-4082-880A-1E3F687D1E07}">
      <text>
        <r>
          <rPr>
            <b/>
            <sz val="9"/>
            <color indexed="81"/>
            <rFont val="Tahoma"/>
            <family val="2"/>
          </rPr>
          <t>Opening bal 1Nov + Investment return to mid feb + Contribution 25%</t>
        </r>
        <r>
          <rPr>
            <sz val="9"/>
            <color indexed="81"/>
            <rFont val="Tahoma"/>
            <family val="2"/>
          </rPr>
          <t xml:space="preserve">
</t>
        </r>
      </text>
    </comment>
    <comment ref="I29" authorId="0" shapeId="0" xr:uid="{F46EBC2D-BA4D-451E-BE02-87017DE9C545}">
      <text>
        <r>
          <rPr>
            <b/>
            <sz val="9"/>
            <color indexed="81"/>
            <rFont val="Tahoma"/>
            <family val="2"/>
          </rPr>
          <t xml:space="preserve">Investment return is calculated on last available balance date till mid may. 
= (last available balance * investment rate / 365) * no.of days until mid may from the last available balance date
Ex. If the last available balance is at 1st March then approximately ~75 days till mid of May. 
= (49251*0.02)/365)*75
</t>
        </r>
      </text>
    </comment>
    <comment ref="J29" authorId="0" shapeId="0" xr:uid="{A0494588-E60F-412A-AC18-CB6544B14050}">
      <text>
        <r>
          <rPr>
            <b/>
            <sz val="9"/>
            <color indexed="81"/>
            <rFont val="Tahoma"/>
            <family val="2"/>
          </rPr>
          <t xml:space="preserve">Annual contribution amount * 0.25
</t>
        </r>
      </text>
    </comment>
    <comment ref="K29" authorId="0" shapeId="0" xr:uid="{AD2C8CF1-42D1-4E3F-BCA0-026DBC886F3E}">
      <text>
        <r>
          <rPr>
            <b/>
            <sz val="9"/>
            <color indexed="81"/>
            <rFont val="Tahoma"/>
            <family val="2"/>
          </rPr>
          <t xml:space="preserve">Balance at mid of feb +Investment return to mid may+ contribution*0.25
</t>
        </r>
        <r>
          <rPr>
            <sz val="9"/>
            <color indexed="81"/>
            <rFont val="Tahoma"/>
            <family val="2"/>
          </rPr>
          <t xml:space="preserve">
</t>
        </r>
      </text>
    </comment>
    <comment ref="L29" authorId="0" shapeId="0" xr:uid="{5B757744-3FDF-4989-9EBB-FD83D3144025}">
      <text>
        <r>
          <rPr>
            <b/>
            <sz val="9"/>
            <color indexed="81"/>
            <rFont val="Tahoma"/>
            <family val="2"/>
          </rPr>
          <t>investment return is calculated on balance at mid of may till mid aug. ~ 92days 
= (balance at mid of may * investment rate / 365) * 92</t>
        </r>
        <r>
          <rPr>
            <sz val="9"/>
            <color indexed="81"/>
            <rFont val="Tahoma"/>
            <family val="2"/>
          </rPr>
          <t xml:space="preserve">
</t>
        </r>
      </text>
    </comment>
    <comment ref="M29" authorId="0" shapeId="0" xr:uid="{895C2138-446E-4000-A3F9-741A4F8A9C0F}">
      <text>
        <r>
          <rPr>
            <b/>
            <sz val="9"/>
            <color indexed="81"/>
            <rFont val="Tahoma"/>
            <family val="2"/>
          </rPr>
          <t>Annual contribution amount * 0.5</t>
        </r>
        <r>
          <rPr>
            <sz val="9"/>
            <color indexed="81"/>
            <rFont val="Tahoma"/>
            <family val="2"/>
          </rPr>
          <t xml:space="preserve">
</t>
        </r>
      </text>
    </comment>
    <comment ref="N29" authorId="0" shapeId="0" xr:uid="{ECF85070-F894-4361-8C66-41FEFF797133}">
      <text>
        <r>
          <rPr>
            <b/>
            <sz val="9"/>
            <color indexed="81"/>
            <rFont val="Tahoma"/>
            <family val="2"/>
          </rPr>
          <t>Bal at Mid may + IR at mid aug + contribution 50%</t>
        </r>
        <r>
          <rPr>
            <sz val="9"/>
            <color indexed="81"/>
            <rFont val="Tahoma"/>
            <family val="2"/>
          </rPr>
          <t xml:space="preserve">
</t>
        </r>
      </text>
    </comment>
    <comment ref="O29" authorId="0" shapeId="0" xr:uid="{6DBF1132-CAAA-4569-9E85-C152CCC1178D}">
      <text>
        <r>
          <rPr>
            <b/>
            <sz val="9"/>
            <color indexed="81"/>
            <rFont val="Tahoma"/>
            <family val="2"/>
          </rPr>
          <t>~75 days approximately
= (balance at mid of aug * investment rate / 365) * no. of days from mid aug to 31 october</t>
        </r>
      </text>
    </comment>
    <comment ref="P29" authorId="0" shapeId="0" xr:uid="{D40ECD62-069D-4579-9493-2F3D422C17A5}">
      <text>
        <r>
          <rPr>
            <b/>
            <sz val="9"/>
            <color indexed="81"/>
            <rFont val="Tahoma"/>
            <family val="2"/>
          </rPr>
          <t>Bal at mid aug + Investment return to 31Oct</t>
        </r>
        <r>
          <rPr>
            <sz val="9"/>
            <color indexed="81"/>
            <rFont val="Tahoma"/>
            <family val="2"/>
          </rPr>
          <t xml:space="preserve">
</t>
        </r>
      </text>
    </comment>
    <comment ref="D30" authorId="0" shapeId="0" xr:uid="{CAC53AD4-2BC8-4993-B86F-70328590F454}">
      <text>
        <r>
          <rPr>
            <b/>
            <sz val="9"/>
            <color indexed="81"/>
            <rFont val="Tahoma"/>
            <family val="2"/>
          </rPr>
          <t>As the player has service length of 4years at the time of retirement</t>
        </r>
        <r>
          <rPr>
            <sz val="9"/>
            <color indexed="81"/>
            <rFont val="Tahoma"/>
            <family val="2"/>
          </rPr>
          <t xml:space="preserve">
</t>
        </r>
      </text>
    </comment>
    <comment ref="E36" authorId="0" shapeId="0" xr:uid="{6F20D4E7-05A2-4298-A900-B098936D8423}">
      <text>
        <r>
          <rPr>
            <sz val="11"/>
            <color theme="1"/>
            <rFont val="Calibri"/>
            <family val="2"/>
            <scheme val="minor"/>
          </rPr>
          <t>No auto switches of Investment return options are</t>
        </r>
      </text>
    </comment>
    <comment ref="D37" authorId="0" shapeId="0" xr:uid="{D077FA9B-CEEF-4828-B3C0-A8D345044327}">
      <text>
        <r>
          <rPr>
            <b/>
            <sz val="9"/>
            <color indexed="81"/>
            <rFont val="Tahoma"/>
            <family val="2"/>
          </rPr>
          <t>The Annual contribution amounts are taken from the table above and varies with respect to the players starting season and the length of service</t>
        </r>
        <r>
          <rPr>
            <sz val="9"/>
            <color indexed="81"/>
            <rFont val="Tahoma"/>
            <family val="2"/>
          </rPr>
          <t xml:space="preserve">
</t>
        </r>
      </text>
    </comment>
    <comment ref="F37" authorId="0" shapeId="0" xr:uid="{F23EE0BA-7BAE-4EEF-AD5F-1FC02B47D4B9}">
      <text>
        <r>
          <rPr>
            <sz val="11"/>
            <color theme="1"/>
            <rFont val="Calibri"/>
            <family val="2"/>
            <scheme val="minor"/>
          </rPr>
          <t xml:space="preserve">If the balance is taken at November 1st, the investment return to mid feb for (105 days) is calculated as
(Opening balance at nov * 0.04 / 365) *no. of days until mid feb from Nov 1st
November - 30 days
December - 31 days
Jan - 31 days
Feb - 14 days  ~ 105 days
i.e (last Opening balance* investment rate / 365) *no. of days until mid feb from last opening balance date
</t>
        </r>
      </text>
    </comment>
    <comment ref="G37" authorId="0" shapeId="0" xr:uid="{37D33999-B2C9-472C-BB65-8317F34C7E53}">
      <text>
        <r>
          <rPr>
            <b/>
            <sz val="9"/>
            <color indexed="81"/>
            <rFont val="Tahoma"/>
            <family val="2"/>
          </rPr>
          <t>Annual contribution amount * 0.25</t>
        </r>
        <r>
          <rPr>
            <sz val="9"/>
            <color indexed="81"/>
            <rFont val="Tahoma"/>
            <family val="2"/>
          </rPr>
          <t xml:space="preserve">
</t>
        </r>
      </text>
    </comment>
    <comment ref="H37" authorId="0" shapeId="0" xr:uid="{4821ADBF-841A-40B8-A3C0-0441F8CE9FA1}">
      <text>
        <r>
          <rPr>
            <b/>
            <sz val="9"/>
            <color indexed="81"/>
            <rFont val="Tahoma"/>
            <family val="2"/>
          </rPr>
          <t>Opening bal 1Nov + Investment return to mid feb + Contribution 25%</t>
        </r>
        <r>
          <rPr>
            <sz val="9"/>
            <color indexed="81"/>
            <rFont val="Tahoma"/>
            <family val="2"/>
          </rPr>
          <t xml:space="preserve">
</t>
        </r>
      </text>
    </comment>
    <comment ref="I37" authorId="0" shapeId="0" xr:uid="{1A0A2597-7976-4C51-812E-70129ABF9092}">
      <text>
        <r>
          <rPr>
            <b/>
            <sz val="9"/>
            <color indexed="81"/>
            <rFont val="Tahoma"/>
            <family val="2"/>
          </rPr>
          <t xml:space="preserve">Investment return is calculated on last available balance date till mid may. 
= (last available balance * investment rate / 365) * no.of days until mid may from the last available balance date
Ex. If the last available balance is at 1st March then approximately ~75 days till mid of May. 
= (49251*0.02)/365)*75
</t>
        </r>
      </text>
    </comment>
    <comment ref="J37" authorId="0" shapeId="0" xr:uid="{F07A0323-EEE2-45EB-9A83-05F1DF173EF3}">
      <text>
        <r>
          <rPr>
            <b/>
            <sz val="9"/>
            <color indexed="81"/>
            <rFont val="Tahoma"/>
            <family val="2"/>
          </rPr>
          <t xml:space="preserve">Annual contribution amount * 0.25
</t>
        </r>
      </text>
    </comment>
    <comment ref="K37" authorId="0" shapeId="0" xr:uid="{7F37B8DE-73E2-4824-9B08-BBC5066D8E93}">
      <text>
        <r>
          <rPr>
            <b/>
            <sz val="9"/>
            <color indexed="81"/>
            <rFont val="Tahoma"/>
            <family val="2"/>
          </rPr>
          <t xml:space="preserve">Balance at mid of feb +Investment return to mid may+ contribution*0.25
</t>
        </r>
        <r>
          <rPr>
            <sz val="9"/>
            <color indexed="81"/>
            <rFont val="Tahoma"/>
            <family val="2"/>
          </rPr>
          <t xml:space="preserve">
</t>
        </r>
      </text>
    </comment>
    <comment ref="L37" authorId="0" shapeId="0" xr:uid="{2F373ACF-6377-410F-A327-0BC7FBE918A9}">
      <text>
        <r>
          <rPr>
            <b/>
            <sz val="9"/>
            <color indexed="81"/>
            <rFont val="Tahoma"/>
            <family val="2"/>
          </rPr>
          <t>investment return is calculated on balance at mid of may till mid aug. ~ 92days 
= (balance at mid of may * investment rate / 365) * 92</t>
        </r>
        <r>
          <rPr>
            <sz val="9"/>
            <color indexed="81"/>
            <rFont val="Tahoma"/>
            <family val="2"/>
          </rPr>
          <t xml:space="preserve">
</t>
        </r>
      </text>
    </comment>
    <comment ref="M37" authorId="0" shapeId="0" xr:uid="{D162AF60-17AF-4010-851E-3BE0ADDDC6B8}">
      <text>
        <r>
          <rPr>
            <b/>
            <sz val="9"/>
            <color indexed="81"/>
            <rFont val="Tahoma"/>
            <family val="2"/>
          </rPr>
          <t>Annual contribution amount * 0.5</t>
        </r>
        <r>
          <rPr>
            <sz val="9"/>
            <color indexed="81"/>
            <rFont val="Tahoma"/>
            <family val="2"/>
          </rPr>
          <t xml:space="preserve">
</t>
        </r>
      </text>
    </comment>
    <comment ref="N37" authorId="0" shapeId="0" xr:uid="{31CEB828-31D0-470F-8836-F897D7B82E8A}">
      <text>
        <r>
          <rPr>
            <b/>
            <sz val="9"/>
            <color indexed="81"/>
            <rFont val="Tahoma"/>
            <family val="2"/>
          </rPr>
          <t>Bal at Mid may + IR at mid aug + contribution 50%</t>
        </r>
        <r>
          <rPr>
            <sz val="9"/>
            <color indexed="81"/>
            <rFont val="Tahoma"/>
            <family val="2"/>
          </rPr>
          <t xml:space="preserve">
</t>
        </r>
      </text>
    </comment>
    <comment ref="O37" authorId="0" shapeId="0" xr:uid="{23D7F0FB-E1F6-427C-ADAA-51A65C16A61F}">
      <text>
        <r>
          <rPr>
            <b/>
            <sz val="9"/>
            <color indexed="81"/>
            <rFont val="Tahoma"/>
            <family val="2"/>
          </rPr>
          <t>~75 days approximately
= (balance at mid of aug * investment rate / 365) * no. of days from mid aug to 31 october</t>
        </r>
      </text>
    </comment>
    <comment ref="P37" authorId="0" shapeId="0" xr:uid="{E8ADE167-BE86-4356-859D-C20552FAB62B}">
      <text>
        <r>
          <rPr>
            <b/>
            <sz val="9"/>
            <color indexed="81"/>
            <rFont val="Tahoma"/>
            <family val="2"/>
          </rPr>
          <t>Bal at mid aug + Investment return to 31Oct</t>
        </r>
        <r>
          <rPr>
            <sz val="9"/>
            <color indexed="81"/>
            <rFont val="Tahoma"/>
            <family val="2"/>
          </rPr>
          <t xml:space="preserve">
</t>
        </r>
      </text>
    </comment>
    <comment ref="D38" authorId="0" shapeId="0" xr:uid="{CF78AC40-F874-48CC-8024-445A3611BA44}">
      <text>
        <r>
          <rPr>
            <b/>
            <sz val="9"/>
            <color indexed="81"/>
            <rFont val="Tahoma"/>
            <family val="2"/>
          </rPr>
          <t>As the player has service length of 4years at the time of retirement</t>
        </r>
        <r>
          <rPr>
            <sz val="9"/>
            <color indexed="81"/>
            <rFont val="Tahoma"/>
            <family val="2"/>
          </rPr>
          <t xml:space="preserve">
</t>
        </r>
      </text>
    </comment>
  </commentList>
</comments>
</file>

<file path=xl/sharedStrings.xml><?xml version="1.0" encoding="utf-8"?>
<sst xmlns="http://schemas.openxmlformats.org/spreadsheetml/2006/main" count="339" uniqueCount="186">
  <si>
    <t>First Name</t>
  </si>
  <si>
    <t>Ben</t>
  </si>
  <si>
    <t>Last Name</t>
  </si>
  <si>
    <t>Paton</t>
  </si>
  <si>
    <t>Member No</t>
  </si>
  <si>
    <t>AF001451</t>
  </si>
  <si>
    <t>Player Starting Season</t>
  </si>
  <si>
    <t>Planned retirement season</t>
  </si>
  <si>
    <t>Number of years not played</t>
  </si>
  <si>
    <t>Latest account balance</t>
  </si>
  <si>
    <t>Investment option</t>
  </si>
  <si>
    <t>Retirement Benefits Projection Summary</t>
  </si>
  <si>
    <t>Player's Members No</t>
  </si>
  <si>
    <t>Years to Retirement</t>
  </si>
  <si>
    <t>Player Name:</t>
  </si>
  <si>
    <t>Ben Paton</t>
  </si>
  <si>
    <t>Number of seasons played to date</t>
  </si>
  <si>
    <t>The Phase 1, 2 , 3 and 4 , rates are based on the Investment option chosen  for the player's account</t>
  </si>
  <si>
    <t>Club:</t>
  </si>
  <si>
    <t>St Kilda</t>
  </si>
  <si>
    <t>Expected Total Career Length</t>
  </si>
  <si>
    <t>Current Season</t>
  </si>
  <si>
    <t>Player start date</t>
  </si>
  <si>
    <t>Lump sum payout %</t>
  </si>
  <si>
    <t>Planned retirement date</t>
  </si>
  <si>
    <t>Periodic payment period</t>
  </si>
  <si>
    <t>Lump sum only</t>
  </si>
  <si>
    <t>Balanced</t>
  </si>
  <si>
    <t>Membership Fee</t>
  </si>
  <si>
    <t>Projection of Player's Retirement Account</t>
  </si>
  <si>
    <t>Phase 1 Contribution period</t>
  </si>
  <si>
    <t>Season</t>
  </si>
  <si>
    <t>Phase 2 Post retirement year</t>
  </si>
  <si>
    <t>Investment return on Member Balance</t>
  </si>
  <si>
    <t>Lump Sum Payout After Fees &amp; Tax</t>
  </si>
  <si>
    <t>Phase 3 &amp; 4 Periodic payments waiting period</t>
  </si>
  <si>
    <t>Balance at retirement date</t>
  </si>
  <si>
    <t>Lump sum payout gross</t>
  </si>
  <si>
    <t>5 years</t>
  </si>
  <si>
    <t>High growth</t>
  </si>
  <si>
    <t>Phase 1</t>
  </si>
  <si>
    <t>Contribution period</t>
  </si>
  <si>
    <t>Investment Rate*</t>
  </si>
  <si>
    <t>Phase 3 Periodic payments waiting period</t>
  </si>
  <si>
    <t>Investment return</t>
  </si>
  <si>
    <t>Phase 4 Periodic payments period</t>
  </si>
  <si>
    <t>Payout Ratio</t>
  </si>
  <si>
    <t>AF001484</t>
  </si>
  <si>
    <t>Connor Ballenden</t>
  </si>
  <si>
    <t>Carlton</t>
  </si>
  <si>
    <t>10 years</t>
  </si>
  <si>
    <t>Phase 2</t>
  </si>
  <si>
    <t>Post retirement year</t>
  </si>
  <si>
    <t>Years Played</t>
  </si>
  <si>
    <t xml:space="preserve">FY2022 Annual Contribution </t>
  </si>
  <si>
    <t>10+</t>
  </si>
  <si>
    <t>CASE 1</t>
  </si>
  <si>
    <t>Investment return to Mid Feb</t>
  </si>
  <si>
    <t>Balance at Mid of Feb</t>
  </si>
  <si>
    <t>Balance at Mid of May</t>
  </si>
  <si>
    <t>Balance at Mid of Aug</t>
  </si>
  <si>
    <t>Field</t>
  </si>
  <si>
    <t>Formula</t>
  </si>
  <si>
    <t>Investment return to Mid-May</t>
  </si>
  <si>
    <t>((Balance at mid of Feb * Investment rate) / no. of days in the year) *no. of days mid-Feb to mid-May</t>
  </si>
  <si>
    <t>Investment return to Mid-August</t>
  </si>
  <si>
    <t>Investment return to 31st October</t>
  </si>
  <si>
    <t>System Populated</t>
  </si>
  <si>
    <t>User to enter</t>
  </si>
  <si>
    <t>User to enter or leave blank</t>
  </si>
  <si>
    <t xml:space="preserve">The current investment option is pre-populated and can be overriden by the user by selecting an option from the Drop down list </t>
  </si>
  <si>
    <t>Selected Investment option</t>
  </si>
  <si>
    <t xml:space="preserve"> Annual contribution amount ($)</t>
  </si>
  <si>
    <t>Opening Member Balance ($)</t>
  </si>
  <si>
    <t>Investment return on Member Balance ($)</t>
  </si>
  <si>
    <t>Total Member Balance after Inv. Return ($)</t>
  </si>
  <si>
    <t>Lump Sum Payout After Fees &amp; Tax ($)</t>
  </si>
  <si>
    <t>Closing Balance ($)</t>
  </si>
  <si>
    <t>Investment return ($)</t>
  </si>
  <si>
    <t>Closing Bal ($)</t>
  </si>
  <si>
    <t>Opening Bal ($)</t>
  </si>
  <si>
    <t xml:space="preserve"> Annual Investment return ($)</t>
  </si>
  <si>
    <t>Closing Bal
31 October ($)</t>
  </si>
  <si>
    <t>Balance at retirement date ($)</t>
  </si>
  <si>
    <t>Lump sum payout gross ($)</t>
  </si>
  <si>
    <t>Total investment return ($)</t>
  </si>
  <si>
    <t>Total periodic payments received gross ($)</t>
  </si>
  <si>
    <t>Annual contribution amount ($)</t>
  </si>
  <si>
    <t>Opening Bal
1 November ($)</t>
  </si>
  <si>
    <t>Investment return to Mid Feb  ($)</t>
  </si>
  <si>
    <t>Contribution 25%  ($)</t>
  </si>
  <si>
    <t>Balance at Mid of Feb  ($)</t>
  </si>
  <si>
    <t>Investment return to Mid May  ($)</t>
  </si>
  <si>
    <t>Balance at Mid of May  ($)</t>
  </si>
  <si>
    <t>Investment return to Mid Aug  ($)</t>
  </si>
  <si>
    <t>Contribution 50%  ($)</t>
  </si>
  <si>
    <t>Balance at Mid of Aug  ($)</t>
  </si>
  <si>
    <t>Investment return to 31 October  ($)</t>
  </si>
  <si>
    <t>Closing Bal
31 October  ($)</t>
  </si>
  <si>
    <t>Lump Sum Amount Gross ($)</t>
  </si>
  <si>
    <t>Periodic Payment after tax ($)</t>
  </si>
  <si>
    <t>Periodic Payment 
Gross  ($)</t>
  </si>
  <si>
    <t>The players with a  1-5 years of service will not participate in the periodic payment plan</t>
  </si>
  <si>
    <t>Player: Current year – Year of exit</t>
  </si>
  <si>
    <t>Ex - Player: Years Retired = Current year – Year of exit</t>
  </si>
  <si>
    <t>Player: Expected years of service - no. of years not played</t>
  </si>
  <si>
    <t>Ex - Player: years of service - no. of years not played.</t>
  </si>
  <si>
    <t>Player: Years to retirement + Number of seasons played to date</t>
  </si>
  <si>
    <t>Ex – player: Total Career length = Number of seasons played to date</t>
  </si>
  <si>
    <t>The investment option chosen by the user in the input screen</t>
  </si>
  <si>
    <t>100 % (1-5 years of service) or 30% (more than 5 years of service)</t>
  </si>
  <si>
    <t>Periodic Payment period</t>
  </si>
  <si>
    <t>1-5 years – Lump sum only</t>
  </si>
  <si>
    <t>6,7 years of service – 5years of period payment period</t>
  </si>
  <si>
    <t xml:space="preserve">8+ years of service - 10 year of periodic payment period </t>
  </si>
  <si>
    <t>Value</t>
  </si>
  <si>
    <t>Comments</t>
  </si>
  <si>
    <t>Investment rate</t>
  </si>
  <si>
    <t>Selected investment option</t>
  </si>
  <si>
    <t>Opening Bal 1 November</t>
  </si>
  <si>
    <t>Member balance at 1 November</t>
  </si>
  <si>
    <t>Contribution %</t>
  </si>
  <si>
    <t>Opening Bal 1Nov + Investment return to mid Feb + Contribution 25%</t>
  </si>
  <si>
    <t>Closing Bal 31 October</t>
  </si>
  <si>
    <t>Bal at mid Aug + Investment return to 31Oct</t>
  </si>
  <si>
    <t>The Annual investment return</t>
  </si>
  <si>
    <t>sum of all the investment returns (Investment return to Mid Feb  + Investment return to Mid-May + Investment return to Mid Aug + Investment return to 31 October)</t>
  </si>
  <si>
    <t>Bal at mid Aug + Investment return to 31st Oct (Derived from the calculations in the table above)</t>
  </si>
  <si>
    <t>Opening member Balance</t>
  </si>
  <si>
    <t>Closing balance of Phase 1</t>
  </si>
  <si>
    <t>Opening member balance * Selected Investment rate</t>
  </si>
  <si>
    <t>Total member balance after Inv. Return</t>
  </si>
  <si>
    <t>Opening member balance + Investment return on Member Balance</t>
  </si>
  <si>
    <t>Lump Sum Amount Gross</t>
  </si>
  <si>
    <t>Total member balance after Inv. Return* Lump sum payout %</t>
  </si>
  <si>
    <t>Closing balance</t>
  </si>
  <si>
    <t>Total member balance after investment - Lump Sum Amount</t>
  </si>
  <si>
    <t>For year 1: Closing balance (phase 2) * Investment rate (selected by the user)</t>
  </si>
  <si>
    <t>For year 1: Opening balance (Phase 2) + Investment return (year 1)</t>
  </si>
  <si>
    <t>For year 2&amp;3: Closing balance of previous year + Investment return (year 1)</t>
  </si>
  <si>
    <t>*The pay out ratio is calculated as [100% / no. of years left for payment]</t>
  </si>
  <si>
    <t>These values are defaulted with respect to the years of service.</t>
  </si>
  <si>
    <t>Opening balance</t>
  </si>
  <si>
    <t>For year 1: Closing balance (Phase 3), later: Closing balance of previous year</t>
  </si>
  <si>
    <t>For year 1: Closing Bal (phase 2) * Investment rate (selected by the user)</t>
  </si>
  <si>
    <t>Periodic payment Gross</t>
  </si>
  <si>
    <t>Opening Bal* payout ratio</t>
  </si>
  <si>
    <t>Periodic Payment After tax</t>
  </si>
  <si>
    <t>Periodic payment Gross * Tax rate</t>
  </si>
  <si>
    <t>Opening Bal + Investment return – Periodic Payment Gross</t>
  </si>
  <si>
    <t>Balance after the last contribution (Closing balance of Phase 1)</t>
  </si>
  <si>
    <t>opening member balance * Lumpsum payout%</t>
  </si>
  <si>
    <t>Total periodic payment received gross</t>
  </si>
  <si>
    <t>Total of Periodic payments gross</t>
  </si>
  <si>
    <t>Total Investment return</t>
  </si>
  <si>
    <t>Investment return (Phase 1 + Phase 2 + Phase 3 + Phase 4)</t>
  </si>
  <si>
    <t>Phase 4</t>
  </si>
  <si>
    <t>Phase 3</t>
  </si>
  <si>
    <t>Player details summary</t>
  </si>
  <si>
    <t>6,7 years of service: 20.0%, 25.0%, 33.3%, 50.0%, 100%</t>
  </si>
  <si>
    <t>8+ years of service: 10.0%,11.1%, 12.5%, 14.3%, 16.7%, 20.0%, 25.0%, 33.3%, 50%, 100.0%</t>
  </si>
  <si>
    <r>
      <t xml:space="preserve">For year 2&amp;3: </t>
    </r>
    <r>
      <rPr>
        <sz val="11"/>
        <color theme="1"/>
        <rFont val="Calibri"/>
        <family val="2"/>
        <scheme val="minor"/>
      </rPr>
      <t>Closing balance of previous year * Investment rate (selected by the user)</t>
    </r>
  </si>
  <si>
    <r>
      <t xml:space="preserve">For year 2&amp;3: </t>
    </r>
    <r>
      <rPr>
        <sz val="11"/>
        <color theme="1"/>
        <rFont val="Calibri"/>
        <family val="2"/>
        <scheme val="minor"/>
      </rPr>
      <t>Closing Bal of previous year * Investment rate (selected by the user)</t>
    </r>
  </si>
  <si>
    <t>Summary of all phases</t>
  </si>
  <si>
    <t>CASE 2</t>
  </si>
  <si>
    <t>1-5 Years of service</t>
  </si>
  <si>
    <t>6,7 Years of service</t>
  </si>
  <si>
    <t>8+ Years of service</t>
  </si>
  <si>
    <t>Tax rate</t>
  </si>
  <si>
    <t>* No auto switches of the investment rates, Telstra and any other contribution are considered for the next sections of this sample. 14th day is considered as Mid of any month in the sample projections</t>
  </si>
  <si>
    <t>The AFLPA Investment contribution amounts are determined based on a member years of service with quarterly instalments received in February (25%) and May (25%) with the two remaining quarterly instalments (50%) received in August as follows:</t>
  </si>
  <si>
    <t xml:space="preserve">Investment rate </t>
  </si>
  <si>
    <t>The appropriate investment is to be displayed (Low/Med/High)</t>
  </si>
  <si>
    <t>Annual contribution amount</t>
  </si>
  <si>
    <t xml:space="preserve">((Current account balance * Investment rate) / no. of days in the year) * no. of days from the date of current account balance to mid Feb </t>
  </si>
  <si>
    <t xml:space="preserve"> Annual Contribution amount * percentage (25% or 50%)</t>
  </si>
  <si>
    <t>Balance at mid of Feb +Investment return to mid may+ Contribution 25%</t>
  </si>
  <si>
    <t>((Balance at mid of May * Investment rate) / no. of days in the year) * no. of days mid-May to mid-Aug</t>
  </si>
  <si>
    <t>Bal at Mid may + Investment return at mid Aug + Contribution 50%</t>
  </si>
  <si>
    <t>((Balance at mid of Aug * Investment rate) / no. of days in the year) * no. of days mid-Aug to 31st October</t>
  </si>
  <si>
    <t xml:space="preserve">(Lump Sum Amount Gross) – ((Lump Sum Amount Gross) *Tax rate) - Membership Fee </t>
  </si>
  <si>
    <r>
      <t xml:space="preserve">The amount depends on the player’s years of service – Refer to the table in </t>
    </r>
    <r>
      <rPr>
        <sz val="11"/>
        <color rgb="FF1064FF"/>
        <rFont val="Calibri"/>
        <family val="2"/>
        <scheme val="minor"/>
      </rPr>
      <t>2.2.1</t>
    </r>
  </si>
  <si>
    <t>Additional member contributions</t>
  </si>
  <si>
    <t>Account balance</t>
  </si>
  <si>
    <t>Account balance date</t>
  </si>
  <si>
    <t>A help text/ Tooltip for Additional member contributions saying 
“if you wish to account for any additional contributions, please add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</si>
</sst>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Red]\-&quot;$&quot;#,##0"/>
    <numFmt numFmtId="41" formatCode="_-* #,##0_-;\-* #,##0_-;_-* &quot;-&quot;_-;_-@_-"/>
    <numFmt numFmtId="44" formatCode="_-&quot;$&quot;* #,##0.00_-;\-&quot;$&quot;* #,##0.00_-;_-&quot;$&quot;* &quot;-&quot;??_-;_-@_-"/>
    <numFmt numFmtId="43" formatCode="_-* #,##0.00_-;\-* #,##0.00_-;_-* &quot;-&quot;??_-;_-@_-"/>
    <numFmt numFmtId="164" formatCode="_-&quot;$&quot;* #,##0_-;\-&quot;$&quot;* #,##0_-;_-&quot;$&quot;* &quot;-&quot;??_-;_-@_-"/>
    <numFmt numFmtId="165" formatCode="[$-C09]d\ mmmm\ yyyy;@"/>
    <numFmt numFmtId="166" formatCode="_-* #,##0_-;\-* #,##0_-;_-* &quot;-&quot;??_-;_-@_-"/>
    <numFmt numFmtId="167" formatCode="0.0%"/>
  </numFmts>
  <fonts count="36" x14ac:knownFonts="1">
    <font>
      <sz val="11"/>
      <color theme="1"/>
      <name val="Calibri"/>
      <family val="2"/>
      <scheme val="minor"/>
    </font>
    <font>
      <sz val="11"/>
      <color theme="1"/>
      <name val="Calibri"/>
      <family val="2"/>
      <scheme val="minor"/>
    </font>
    <font>
      <sz val="11"/>
      <color rgb="FF3F3F76"/>
      <name val="Calibri"/>
      <family val="2"/>
      <scheme val="minor"/>
    </font>
    <font>
      <b/>
      <sz val="11"/>
      <color theme="1"/>
      <name val="Calibri"/>
      <family val="2"/>
      <scheme val="minor"/>
    </font>
    <font>
      <sz val="12"/>
      <color theme="1"/>
      <name val="Calibri"/>
      <family val="2"/>
      <scheme val="minor"/>
    </font>
    <font>
      <b/>
      <sz val="12"/>
      <color rgb="FFFF0000"/>
      <name val="Calibri"/>
      <family val="2"/>
      <scheme val="minor"/>
    </font>
    <font>
      <b/>
      <sz val="12"/>
      <color rgb="FF000000"/>
      <name val="Calibri"/>
      <family val="2"/>
      <scheme val="minor"/>
    </font>
    <font>
      <sz val="12"/>
      <color rgb="FF000000"/>
      <name val="Calibri"/>
      <family val="2"/>
      <scheme val="minor"/>
    </font>
    <font>
      <sz val="10"/>
      <name val="Arial"/>
      <family val="2"/>
    </font>
    <font>
      <b/>
      <sz val="18"/>
      <name val="Arial"/>
      <family val="2"/>
    </font>
    <font>
      <b/>
      <sz val="12"/>
      <name val="Arial"/>
      <family val="2"/>
    </font>
    <font>
      <b/>
      <sz val="12"/>
      <color theme="1"/>
      <name val="Calibri"/>
      <family val="2"/>
      <scheme val="minor"/>
    </font>
    <font>
      <sz val="10"/>
      <color theme="1"/>
      <name val="Calibri"/>
      <family val="2"/>
      <scheme val="minor"/>
    </font>
    <font>
      <b/>
      <sz val="11"/>
      <name val="Arial"/>
      <family val="2"/>
    </font>
    <font>
      <sz val="11"/>
      <name val="Arial"/>
      <family val="2"/>
    </font>
    <font>
      <b/>
      <i/>
      <sz val="11"/>
      <name val="Arial"/>
      <family val="2"/>
    </font>
    <font>
      <b/>
      <i/>
      <sz val="10"/>
      <name val="Arial"/>
      <family val="2"/>
    </font>
    <font>
      <sz val="9"/>
      <color indexed="81"/>
      <name val="Tahoma"/>
      <family val="2"/>
    </font>
    <font>
      <b/>
      <sz val="9"/>
      <color indexed="81"/>
      <name val="Tahoma"/>
      <family val="2"/>
    </font>
    <font>
      <b/>
      <i/>
      <sz val="11"/>
      <color theme="8" tint="-0.499984740745262"/>
      <name val="Calibri"/>
      <family val="2"/>
      <scheme val="minor"/>
    </font>
    <font>
      <b/>
      <i/>
      <sz val="11"/>
      <color theme="1"/>
      <name val="Calibri"/>
      <family val="2"/>
      <scheme val="minor"/>
    </font>
    <font>
      <b/>
      <i/>
      <sz val="11"/>
      <color theme="1"/>
      <name val="Arial"/>
      <family val="2"/>
    </font>
    <font>
      <sz val="10"/>
      <color rgb="FF000000"/>
      <name val="Avenir LT Pro 45 Book"/>
      <family val="2"/>
    </font>
    <font>
      <sz val="11"/>
      <color indexed="8"/>
      <name val="Calibri"/>
      <family val="2"/>
      <scheme val="minor"/>
    </font>
    <font>
      <b/>
      <sz val="18"/>
      <color theme="1"/>
      <name val="Calibri"/>
      <family val="2"/>
      <scheme val="minor"/>
    </font>
    <font>
      <b/>
      <sz val="10"/>
      <color theme="1"/>
      <name val="Avenir LT Pro 45 Book"/>
      <family val="2"/>
    </font>
    <font>
      <b/>
      <sz val="10"/>
      <color rgb="FF000000"/>
      <name val="Avenir LT Pro 45 Book"/>
      <family val="2"/>
    </font>
    <font>
      <b/>
      <sz val="10"/>
      <color rgb="FF000000"/>
      <name val="Arial"/>
      <family val="2"/>
    </font>
    <font>
      <b/>
      <sz val="11"/>
      <color rgb="FF000000"/>
      <name val="Calibri"/>
      <family val="2"/>
    </font>
    <font>
      <b/>
      <sz val="10"/>
      <color indexed="81"/>
      <name val="Calibri"/>
      <family val="2"/>
      <scheme val="minor"/>
    </font>
    <font>
      <sz val="11"/>
      <name val="Calibri"/>
      <family val="2"/>
      <scheme val="minor"/>
    </font>
    <font>
      <sz val="11"/>
      <color rgb="FF000000"/>
      <name val="Calibri"/>
      <family val="2"/>
      <scheme val="minor"/>
    </font>
    <font>
      <sz val="11"/>
      <color rgb="FF002060"/>
      <name val="Calibri"/>
      <family val="2"/>
      <scheme val="minor"/>
    </font>
    <font>
      <sz val="11"/>
      <color rgb="FF1064FF"/>
      <name val="Calibri"/>
      <family val="2"/>
      <scheme val="minor"/>
    </font>
    <font>
      <b/>
      <sz val="9"/>
      <color indexed="81"/>
      <name val="Tahoma"/>
      <charset val="1"/>
    </font>
    <font>
      <sz val="9"/>
      <color indexed="81"/>
      <name val="Tahoma"/>
      <charset val="1"/>
    </font>
  </fonts>
  <fills count="11">
    <fill>
      <patternFill patternType="none"/>
    </fill>
    <fill>
      <patternFill patternType="gray125"/>
    </fill>
    <fill>
      <patternFill patternType="solid">
        <fgColor rgb="FFFFCC99"/>
      </patternFill>
    </fill>
    <fill>
      <patternFill patternType="solid">
        <fgColor theme="4" tint="0.59999389629810485"/>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rgb="FFFFF7D7"/>
        <bgColor indexed="64"/>
      </patternFill>
    </fill>
    <fill>
      <patternFill patternType="solid">
        <fgColor theme="7" tint="0.39997558519241921"/>
        <bgColor indexed="64"/>
      </patternFill>
    </fill>
    <fill>
      <patternFill patternType="solid">
        <fgColor rgb="FFE7E9F1"/>
        <bgColor indexed="64"/>
      </patternFill>
    </fill>
    <fill>
      <patternFill patternType="solid">
        <fgColor rgb="FFFFD93B"/>
        <bgColor indexed="64"/>
      </patternFill>
    </fill>
    <fill>
      <patternFill patternType="solid">
        <fgColor theme="0"/>
        <bgColor indexed="64"/>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auto="1"/>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11">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 fillId="2" borderId="1" applyNumberFormat="0" applyAlignment="0" applyProtection="0"/>
    <xf numFmtId="0" fontId="8" fillId="0" borderId="0"/>
    <xf numFmtId="0" fontId="23" fillId="0" borderId="0"/>
    <xf numFmtId="44" fontId="23" fillId="0" borderId="0" applyFont="0" applyFill="0" applyBorder="0" applyAlignment="0" applyProtection="0"/>
    <xf numFmtId="43" fontId="23" fillId="0" borderId="0" applyFont="0" applyFill="0" applyBorder="0" applyAlignment="0" applyProtection="0"/>
    <xf numFmtId="9" fontId="23" fillId="0" borderId="0" applyFont="0" applyFill="0" applyBorder="0" applyAlignment="0" applyProtection="0"/>
    <xf numFmtId="0" fontId="1" fillId="0" borderId="0"/>
  </cellStyleXfs>
  <cellXfs count="189">
    <xf numFmtId="0" fontId="0" fillId="0" borderId="0" xfId="0"/>
    <xf numFmtId="0" fontId="3" fillId="0" borderId="0" xfId="0" applyFont="1"/>
    <xf numFmtId="0" fontId="4" fillId="0" borderId="0" xfId="0" applyFont="1"/>
    <xf numFmtId="10" fontId="5" fillId="0" borderId="0" xfId="0" applyNumberFormat="1" applyFont="1" applyAlignment="1">
      <alignment horizontal="left"/>
    </xf>
    <xf numFmtId="14" fontId="5" fillId="0" borderId="0" xfId="0" applyNumberFormat="1" applyFont="1" applyAlignment="1">
      <alignment horizontal="left"/>
    </xf>
    <xf numFmtId="0" fontId="6" fillId="0" borderId="0" xfId="0" applyFont="1" applyAlignment="1">
      <alignment vertical="center"/>
    </xf>
    <xf numFmtId="0" fontId="7" fillId="0" borderId="0" xfId="0" applyFont="1" applyAlignment="1">
      <alignment vertical="center"/>
    </xf>
    <xf numFmtId="0" fontId="8" fillId="0" borderId="0" xfId="5"/>
    <xf numFmtId="0" fontId="9" fillId="0" borderId="0" xfId="5" applyFont="1"/>
    <xf numFmtId="0" fontId="10" fillId="0" borderId="0" xfId="5" applyFont="1"/>
    <xf numFmtId="41" fontId="11" fillId="3" borderId="5" xfId="0" applyNumberFormat="1" applyFont="1" applyFill="1" applyBorder="1" applyAlignment="1">
      <alignment horizontal="right"/>
    </xf>
    <xf numFmtId="0" fontId="12" fillId="0" borderId="0" xfId="0" applyFont="1"/>
    <xf numFmtId="0" fontId="11" fillId="3" borderId="5" xfId="0" applyFont="1" applyFill="1" applyBorder="1" applyAlignment="1">
      <alignment horizontal="right"/>
    </xf>
    <xf numFmtId="164" fontId="11" fillId="3" borderId="5" xfId="2" applyNumberFormat="1" applyFont="1" applyFill="1" applyBorder="1" applyAlignment="1" applyProtection="1">
      <alignment horizontal="center"/>
    </xf>
    <xf numFmtId="165" fontId="11" fillId="3" borderId="5" xfId="0" applyNumberFormat="1" applyFont="1" applyFill="1" applyBorder="1" applyAlignment="1">
      <alignment horizontal="right"/>
    </xf>
    <xf numFmtId="164" fontId="11" fillId="0" borderId="0" xfId="2" applyNumberFormat="1" applyFont="1" applyFill="1" applyBorder="1" applyAlignment="1" applyProtection="1">
      <alignment horizontal="center"/>
    </xf>
    <xf numFmtId="9" fontId="11" fillId="3" borderId="5" xfId="3" applyFont="1" applyFill="1" applyBorder="1" applyAlignment="1" applyProtection="1">
      <alignment horizontal="right"/>
    </xf>
    <xf numFmtId="44" fontId="11" fillId="3" borderId="5" xfId="3" applyNumberFormat="1" applyFont="1" applyFill="1" applyBorder="1" applyAlignment="1" applyProtection="1">
      <alignment horizontal="center"/>
    </xf>
    <xf numFmtId="0" fontId="13" fillId="0" borderId="0" xfId="5" applyFont="1"/>
    <xf numFmtId="0" fontId="14" fillId="0" borderId="0" xfId="5" applyFont="1"/>
    <xf numFmtId="0" fontId="1" fillId="0" borderId="0" xfId="0" applyFont="1"/>
    <xf numFmtId="0" fontId="15" fillId="0" borderId="0" xfId="5" applyFont="1"/>
    <xf numFmtId="41" fontId="1" fillId="0" borderId="0" xfId="0" applyNumberFormat="1" applyFont="1"/>
    <xf numFmtId="41" fontId="1" fillId="0" borderId="8" xfId="0" applyNumberFormat="1" applyFont="1" applyBorder="1"/>
    <xf numFmtId="0" fontId="1" fillId="0" borderId="9" xfId="0" applyFont="1" applyBorder="1"/>
    <xf numFmtId="41" fontId="1" fillId="0" borderId="11" xfId="0" applyNumberFormat="1" applyFont="1" applyBorder="1"/>
    <xf numFmtId="0" fontId="11" fillId="0" borderId="0" xfId="0" applyFont="1" applyAlignment="1">
      <alignment horizontal="center"/>
    </xf>
    <xf numFmtId="166" fontId="1" fillId="0" borderId="10" xfId="2" applyNumberFormat="1" applyFont="1" applyFill="1" applyBorder="1" applyProtection="1"/>
    <xf numFmtId="166" fontId="1" fillId="0" borderId="11" xfId="2" applyNumberFormat="1" applyFont="1" applyFill="1" applyBorder="1" applyProtection="1"/>
    <xf numFmtId="166" fontId="3" fillId="0" borderId="0" xfId="0" applyNumberFormat="1" applyFont="1" applyAlignment="1">
      <alignment horizontal="center" wrapText="1"/>
    </xf>
    <xf numFmtId="166" fontId="1" fillId="0" borderId="0" xfId="1" applyNumberFormat="1" applyFont="1" applyBorder="1" applyProtection="1"/>
    <xf numFmtId="166" fontId="1" fillId="0" borderId="0" xfId="0" applyNumberFormat="1" applyFont="1"/>
    <xf numFmtId="43" fontId="1" fillId="0" borderId="0" xfId="0" applyNumberFormat="1" applyFont="1"/>
    <xf numFmtId="41" fontId="1" fillId="0" borderId="0" xfId="2" applyNumberFormat="1" applyFont="1" applyBorder="1" applyProtection="1"/>
    <xf numFmtId="41" fontId="1" fillId="0" borderId="8" xfId="2" applyNumberFormat="1" applyFont="1" applyBorder="1" applyProtection="1"/>
    <xf numFmtId="41" fontId="1" fillId="0" borderId="11" xfId="2" applyNumberFormat="1" applyFont="1" applyBorder="1" applyProtection="1"/>
    <xf numFmtId="167" fontId="1" fillId="0" borderId="0" xfId="0" applyNumberFormat="1" applyFont="1"/>
    <xf numFmtId="0" fontId="0" fillId="0" borderId="0" xfId="0" applyAlignment="1">
      <alignment horizontal="left" vertical="center"/>
    </xf>
    <xf numFmtId="0" fontId="0" fillId="0" borderId="0" xfId="0" applyAlignment="1">
      <alignment horizontal="center" vertical="center"/>
    </xf>
    <xf numFmtId="0" fontId="2" fillId="2" borderId="1" xfId="4" applyAlignment="1" applyProtection="1">
      <alignment vertical="center"/>
      <protection locked="0"/>
    </xf>
    <xf numFmtId="0" fontId="0" fillId="0" borderId="0" xfId="0" applyAlignment="1">
      <alignment horizontal="left" vertical="center" wrapText="1"/>
    </xf>
    <xf numFmtId="0" fontId="0" fillId="0" borderId="0" xfId="0" applyAlignment="1">
      <alignment horizontal="left"/>
    </xf>
    <xf numFmtId="0" fontId="0" fillId="0" borderId="0" xfId="0" applyAlignment="1">
      <alignment vertical="center"/>
    </xf>
    <xf numFmtId="0" fontId="3" fillId="0" borderId="0" xfId="0" applyFont="1" applyAlignment="1">
      <alignment horizontal="left"/>
    </xf>
    <xf numFmtId="0" fontId="2" fillId="5" borderId="1" xfId="4" applyFill="1" applyAlignment="1" applyProtection="1">
      <alignment vertical="center"/>
      <protection locked="0"/>
    </xf>
    <xf numFmtId="0" fontId="19" fillId="0" borderId="0" xfId="0" applyFont="1" applyAlignment="1">
      <alignment horizontal="center" vertical="center" wrapText="1"/>
    </xf>
    <xf numFmtId="9" fontId="11" fillId="0" borderId="5" xfId="3" applyFont="1" applyFill="1" applyBorder="1" applyAlignment="1" applyProtection="1">
      <alignment horizontal="center"/>
    </xf>
    <xf numFmtId="1" fontId="11" fillId="0" borderId="5" xfId="0" applyNumberFormat="1" applyFont="1" applyBorder="1" applyAlignment="1">
      <alignment horizontal="center"/>
    </xf>
    <xf numFmtId="0" fontId="11" fillId="0" borderId="5" xfId="0" applyFont="1" applyBorder="1" applyAlignment="1">
      <alignment horizontal="center"/>
    </xf>
    <xf numFmtId="0" fontId="11" fillId="0" borderId="0" xfId="0" applyFont="1"/>
    <xf numFmtId="164" fontId="11" fillId="0" borderId="5" xfId="2" applyNumberFormat="1" applyFont="1" applyFill="1" applyBorder="1" applyAlignment="1" applyProtection="1">
      <alignment horizontal="center"/>
    </xf>
    <xf numFmtId="9" fontId="2" fillId="5" borderId="1" xfId="4" applyNumberFormat="1" applyFill="1" applyAlignment="1" applyProtection="1">
      <alignment horizontal="right" vertical="center"/>
      <protection locked="0"/>
    </xf>
    <xf numFmtId="0" fontId="20" fillId="0" borderId="0" xfId="0" applyFont="1"/>
    <xf numFmtId="0" fontId="21" fillId="0" borderId="0" xfId="0" applyFont="1"/>
    <xf numFmtId="41" fontId="0" fillId="0" borderId="0" xfId="0" applyNumberFormat="1"/>
    <xf numFmtId="43" fontId="0" fillId="0" borderId="0" xfId="0" applyNumberFormat="1"/>
    <xf numFmtId="43" fontId="14" fillId="0" borderId="0" xfId="5" applyNumberFormat="1" applyFont="1"/>
    <xf numFmtId="0" fontId="22" fillId="0" borderId="0" xfId="0" applyFont="1"/>
    <xf numFmtId="0" fontId="4" fillId="0" borderId="0" xfId="6" applyFont="1"/>
    <xf numFmtId="0" fontId="11" fillId="0" borderId="0" xfId="6" applyFont="1"/>
    <xf numFmtId="9" fontId="4" fillId="0" borderId="0" xfId="6" applyNumberFormat="1" applyFont="1"/>
    <xf numFmtId="0" fontId="1" fillId="0" borderId="0" xfId="10"/>
    <xf numFmtId="0" fontId="16" fillId="0" borderId="0" xfId="10" applyFont="1"/>
    <xf numFmtId="0" fontId="23" fillId="0" borderId="0" xfId="6"/>
    <xf numFmtId="41" fontId="4" fillId="0" borderId="8" xfId="6" applyNumberFormat="1" applyFont="1" applyBorder="1"/>
    <xf numFmtId="0" fontId="7" fillId="0" borderId="0" xfId="6" applyFont="1" applyAlignment="1">
      <alignment vertical="center"/>
    </xf>
    <xf numFmtId="41" fontId="4" fillId="0" borderId="11" xfId="6" applyNumberFormat="1" applyFont="1" applyBorder="1"/>
    <xf numFmtId="0" fontId="24" fillId="0" borderId="0" xfId="6" applyFont="1"/>
    <xf numFmtId="0" fontId="25" fillId="6" borderId="0" xfId="0" applyFont="1" applyFill="1" applyAlignment="1">
      <alignment vertical="center" wrapText="1"/>
    </xf>
    <xf numFmtId="0" fontId="26" fillId="6" borderId="0" xfId="0" applyFont="1" applyFill="1" applyAlignment="1">
      <alignment vertical="center" wrapText="1"/>
    </xf>
    <xf numFmtId="0" fontId="27" fillId="6" borderId="0" xfId="0" applyFont="1" applyFill="1" applyAlignment="1">
      <alignment horizontal="center" vertical="center"/>
    </xf>
    <xf numFmtId="6" fontId="28" fillId="6" borderId="0" xfId="0" applyNumberFormat="1" applyFont="1" applyFill="1" applyAlignment="1">
      <alignment horizontal="center" vertical="center"/>
    </xf>
    <xf numFmtId="0" fontId="3" fillId="0" borderId="0" xfId="0" applyFont="1" applyAlignment="1">
      <alignment horizontal="center" wrapText="1"/>
    </xf>
    <xf numFmtId="3" fontId="26" fillId="0" borderId="0" xfId="0" applyNumberFormat="1" applyFont="1"/>
    <xf numFmtId="0" fontId="0" fillId="0" borderId="6" xfId="0" applyBorder="1"/>
    <xf numFmtId="41" fontId="0" fillId="0" borderId="6" xfId="0" applyNumberFormat="1" applyBorder="1"/>
    <xf numFmtId="6" fontId="2" fillId="5" borderId="1" xfId="4" applyNumberFormat="1" applyFill="1" applyAlignment="1" applyProtection="1">
      <alignment vertical="center"/>
      <protection locked="0"/>
    </xf>
    <xf numFmtId="0" fontId="0" fillId="0" borderId="0" xfId="0" applyAlignment="1">
      <alignment wrapText="1"/>
    </xf>
    <xf numFmtId="0" fontId="15" fillId="0" borderId="0" xfId="5" applyFont="1" applyAlignment="1">
      <alignment horizontal="center"/>
    </xf>
    <xf numFmtId="0" fontId="0" fillId="0" borderId="0" xfId="0" applyFont="1"/>
    <xf numFmtId="0" fontId="31" fillId="9" borderId="5" xfId="0" applyFont="1" applyFill="1" applyBorder="1" applyAlignment="1">
      <alignment horizontal="center" vertical="center" wrapText="1"/>
    </xf>
    <xf numFmtId="0" fontId="31" fillId="9" borderId="4" xfId="0" applyFont="1" applyFill="1" applyBorder="1" applyAlignment="1">
      <alignment horizontal="center" vertical="center" wrapText="1"/>
    </xf>
    <xf numFmtId="0" fontId="0" fillId="0" borderId="8" xfId="0" applyFont="1" applyBorder="1" applyAlignment="1">
      <alignment vertical="center" wrapText="1"/>
    </xf>
    <xf numFmtId="0" fontId="0" fillId="0" borderId="11" xfId="0" applyFont="1" applyBorder="1" applyAlignment="1">
      <alignment vertical="center" wrapText="1"/>
    </xf>
    <xf numFmtId="0" fontId="31" fillId="8" borderId="8" xfId="0" applyFont="1" applyFill="1" applyBorder="1" applyAlignment="1">
      <alignment vertical="center" wrapText="1"/>
    </xf>
    <xf numFmtId="0" fontId="31" fillId="8" borderId="11" xfId="0" applyFont="1" applyFill="1" applyBorder="1" applyAlignment="1">
      <alignment vertical="center" wrapText="1"/>
    </xf>
    <xf numFmtId="0" fontId="31" fillId="8" borderId="12" xfId="0" applyFont="1" applyFill="1" applyBorder="1" applyAlignment="1">
      <alignment vertical="center" wrapText="1"/>
    </xf>
    <xf numFmtId="0" fontId="31" fillId="0" borderId="12" xfId="0" applyFont="1" applyBorder="1" applyAlignment="1">
      <alignment vertical="center" wrapText="1"/>
    </xf>
    <xf numFmtId="0" fontId="31" fillId="0" borderId="8" xfId="0" applyFont="1" applyBorder="1" applyAlignment="1">
      <alignment vertical="center" wrapText="1"/>
    </xf>
    <xf numFmtId="0" fontId="31" fillId="0" borderId="11" xfId="0" applyFont="1" applyBorder="1" applyAlignment="1">
      <alignment vertical="center" wrapText="1"/>
    </xf>
    <xf numFmtId="0" fontId="30" fillId="0" borderId="12" xfId="0" applyFont="1" applyBorder="1" applyAlignment="1">
      <alignment vertical="center" wrapText="1"/>
    </xf>
    <xf numFmtId="0" fontId="30" fillId="0" borderId="11" xfId="0" applyFont="1" applyBorder="1" applyAlignment="1">
      <alignment vertical="center" wrapText="1"/>
    </xf>
    <xf numFmtId="0" fontId="30" fillId="8" borderId="12" xfId="0" applyFont="1" applyFill="1" applyBorder="1" applyAlignment="1">
      <alignment vertical="center" wrapText="1"/>
    </xf>
    <xf numFmtId="0" fontId="30" fillId="8" borderId="11" xfId="0" applyFont="1" applyFill="1" applyBorder="1" applyAlignment="1">
      <alignment vertical="center" wrapText="1"/>
    </xf>
    <xf numFmtId="0" fontId="0" fillId="0" borderId="12" xfId="0" applyFont="1" applyBorder="1" applyAlignment="1">
      <alignment vertical="center" wrapText="1"/>
    </xf>
    <xf numFmtId="0" fontId="32" fillId="0" borderId="0" xfId="0" applyFont="1" applyAlignment="1">
      <alignment horizontal="left" wrapText="1"/>
    </xf>
    <xf numFmtId="0" fontId="32" fillId="0" borderId="0" xfId="0" applyFont="1" applyAlignment="1">
      <alignment wrapText="1"/>
    </xf>
    <xf numFmtId="0" fontId="15" fillId="0" borderId="0" xfId="5" applyFont="1" applyAlignment="1">
      <alignment horizontal="center"/>
    </xf>
    <xf numFmtId="0" fontId="3" fillId="4" borderId="5" xfId="0" applyFont="1" applyFill="1" applyBorder="1" applyAlignment="1">
      <alignment horizontal="center" wrapText="1"/>
    </xf>
    <xf numFmtId="0" fontId="1" fillId="0" borderId="5" xfId="0" applyFont="1" applyBorder="1"/>
    <xf numFmtId="41" fontId="1" fillId="0" borderId="5" xfId="0" applyNumberFormat="1" applyFont="1" applyBorder="1"/>
    <xf numFmtId="166" fontId="1" fillId="0" borderId="5" xfId="2" applyNumberFormat="1" applyFont="1" applyFill="1" applyBorder="1" applyProtection="1"/>
    <xf numFmtId="0" fontId="0" fillId="0" borderId="0" xfId="0" applyBorder="1"/>
    <xf numFmtId="0" fontId="1" fillId="0" borderId="0" xfId="0" applyFont="1" applyBorder="1"/>
    <xf numFmtId="0" fontId="1" fillId="0" borderId="14" xfId="0" applyFont="1" applyBorder="1"/>
    <xf numFmtId="0" fontId="1" fillId="0" borderId="12" xfId="0" applyFont="1" applyBorder="1"/>
    <xf numFmtId="41" fontId="1" fillId="0" borderId="14" xfId="2" applyNumberFormat="1" applyFont="1" applyBorder="1" applyProtection="1"/>
    <xf numFmtId="41" fontId="1" fillId="0" borderId="12" xfId="2" applyNumberFormat="1" applyFont="1" applyBorder="1" applyProtection="1"/>
    <xf numFmtId="1" fontId="1" fillId="0" borderId="14" xfId="0" applyNumberFormat="1" applyFont="1" applyBorder="1"/>
    <xf numFmtId="167" fontId="1" fillId="0" borderId="14" xfId="0" applyNumberFormat="1" applyFont="1" applyBorder="1"/>
    <xf numFmtId="167" fontId="1" fillId="0" borderId="12" xfId="0" applyNumberFormat="1" applyFont="1" applyBorder="1"/>
    <xf numFmtId="41" fontId="1" fillId="0" borderId="14" xfId="0" applyNumberFormat="1" applyFont="1" applyBorder="1"/>
    <xf numFmtId="41" fontId="1" fillId="0" borderId="12" xfId="0" applyNumberFormat="1" applyFont="1" applyBorder="1"/>
    <xf numFmtId="43" fontId="0" fillId="0" borderId="14" xfId="0" applyNumberFormat="1" applyBorder="1"/>
    <xf numFmtId="41" fontId="3" fillId="10" borderId="4" xfId="0" applyNumberFormat="1" applyFont="1" applyFill="1" applyBorder="1" applyAlignment="1">
      <alignment horizontal="center"/>
    </xf>
    <xf numFmtId="0" fontId="15" fillId="0" borderId="0" xfId="5" applyFont="1" applyAlignment="1"/>
    <xf numFmtId="0" fontId="4" fillId="0" borderId="0" xfId="6" applyFont="1" applyBorder="1"/>
    <xf numFmtId="1" fontId="4" fillId="0" borderId="14" xfId="6" applyNumberFormat="1" applyFont="1" applyBorder="1" applyAlignment="1">
      <alignment horizontal="right"/>
    </xf>
    <xf numFmtId="0" fontId="4" fillId="0" borderId="14" xfId="6" applyFont="1" applyBorder="1" applyAlignment="1">
      <alignment horizontal="right"/>
    </xf>
    <xf numFmtId="0" fontId="4" fillId="0" borderId="12" xfId="6" applyFont="1" applyBorder="1" applyAlignment="1">
      <alignment horizontal="right"/>
    </xf>
    <xf numFmtId="10" fontId="4" fillId="0" borderId="14" xfId="6" applyNumberFormat="1" applyFont="1" applyBorder="1" applyAlignment="1">
      <alignment horizontal="right"/>
    </xf>
    <xf numFmtId="10" fontId="4" fillId="0" borderId="12" xfId="6" applyNumberFormat="1" applyFont="1" applyBorder="1" applyAlignment="1">
      <alignment horizontal="right"/>
    </xf>
    <xf numFmtId="41" fontId="4" fillId="0" borderId="14" xfId="6" applyNumberFormat="1" applyFont="1" applyBorder="1" applyAlignment="1">
      <alignment horizontal="right"/>
    </xf>
    <xf numFmtId="41" fontId="4" fillId="0" borderId="12" xfId="6" applyNumberFormat="1" applyFont="1" applyBorder="1" applyAlignment="1">
      <alignment horizontal="right"/>
    </xf>
    <xf numFmtId="41" fontId="4" fillId="0" borderId="14" xfId="6" applyNumberFormat="1" applyFont="1" applyBorder="1"/>
    <xf numFmtId="41" fontId="4" fillId="0" borderId="12" xfId="6" applyNumberFormat="1" applyFont="1" applyBorder="1"/>
    <xf numFmtId="1" fontId="11" fillId="0" borderId="5" xfId="6" applyNumberFormat="1" applyFont="1" applyBorder="1" applyAlignment="1">
      <alignment horizontal="center"/>
    </xf>
    <xf numFmtId="10" fontId="4" fillId="0" borderId="5" xfId="6" applyNumberFormat="1" applyFont="1" applyBorder="1" applyAlignment="1">
      <alignment horizontal="center"/>
    </xf>
    <xf numFmtId="41" fontId="4" fillId="0" borderId="5" xfId="6" applyNumberFormat="1" applyFont="1" applyBorder="1"/>
    <xf numFmtId="0" fontId="11" fillId="7" borderId="0" xfId="6" applyFont="1" applyFill="1" applyAlignment="1"/>
    <xf numFmtId="0" fontId="10" fillId="7" borderId="0" xfId="10" applyFont="1" applyFill="1" applyAlignment="1"/>
    <xf numFmtId="0" fontId="4" fillId="0" borderId="0" xfId="6" applyFont="1" applyFill="1"/>
    <xf numFmtId="0" fontId="10" fillId="0" borderId="0" xfId="10" applyFont="1" applyFill="1" applyAlignment="1"/>
    <xf numFmtId="41" fontId="1" fillId="0" borderId="14" xfId="6" applyNumberFormat="1" applyFont="1" applyBorder="1" applyAlignment="1">
      <alignment horizontal="right"/>
    </xf>
    <xf numFmtId="41" fontId="1" fillId="0" borderId="12" xfId="6" applyNumberFormat="1" applyFont="1" applyBorder="1" applyAlignment="1">
      <alignment horizontal="right"/>
    </xf>
    <xf numFmtId="41" fontId="4" fillId="0" borderId="0" xfId="6" applyNumberFormat="1" applyFont="1"/>
    <xf numFmtId="0" fontId="3" fillId="4" borderId="5" xfId="0" applyFont="1" applyFill="1" applyBorder="1" applyAlignment="1">
      <alignment horizontal="center" vertical="top"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43" fontId="1" fillId="0" borderId="0" xfId="0" applyNumberFormat="1" applyFont="1" applyAlignment="1">
      <alignment vertical="center"/>
    </xf>
    <xf numFmtId="0" fontId="1" fillId="0" borderId="0" xfId="0" applyFont="1" applyAlignment="1">
      <alignment vertical="center"/>
    </xf>
    <xf numFmtId="0" fontId="3" fillId="0" borderId="0" xfId="0" applyFont="1" applyAlignment="1">
      <alignment horizontal="center" vertical="center" wrapText="1"/>
    </xf>
    <xf numFmtId="0" fontId="7" fillId="0" borderId="0" xfId="0" applyFont="1" applyAlignment="1">
      <alignment horizontal="center" vertical="center"/>
    </xf>
    <xf numFmtId="41" fontId="3" fillId="0" borderId="4" xfId="0" applyNumberFormat="1" applyFont="1" applyFill="1" applyBorder="1" applyAlignment="1">
      <alignment horizontal="center"/>
    </xf>
    <xf numFmtId="0" fontId="11" fillId="4" borderId="5" xfId="6" applyFont="1" applyFill="1" applyBorder="1" applyAlignment="1">
      <alignment horizontal="center" vertical="center" wrapText="1"/>
    </xf>
    <xf numFmtId="0" fontId="4" fillId="0" borderId="0" xfId="6" applyFont="1" applyAlignment="1">
      <alignment horizontal="center" vertical="center"/>
    </xf>
    <xf numFmtId="0" fontId="4" fillId="0" borderId="0" xfId="6" applyFont="1" applyBorder="1" applyAlignment="1">
      <alignment horizontal="center" vertical="center"/>
    </xf>
    <xf numFmtId="0" fontId="19" fillId="0" borderId="7" xfId="0" applyFont="1" applyBorder="1" applyAlignment="1">
      <alignment vertical="center" wrapText="1"/>
    </xf>
    <xf numFmtId="0" fontId="19" fillId="0" borderId="0" xfId="0" applyFont="1" applyBorder="1" applyAlignment="1">
      <alignment vertical="center" wrapText="1"/>
    </xf>
    <xf numFmtId="0" fontId="1" fillId="0" borderId="13" xfId="0" applyFont="1" applyBorder="1"/>
    <xf numFmtId="0" fontId="3" fillId="4" borderId="2" xfId="0" applyFont="1" applyFill="1" applyBorder="1" applyAlignment="1">
      <alignment horizontal="center" vertical="center" wrapText="1"/>
    </xf>
    <xf numFmtId="1" fontId="1" fillId="0" borderId="13" xfId="0" applyNumberFormat="1" applyFont="1" applyBorder="1"/>
    <xf numFmtId="0" fontId="31" fillId="0" borderId="12" xfId="0" applyFont="1" applyBorder="1" applyAlignment="1">
      <alignment vertical="center" wrapText="1"/>
    </xf>
    <xf numFmtId="0" fontId="31" fillId="8" borderId="12" xfId="0" applyFont="1" applyFill="1" applyBorder="1" applyAlignment="1">
      <alignment vertical="center" wrapText="1"/>
    </xf>
    <xf numFmtId="0" fontId="26" fillId="9" borderId="5" xfId="0" applyFont="1" applyFill="1" applyBorder="1" applyAlignment="1">
      <alignment horizontal="center" vertical="center" wrapText="1"/>
    </xf>
    <xf numFmtId="0" fontId="26" fillId="9" borderId="4" xfId="0" applyFont="1" applyFill="1" applyBorder="1" applyAlignment="1">
      <alignment horizontal="center" vertical="center" wrapText="1"/>
    </xf>
    <xf numFmtId="0" fontId="31" fillId="8" borderId="14" xfId="0" applyFont="1" applyFill="1" applyBorder="1" applyAlignment="1">
      <alignment vertical="center" wrapText="1"/>
    </xf>
    <xf numFmtId="0" fontId="0" fillId="0" borderId="0" xfId="0" applyAlignment="1">
      <alignment vertical="top" wrapText="1"/>
    </xf>
    <xf numFmtId="0" fontId="0" fillId="0" borderId="0" xfId="0" applyAlignment="1">
      <alignment horizontal="left" vertical="center"/>
    </xf>
    <xf numFmtId="0" fontId="3" fillId="0" borderId="2" xfId="0" applyFont="1" applyBorder="1" applyAlignment="1">
      <alignment horizontal="left" vertical="top"/>
    </xf>
    <xf numFmtId="0" fontId="3" fillId="0" borderId="4" xfId="0" applyFont="1" applyBorder="1" applyAlignment="1">
      <alignment horizontal="left" vertical="top"/>
    </xf>
    <xf numFmtId="0" fontId="15" fillId="0" borderId="0" xfId="5" applyFont="1" applyAlignment="1">
      <alignment horizontal="left"/>
    </xf>
    <xf numFmtId="0" fontId="9" fillId="0" borderId="0" xfId="5" applyFont="1" applyAlignment="1">
      <alignment horizontal="center"/>
    </xf>
    <xf numFmtId="0" fontId="11" fillId="0" borderId="2" xfId="0" applyFont="1" applyBorder="1" applyAlignment="1"/>
    <xf numFmtId="0" fontId="11" fillId="0" borderId="3" xfId="0" applyFont="1" applyBorder="1" applyAlignment="1"/>
    <xf numFmtId="0" fontId="11" fillId="0" borderId="4" xfId="0" applyFont="1" applyBorder="1" applyAlignment="1"/>
    <xf numFmtId="0" fontId="11" fillId="3" borderId="5" xfId="0" applyFont="1" applyFill="1" applyBorder="1" applyAlignment="1"/>
    <xf numFmtId="0" fontId="11" fillId="3" borderId="5" xfId="0" applyFont="1" applyFill="1" applyBorder="1" applyAlignment="1">
      <alignment horizontal="left"/>
    </xf>
    <xf numFmtId="0" fontId="19" fillId="0" borderId="7" xfId="0" applyFont="1" applyBorder="1" applyAlignment="1">
      <alignment horizontal="left" vertical="center" wrapText="1"/>
    </xf>
    <xf numFmtId="0" fontId="19" fillId="0" borderId="0" xfId="0" applyFont="1" applyBorder="1" applyAlignment="1">
      <alignment horizontal="left" vertical="center" wrapText="1"/>
    </xf>
    <xf numFmtId="0" fontId="15" fillId="0" borderId="0" xfId="5" applyFont="1" applyAlignment="1">
      <alignment horizontal="center"/>
    </xf>
    <xf numFmtId="0" fontId="15" fillId="0" borderId="0" xfId="5" applyFont="1" applyBorder="1" applyAlignment="1">
      <alignment horizontal="left"/>
    </xf>
    <xf numFmtId="0" fontId="11" fillId="3" borderId="2" xfId="0" applyFont="1" applyFill="1" applyBorder="1" applyAlignment="1">
      <alignment horizontal="left"/>
    </xf>
    <xf numFmtId="0" fontId="11" fillId="3" borderId="3" xfId="0" applyFont="1" applyFill="1" applyBorder="1" applyAlignment="1">
      <alignment horizontal="left"/>
    </xf>
    <xf numFmtId="0" fontId="11" fillId="3" borderId="4" xfId="0" applyFont="1" applyFill="1" applyBorder="1" applyAlignment="1">
      <alignment horizontal="left"/>
    </xf>
    <xf numFmtId="0" fontId="11" fillId="3" borderId="2" xfId="0" applyFont="1" applyFill="1" applyBorder="1" applyAlignment="1"/>
    <xf numFmtId="0" fontId="11" fillId="3" borderId="3" xfId="0" applyFont="1" applyFill="1" applyBorder="1" applyAlignment="1"/>
    <xf numFmtId="0" fontId="11" fillId="3" borderId="4" xfId="0" applyFont="1" applyFill="1" applyBorder="1" applyAlignment="1"/>
    <xf numFmtId="0" fontId="31" fillId="8" borderId="13" xfId="0" applyFont="1" applyFill="1" applyBorder="1" applyAlignment="1">
      <alignment vertical="center" wrapText="1"/>
    </xf>
    <xf numFmtId="0" fontId="31" fillId="8" borderId="12" xfId="0" applyFont="1" applyFill="1" applyBorder="1" applyAlignment="1">
      <alignment vertical="center" wrapText="1"/>
    </xf>
    <xf numFmtId="0" fontId="0" fillId="0" borderId="13" xfId="0" applyFont="1" applyBorder="1" applyAlignment="1">
      <alignment vertical="center" wrapText="1"/>
    </xf>
    <xf numFmtId="0" fontId="0" fillId="0" borderId="12" xfId="0" applyFont="1" applyBorder="1" applyAlignment="1">
      <alignment vertical="center" wrapText="1"/>
    </xf>
    <xf numFmtId="0" fontId="0" fillId="0" borderId="14" xfId="0" applyFont="1" applyBorder="1" applyAlignment="1">
      <alignment vertical="center" wrapText="1"/>
    </xf>
    <xf numFmtId="0" fontId="31" fillId="0" borderId="13" xfId="0" applyFont="1" applyBorder="1" applyAlignment="1">
      <alignment vertical="center" wrapText="1"/>
    </xf>
    <xf numFmtId="0" fontId="31" fillId="0" borderId="12" xfId="0" applyFont="1" applyBorder="1" applyAlignment="1">
      <alignment vertical="center" wrapText="1"/>
    </xf>
    <xf numFmtId="0" fontId="31" fillId="0" borderId="14" xfId="0" applyFont="1" applyBorder="1" applyAlignment="1">
      <alignment vertical="center" wrapText="1"/>
    </xf>
    <xf numFmtId="43" fontId="0" fillId="0" borderId="0" xfId="0" applyNumberFormat="1" applyAlignment="1">
      <alignment vertical="center"/>
    </xf>
    <xf numFmtId="0" fontId="22" fillId="0" borderId="0" xfId="0" applyFont="1" applyAlignment="1">
      <alignment vertical="center"/>
    </xf>
  </cellXfs>
  <cellStyles count="11">
    <cellStyle name="Comma" xfId="1" builtinId="3"/>
    <cellStyle name="Comma 2" xfId="8" xr:uid="{8CEFA8CC-CB19-4B5A-80B9-B2348F684EC8}"/>
    <cellStyle name="Currency" xfId="2" builtinId="4"/>
    <cellStyle name="Currency 2" xfId="7" xr:uid="{CE6353D8-4847-42FE-A09B-531A52B079F4}"/>
    <cellStyle name="Input" xfId="4" builtinId="20"/>
    <cellStyle name="Normal" xfId="0" builtinId="0"/>
    <cellStyle name="Normal 2" xfId="6" xr:uid="{D99837CB-D970-4B95-97BC-4412BA329B8C}"/>
    <cellStyle name="Normal 3" xfId="5" xr:uid="{1C2C2682-01BE-47FF-973D-5999725F5298}"/>
    <cellStyle name="Normal 3 2" xfId="10" xr:uid="{03C79601-12F9-4350-AA62-03E4BDE8E7C9}"/>
    <cellStyle name="Percent" xfId="3" builtinId="5"/>
    <cellStyle name="Percent 2" xfId="9" xr:uid="{98700AC6-7BE3-45BA-85AA-FE582E1658B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5</xdr:col>
      <xdr:colOff>421993</xdr:colOff>
      <xdr:row>3</xdr:row>
      <xdr:rowOff>188049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8439873" cy="7636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8</xdr:col>
      <xdr:colOff>270790</xdr:colOff>
      <xdr:row>5</xdr:row>
      <xdr:rowOff>36226</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0"/>
          <a:ext cx="8862340" cy="103635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8</xdr:col>
      <xdr:colOff>811510</xdr:colOff>
      <xdr:row>5</xdr:row>
      <xdr:rowOff>36226</xdr:rowOff>
    </xdr:to>
    <xdr:pic>
      <xdr:nvPicPr>
        <xdr:cNvPr id="4" name="Picture 3">
          <a:extLst>
            <a:ext uri="{FF2B5EF4-FFF2-40B4-BE49-F238E27FC236}">
              <a16:creationId xmlns:a16="http://schemas.microsoft.com/office/drawing/2014/main" id="{B22700E3-5A94-4967-9AFF-5884435B372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0"/>
          <a:ext cx="9158585" cy="103635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8</xdr:col>
      <xdr:colOff>48751</xdr:colOff>
      <xdr:row>5</xdr:row>
      <xdr:rowOff>17176</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0"/>
          <a:ext cx="8789526" cy="101730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xdr:colOff>
      <xdr:row>2</xdr:row>
      <xdr:rowOff>283634</xdr:rowOff>
    </xdr:from>
    <xdr:to>
      <xdr:col>3</xdr:col>
      <xdr:colOff>44097</xdr:colOff>
      <xdr:row>5</xdr:row>
      <xdr:rowOff>44513</xdr:rowOff>
    </xdr:to>
    <xdr:pic>
      <xdr:nvPicPr>
        <xdr:cNvPr id="3" name="Picture 2">
          <a:extLst>
            <a:ext uri="{FF2B5EF4-FFF2-40B4-BE49-F238E27FC236}">
              <a16:creationId xmlns:a16="http://schemas.microsoft.com/office/drawing/2014/main" id="{7178E396-B963-4F26-8A4F-7AA46CE9C594}"/>
            </a:ext>
          </a:extLst>
        </xdr:cNvPr>
        <xdr:cNvPicPr>
          <a:picLocks noChangeAspect="1"/>
        </xdr:cNvPicPr>
      </xdr:nvPicPr>
      <xdr:blipFill rotWithShape="1">
        <a:blip xmlns:r="http://schemas.openxmlformats.org/officeDocument/2006/relationships" r:embed="rId1"/>
        <a:srcRect b="76762"/>
        <a:stretch/>
      </xdr:blipFill>
      <xdr:spPr>
        <a:xfrm>
          <a:off x="600076" y="578909"/>
          <a:ext cx="2377721" cy="68480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quitytrustees.sharepoint.com/Users/ApoorvaS/Documents/BA_docs/Copy%202022%20-%20PRS%20Benefits%20Projection%20Model%20V4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cGing Documentation"/>
      <sheetName val="User Guide"/>
      <sheetName val="Input"/>
      <sheetName val="Data"/>
      <sheetName val="Cal_Med"/>
      <sheetName val="Cal_Low"/>
      <sheetName val="Cal_High"/>
      <sheetName val="Results Summary"/>
      <sheetName val="Result Med"/>
      <sheetName val="Result Low"/>
      <sheetName val="Result High"/>
      <sheetName val="Equity Balance Data"/>
      <sheetName val="Duplicates"/>
      <sheetName val="PRA Data"/>
      <sheetName val="Copy 2022 - PRS Benefits Projec"/>
    </sheetNames>
    <sheetDataSet>
      <sheetData sheetId="0" refreshError="1"/>
      <sheetData sheetId="1" refreshError="1"/>
      <sheetData sheetId="2" refreshError="1"/>
      <sheetData sheetId="3">
        <row r="3">
          <cell r="C3">
            <v>1</v>
          </cell>
        </row>
        <row r="4">
          <cell r="B4">
            <v>15199.0129101</v>
          </cell>
        </row>
        <row r="20">
          <cell r="B20" t="str">
            <v>AF001578</v>
          </cell>
        </row>
        <row r="24">
          <cell r="B24" t="str">
            <v>Ex-Player</v>
          </cell>
        </row>
        <row r="25">
          <cell r="B25">
            <v>0</v>
          </cell>
        </row>
        <row r="26">
          <cell r="B26">
            <v>0</v>
          </cell>
        </row>
      </sheetData>
      <sheetData sheetId="4">
        <row r="7">
          <cell r="F7" t="str">
            <v>Years Retired</v>
          </cell>
          <cell r="I7">
            <v>0</v>
          </cell>
        </row>
        <row r="8">
          <cell r="I8">
            <v>3</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43F34-FA01-459D-BCB9-6067BD8551A5}">
  <sheetPr>
    <pageSetUpPr autoPageBreaks="0"/>
  </sheetPr>
  <dimension ref="A6:E27"/>
  <sheetViews>
    <sheetView zoomScale="79" workbookViewId="0">
      <selection activeCell="E23" sqref="E23"/>
    </sheetView>
  </sheetViews>
  <sheetFormatPr defaultColWidth="9.140625" defaultRowHeight="15" x14ac:dyDescent="0.25"/>
  <cols>
    <col min="1" max="1" width="35" bestFit="1" customWidth="1"/>
    <col min="2" max="2" width="10.140625" bestFit="1" customWidth="1"/>
    <col min="3" max="3" width="2.140625" customWidth="1"/>
    <col min="4" max="4" width="1.85546875" customWidth="1"/>
    <col min="5" max="5" width="70.7109375" bestFit="1" customWidth="1"/>
    <col min="6" max="6" width="20.5703125" customWidth="1"/>
    <col min="7" max="7" width="15.28515625" customWidth="1"/>
    <col min="8" max="8" width="7.7109375" customWidth="1"/>
    <col min="9" max="9" width="21.5703125" customWidth="1"/>
    <col min="10" max="10" width="14" bestFit="1" customWidth="1"/>
    <col min="11" max="11" width="4.85546875" customWidth="1"/>
    <col min="13" max="13" width="9.7109375" customWidth="1"/>
    <col min="14" max="14" width="20.140625" customWidth="1"/>
  </cols>
  <sheetData>
    <row r="6" spans="1:5" x14ac:dyDescent="0.25">
      <c r="A6" s="1"/>
    </row>
    <row r="7" spans="1:5" x14ac:dyDescent="0.25">
      <c r="A7" s="95"/>
      <c r="B7" s="96"/>
      <c r="C7" s="96"/>
      <c r="D7" s="96"/>
      <c r="E7" s="96"/>
    </row>
    <row r="8" spans="1:5" x14ac:dyDescent="0.25">
      <c r="A8" s="37" t="s">
        <v>0</v>
      </c>
      <c r="B8" s="51" t="s">
        <v>1</v>
      </c>
      <c r="C8" s="38"/>
      <c r="E8" s="159" t="s">
        <v>67</v>
      </c>
    </row>
    <row r="9" spans="1:5" x14ac:dyDescent="0.25">
      <c r="A9" s="37" t="s">
        <v>2</v>
      </c>
      <c r="B9" s="51" t="s">
        <v>3</v>
      </c>
      <c r="C9" s="38"/>
      <c r="E9" s="159"/>
    </row>
    <row r="10" spans="1:5" x14ac:dyDescent="0.25">
      <c r="A10" t="s">
        <v>4</v>
      </c>
      <c r="B10" s="51" t="s">
        <v>5</v>
      </c>
      <c r="C10" s="38"/>
      <c r="E10" s="159"/>
    </row>
    <row r="11" spans="1:5" x14ac:dyDescent="0.25">
      <c r="A11" s="37" t="s">
        <v>6</v>
      </c>
      <c r="B11" s="44">
        <v>2018</v>
      </c>
      <c r="C11" s="38"/>
      <c r="E11" s="159"/>
    </row>
    <row r="12" spans="1:5" x14ac:dyDescent="0.25">
      <c r="A12" s="41" t="s">
        <v>9</v>
      </c>
      <c r="B12" s="76">
        <v>40251</v>
      </c>
      <c r="C12" s="38"/>
      <c r="E12" s="159"/>
    </row>
    <row r="13" spans="1:5" x14ac:dyDescent="0.25">
      <c r="A13" s="37" t="s">
        <v>7</v>
      </c>
      <c r="B13" s="39">
        <v>2023</v>
      </c>
      <c r="C13" s="38"/>
      <c r="E13" t="s">
        <v>68</v>
      </c>
    </row>
    <row r="14" spans="1:5" x14ac:dyDescent="0.25">
      <c r="A14" s="40" t="s">
        <v>8</v>
      </c>
      <c r="B14" s="39"/>
      <c r="C14" s="38"/>
      <c r="E14" t="s">
        <v>69</v>
      </c>
    </row>
    <row r="15" spans="1:5" ht="45" x14ac:dyDescent="0.25">
      <c r="A15" s="41" t="s">
        <v>10</v>
      </c>
      <c r="B15" s="39"/>
      <c r="C15" s="38"/>
      <c r="E15" s="77" t="s">
        <v>70</v>
      </c>
    </row>
    <row r="16" spans="1:5" x14ac:dyDescent="0.25">
      <c r="A16" s="41" t="s">
        <v>182</v>
      </c>
      <c r="B16" s="39">
        <v>9000</v>
      </c>
      <c r="C16" s="38"/>
      <c r="E16" t="s">
        <v>69</v>
      </c>
    </row>
    <row r="17" spans="1:5" ht="60" x14ac:dyDescent="0.25">
      <c r="A17" s="43"/>
      <c r="B17" s="42"/>
      <c r="C17" s="38"/>
      <c r="E17" s="158" t="s">
        <v>185</v>
      </c>
    </row>
    <row r="18" spans="1:5" x14ac:dyDescent="0.25">
      <c r="C18" s="38"/>
    </row>
    <row r="19" spans="1:5" x14ac:dyDescent="0.25">
      <c r="C19" s="38"/>
    </row>
    <row r="27" spans="1:5" ht="15" customHeight="1" x14ac:dyDescent="0.25"/>
  </sheetData>
  <mergeCells count="1">
    <mergeCell ref="E8:E12"/>
  </mergeCells>
  <dataValidations count="1">
    <dataValidation type="list" allowBlank="1" showInputMessage="1" showErrorMessage="1" sqref="B15" xr:uid="{23D2B4B7-14E9-4A63-AD74-EBF6213880F8}">
      <formula1>"Balanced, Conservative, Growth, High growth"</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71FC0-4A45-4C9C-BA1C-6E69AC991F84}">
  <sheetPr>
    <pageSetUpPr autoPageBreaks="0"/>
  </sheetPr>
  <dimension ref="B1:W82"/>
  <sheetViews>
    <sheetView topLeftCell="A7" zoomScaleNormal="100" workbookViewId="0">
      <selection activeCell="G30" sqref="G30"/>
    </sheetView>
  </sheetViews>
  <sheetFormatPr defaultColWidth="9.140625" defaultRowHeight="15" x14ac:dyDescent="0.25"/>
  <cols>
    <col min="1" max="1" width="2" customWidth="1"/>
    <col min="2" max="2" width="12.42578125" customWidth="1"/>
    <col min="3" max="3" width="19.42578125" customWidth="1"/>
    <col min="4" max="4" width="19.5703125" customWidth="1"/>
    <col min="5" max="5" width="20" bestFit="1" customWidth="1"/>
    <col min="6" max="6" width="19.85546875" bestFit="1" customWidth="1"/>
    <col min="7" max="7" width="19" customWidth="1"/>
    <col min="8" max="8" width="18.5703125" customWidth="1"/>
    <col min="9" max="9" width="19.7109375" customWidth="1"/>
    <col min="10" max="10" width="21" customWidth="1"/>
    <col min="11" max="11" width="23.5703125" customWidth="1"/>
    <col min="12" max="12" width="18.42578125" customWidth="1"/>
    <col min="13" max="13" width="20.28515625" customWidth="1"/>
    <col min="14" max="14" width="21.85546875" customWidth="1"/>
    <col min="15" max="15" width="22" customWidth="1"/>
    <col min="16" max="16" width="19.85546875" customWidth="1"/>
    <col min="17" max="17" width="21" customWidth="1"/>
    <col min="18" max="18" width="17.85546875" customWidth="1"/>
    <col min="19" max="19" width="20" customWidth="1"/>
    <col min="20" max="20" width="17.85546875" customWidth="1"/>
    <col min="21" max="21" width="19.42578125" customWidth="1"/>
    <col min="22" max="28" width="17.85546875" customWidth="1"/>
  </cols>
  <sheetData>
    <row r="1" spans="2:19" s="2" customFormat="1" ht="15.75" x14ac:dyDescent="0.25">
      <c r="N1" s="3"/>
      <c r="O1" s="3"/>
      <c r="P1" s="4"/>
    </row>
    <row r="2" spans="2:19" s="2" customFormat="1" ht="15.75" x14ac:dyDescent="0.25"/>
    <row r="3" spans="2:19" s="2" customFormat="1" ht="15.75" x14ac:dyDescent="0.25">
      <c r="N3" s="5"/>
    </row>
    <row r="4" spans="2:19" s="2" customFormat="1" ht="15.75" x14ac:dyDescent="0.25">
      <c r="N4" s="6"/>
    </row>
    <row r="5" spans="2:19" s="2" customFormat="1" ht="15.75" x14ac:dyDescent="0.25">
      <c r="N5" s="6"/>
    </row>
    <row r="6" spans="2:19" s="7" customFormat="1" ht="23.25" x14ac:dyDescent="0.35">
      <c r="C6" s="163" t="s">
        <v>11</v>
      </c>
      <c r="D6" s="163"/>
      <c r="E6" s="163"/>
      <c r="F6" s="163"/>
      <c r="N6" s="6"/>
      <c r="P6" s="2"/>
      <c r="Q6" s="2"/>
      <c r="R6" s="2"/>
      <c r="S6" s="2"/>
    </row>
    <row r="7" spans="2:19" ht="16.5" thickBot="1" x14ac:dyDescent="0.3">
      <c r="B7" s="9"/>
      <c r="C7" s="2"/>
      <c r="D7" s="2"/>
      <c r="G7" s="9"/>
      <c r="H7" s="7"/>
      <c r="I7" s="2"/>
      <c r="J7" s="2"/>
      <c r="M7" s="7"/>
      <c r="P7" s="7"/>
      <c r="Q7" s="7"/>
      <c r="R7" s="7"/>
      <c r="S7" s="7"/>
    </row>
    <row r="8" spans="2:19" ht="16.5" thickBot="1" x14ac:dyDescent="0.3">
      <c r="B8" s="167" t="s">
        <v>12</v>
      </c>
      <c r="C8" s="167"/>
      <c r="D8" s="167"/>
      <c r="E8" s="10" t="s">
        <v>5</v>
      </c>
      <c r="G8" s="164" t="s">
        <v>13</v>
      </c>
      <c r="H8" s="165"/>
      <c r="I8" s="166"/>
      <c r="J8" s="47">
        <v>1</v>
      </c>
    </row>
    <row r="9" spans="2:19" ht="16.5" customHeight="1" thickBot="1" x14ac:dyDescent="0.3">
      <c r="B9" s="167" t="s">
        <v>14</v>
      </c>
      <c r="C9" s="167"/>
      <c r="D9" s="167"/>
      <c r="E9" s="12" t="s">
        <v>15</v>
      </c>
      <c r="G9" s="164" t="s">
        <v>16</v>
      </c>
      <c r="H9" s="165"/>
      <c r="I9" s="166"/>
      <c r="J9" s="47">
        <v>3</v>
      </c>
      <c r="K9" s="149"/>
    </row>
    <row r="10" spans="2:19" ht="16.5" thickBot="1" x14ac:dyDescent="0.3">
      <c r="B10" s="168" t="s">
        <v>18</v>
      </c>
      <c r="C10" s="168"/>
      <c r="D10" s="168"/>
      <c r="E10" s="12" t="s">
        <v>19</v>
      </c>
      <c r="G10" s="164" t="s">
        <v>20</v>
      </c>
      <c r="H10" s="165"/>
      <c r="I10" s="166"/>
      <c r="J10" s="47">
        <v>4</v>
      </c>
      <c r="K10" s="149"/>
    </row>
    <row r="11" spans="2:19" ht="16.5" customHeight="1" thickBot="1" x14ac:dyDescent="0.3">
      <c r="B11" s="168" t="s">
        <v>183</v>
      </c>
      <c r="C11" s="168"/>
      <c r="D11" s="168"/>
      <c r="E11" s="13">
        <v>49251</v>
      </c>
      <c r="G11" s="164" t="s">
        <v>71</v>
      </c>
      <c r="H11" s="165"/>
      <c r="I11" s="166"/>
      <c r="J11" s="50" t="s">
        <v>27</v>
      </c>
      <c r="K11" s="169" t="s">
        <v>17</v>
      </c>
      <c r="L11" s="170"/>
      <c r="M11" s="170"/>
    </row>
    <row r="12" spans="2:19" ht="16.5" thickBot="1" x14ac:dyDescent="0.3">
      <c r="B12" s="168" t="s">
        <v>184</v>
      </c>
      <c r="C12" s="168"/>
      <c r="D12" s="168"/>
      <c r="E12" s="14">
        <v>44621</v>
      </c>
      <c r="G12" s="164" t="s">
        <v>117</v>
      </c>
      <c r="H12" s="165"/>
      <c r="I12" s="166"/>
      <c r="J12" s="46">
        <v>0.02</v>
      </c>
      <c r="K12" s="169"/>
      <c r="L12" s="170"/>
      <c r="M12" s="170"/>
    </row>
    <row r="13" spans="2:19" ht="16.5" thickBot="1" x14ac:dyDescent="0.3">
      <c r="B13" s="168" t="s">
        <v>21</v>
      </c>
      <c r="C13" s="168"/>
      <c r="D13" s="168"/>
      <c r="E13" s="12">
        <v>2022</v>
      </c>
      <c r="G13" s="164" t="s">
        <v>23</v>
      </c>
      <c r="H13" s="165"/>
      <c r="I13" s="166"/>
      <c r="J13" s="46">
        <v>1</v>
      </c>
      <c r="K13" s="149"/>
    </row>
    <row r="14" spans="2:19" ht="16.5" thickBot="1" x14ac:dyDescent="0.3">
      <c r="B14" s="168" t="s">
        <v>22</v>
      </c>
      <c r="C14" s="168"/>
      <c r="D14" s="168"/>
      <c r="E14" s="14">
        <v>43405</v>
      </c>
      <c r="G14" s="164" t="s">
        <v>25</v>
      </c>
      <c r="H14" s="165"/>
      <c r="I14" s="166"/>
      <c r="J14" s="47" t="s">
        <v>26</v>
      </c>
      <c r="K14" s="149"/>
    </row>
    <row r="15" spans="2:19" ht="16.5" thickBot="1" x14ac:dyDescent="0.3">
      <c r="B15" s="168" t="s">
        <v>24</v>
      </c>
      <c r="C15" s="168"/>
      <c r="D15" s="168"/>
      <c r="E15" s="14">
        <v>44865</v>
      </c>
      <c r="K15" s="149"/>
    </row>
    <row r="16" spans="2:19" ht="16.5" thickBot="1" x14ac:dyDescent="0.3">
      <c r="B16" s="168" t="s">
        <v>168</v>
      </c>
      <c r="C16" s="168"/>
      <c r="D16" s="168"/>
      <c r="E16" s="16">
        <v>0.32</v>
      </c>
      <c r="K16" s="149"/>
    </row>
    <row r="17" spans="2:23" ht="16.5" thickBot="1" x14ac:dyDescent="0.3">
      <c r="B17" s="168" t="s">
        <v>28</v>
      </c>
      <c r="C17" s="168"/>
      <c r="D17" s="168"/>
      <c r="E17" s="17">
        <v>1029</v>
      </c>
      <c r="K17" s="102"/>
    </row>
    <row r="18" spans="2:23" ht="15.75" x14ac:dyDescent="0.25">
      <c r="F18" s="49"/>
      <c r="G18" s="49"/>
      <c r="H18" s="49"/>
      <c r="I18" s="15"/>
      <c r="L18" s="6"/>
    </row>
    <row r="19" spans="2:23" x14ac:dyDescent="0.25">
      <c r="B19" s="18" t="s">
        <v>29</v>
      </c>
      <c r="C19" s="19"/>
      <c r="D19" s="19"/>
      <c r="E19" s="20"/>
      <c r="F19" s="20"/>
      <c r="G19" s="20"/>
      <c r="H19" s="20"/>
      <c r="I19" s="20"/>
      <c r="J19" s="20"/>
      <c r="K19" s="103"/>
      <c r="L19" s="20"/>
    </row>
    <row r="20" spans="2:23" x14ac:dyDescent="0.25">
      <c r="B20" s="18"/>
      <c r="C20" s="19"/>
      <c r="D20" s="19"/>
      <c r="E20" s="20"/>
      <c r="F20" s="20"/>
      <c r="G20" s="20"/>
      <c r="H20" s="20"/>
      <c r="I20" s="20"/>
      <c r="J20" s="20"/>
      <c r="K20" s="20"/>
      <c r="L20" s="20"/>
    </row>
    <row r="21" spans="2:23" x14ac:dyDescent="0.25">
      <c r="B21" s="171" t="s">
        <v>30</v>
      </c>
      <c r="C21" s="171"/>
    </row>
    <row r="22" spans="2:23" ht="15.75" thickBot="1" x14ac:dyDescent="0.3">
      <c r="B22" s="97"/>
      <c r="C22" s="97"/>
    </row>
    <row r="23" spans="2:23" s="38" customFormat="1" ht="30.75" thickBot="1" x14ac:dyDescent="0.3">
      <c r="B23" s="139" t="s">
        <v>31</v>
      </c>
      <c r="C23" s="139" t="s">
        <v>72</v>
      </c>
      <c r="D23" s="139" t="s">
        <v>81</v>
      </c>
      <c r="E23" s="139" t="s">
        <v>82</v>
      </c>
    </row>
    <row r="24" spans="2:23" ht="15.75" thickBot="1" x14ac:dyDescent="0.3">
      <c r="B24" s="99">
        <v>2022</v>
      </c>
      <c r="C24" s="100">
        <v>14784</v>
      </c>
      <c r="D24" s="100">
        <f>Contributions!F26+Contributions!I26+Contributions!L26+Contributions!O26</f>
        <v>720.23396553034968</v>
      </c>
      <c r="E24" s="100">
        <f>Contributions!P26</f>
        <v>61059.233965530351</v>
      </c>
    </row>
    <row r="27" spans="2:23" ht="15.75" x14ac:dyDescent="0.25">
      <c r="B27" s="53" t="s">
        <v>32</v>
      </c>
      <c r="C27" s="52"/>
      <c r="U27" s="26"/>
    </row>
    <row r="28" spans="2:23" ht="16.5" thickBot="1" x14ac:dyDescent="0.3">
      <c r="U28" s="26"/>
    </row>
    <row r="29" spans="2:23" s="38" customFormat="1" ht="45.75" thickBot="1" x14ac:dyDescent="0.3">
      <c r="B29" s="139" t="s">
        <v>31</v>
      </c>
      <c r="C29" s="139" t="s">
        <v>73</v>
      </c>
      <c r="D29" s="139" t="s">
        <v>74</v>
      </c>
      <c r="E29" s="139" t="s">
        <v>75</v>
      </c>
      <c r="F29" s="139" t="s">
        <v>99</v>
      </c>
      <c r="G29" s="139" t="s">
        <v>76</v>
      </c>
      <c r="H29" s="139" t="s">
        <v>77</v>
      </c>
    </row>
    <row r="30" spans="2:23" ht="15" customHeight="1" thickBot="1" x14ac:dyDescent="0.3">
      <c r="B30" s="99">
        <v>2023</v>
      </c>
      <c r="C30" s="101">
        <f>E24</f>
        <v>61059.233965530351</v>
      </c>
      <c r="D30" s="101">
        <f>((C30*J12)/365)*242</f>
        <v>809.66217094018316</v>
      </c>
      <c r="E30" s="101">
        <f>C30+D30</f>
        <v>61868.896136470532</v>
      </c>
      <c r="F30" s="101">
        <f>E30*J13</f>
        <v>61868.896136470532</v>
      </c>
      <c r="G30" s="101">
        <f>E30*J13-(E30*J13)*E16-E17</f>
        <v>41041.849372799959</v>
      </c>
      <c r="H30" s="101">
        <v>0</v>
      </c>
    </row>
    <row r="31" spans="2:23" x14ac:dyDescent="0.25">
      <c r="B31" s="20"/>
      <c r="C31" s="20"/>
      <c r="D31" s="20"/>
      <c r="E31" s="20"/>
      <c r="F31" s="32"/>
      <c r="G31" s="20"/>
      <c r="H31" s="20"/>
      <c r="I31" s="20"/>
      <c r="J31" s="20"/>
      <c r="L31" s="30"/>
      <c r="M31" s="20"/>
      <c r="N31" s="31"/>
      <c r="O31" s="31"/>
      <c r="Q31" s="20"/>
      <c r="R31" s="20"/>
      <c r="S31" s="20"/>
      <c r="T31" s="20"/>
      <c r="U31" s="20"/>
      <c r="V31" s="20"/>
      <c r="W31" s="20"/>
    </row>
    <row r="32" spans="2:23" x14ac:dyDescent="0.25">
      <c r="B32" s="162" t="s">
        <v>35</v>
      </c>
      <c r="C32" s="162"/>
      <c r="D32" s="162"/>
      <c r="E32" s="56"/>
      <c r="F32" s="20"/>
      <c r="G32" s="20"/>
      <c r="H32" s="20"/>
      <c r="I32" s="20"/>
      <c r="J32" s="20"/>
      <c r="K32" s="20"/>
      <c r="L32" s="32"/>
      <c r="M32" s="20"/>
      <c r="N32" s="20"/>
      <c r="O32" s="20"/>
      <c r="P32" s="20"/>
      <c r="Q32" s="20"/>
      <c r="R32" s="20"/>
      <c r="S32" s="20"/>
      <c r="T32" s="20"/>
      <c r="U32" s="20"/>
      <c r="V32" s="20"/>
      <c r="W32" s="20"/>
    </row>
    <row r="33" spans="2:11" x14ac:dyDescent="0.25">
      <c r="B33" s="20" t="s">
        <v>102</v>
      </c>
      <c r="C33" s="20"/>
      <c r="D33" s="20"/>
      <c r="E33" s="20"/>
      <c r="F33" s="20"/>
      <c r="G33" s="20"/>
    </row>
    <row r="34" spans="2:11" x14ac:dyDescent="0.25">
      <c r="B34" s="20"/>
      <c r="C34" s="20"/>
      <c r="D34" s="20"/>
      <c r="E34" s="20"/>
      <c r="F34" s="20"/>
      <c r="G34" s="20"/>
    </row>
    <row r="35" spans="2:11" ht="15.75" thickBot="1" x14ac:dyDescent="0.3">
      <c r="B35" s="20"/>
      <c r="C35" s="20"/>
      <c r="D35" s="20"/>
      <c r="E35" s="20"/>
      <c r="F35" s="20"/>
      <c r="G35" s="20"/>
      <c r="K35" s="73"/>
    </row>
    <row r="36" spans="2:11" ht="15.75" thickBot="1" x14ac:dyDescent="0.3">
      <c r="B36" s="20"/>
      <c r="C36" s="160" t="s">
        <v>83</v>
      </c>
      <c r="D36" s="161"/>
      <c r="E36" s="144">
        <f>E24</f>
        <v>61059.233965530351</v>
      </c>
      <c r="K36" s="55"/>
    </row>
    <row r="37" spans="2:11" ht="15.75" thickBot="1" x14ac:dyDescent="0.3">
      <c r="B37" s="20"/>
      <c r="C37" s="160" t="s">
        <v>84</v>
      </c>
      <c r="D37" s="161"/>
      <c r="E37" s="144">
        <f>F30</f>
        <v>61868.896136470532</v>
      </c>
    </row>
    <row r="38" spans="2:11" ht="15.75" thickBot="1" x14ac:dyDescent="0.3">
      <c r="B38" s="20"/>
      <c r="C38" s="160" t="s">
        <v>86</v>
      </c>
      <c r="D38" s="161"/>
      <c r="E38" s="144">
        <v>0</v>
      </c>
    </row>
    <row r="39" spans="2:11" ht="15.75" thickBot="1" x14ac:dyDescent="0.3">
      <c r="B39" s="20"/>
      <c r="C39" s="160" t="s">
        <v>85</v>
      </c>
      <c r="D39" s="161"/>
      <c r="E39" s="144">
        <f>D24+D30</f>
        <v>1529.8961364705328</v>
      </c>
    </row>
    <row r="40" spans="2:11" x14ac:dyDescent="0.25">
      <c r="B40" s="20"/>
      <c r="C40" s="20"/>
      <c r="D40" s="20"/>
    </row>
    <row r="41" spans="2:11" x14ac:dyDescent="0.25">
      <c r="B41" s="20"/>
      <c r="C41" s="20"/>
      <c r="D41" s="20"/>
      <c r="E41" s="20"/>
      <c r="F41" s="20"/>
      <c r="G41" s="20"/>
    </row>
    <row r="42" spans="2:11" x14ac:dyDescent="0.25">
      <c r="B42" s="20"/>
      <c r="C42" s="20"/>
      <c r="D42" s="20"/>
      <c r="E42" s="20"/>
      <c r="F42" s="20"/>
      <c r="G42" s="20"/>
    </row>
    <row r="43" spans="2:11" ht="15.75" x14ac:dyDescent="0.25">
      <c r="B43" s="5"/>
      <c r="C43" s="20"/>
      <c r="D43" s="20"/>
      <c r="E43" s="20"/>
      <c r="F43" s="20"/>
      <c r="G43" s="20"/>
    </row>
    <row r="44" spans="2:11" ht="15.75" x14ac:dyDescent="0.25">
      <c r="B44" s="6"/>
      <c r="C44" s="20"/>
      <c r="D44" s="20"/>
      <c r="E44" s="20"/>
      <c r="F44" s="20"/>
    </row>
    <row r="45" spans="2:11" ht="15.75" x14ac:dyDescent="0.25">
      <c r="B45" s="6"/>
      <c r="C45" s="20"/>
      <c r="D45" s="20"/>
      <c r="E45" s="20"/>
      <c r="F45" s="20"/>
    </row>
    <row r="46" spans="2:11" ht="15.75" x14ac:dyDescent="0.25">
      <c r="B46" s="6"/>
      <c r="C46" s="20"/>
      <c r="D46" s="20"/>
      <c r="E46" s="20"/>
      <c r="F46" s="20"/>
    </row>
    <row r="47" spans="2:11" ht="15.75" x14ac:dyDescent="0.25">
      <c r="B47" s="6"/>
      <c r="C47" s="20"/>
      <c r="D47" s="20"/>
      <c r="E47" s="20"/>
      <c r="F47" s="20"/>
    </row>
    <row r="48" spans="2:11" x14ac:dyDescent="0.25">
      <c r="B48" s="11"/>
      <c r="C48" s="20"/>
      <c r="D48" s="20"/>
      <c r="E48" s="20"/>
      <c r="F48" s="20"/>
    </row>
    <row r="49" spans="2:20" ht="15.75" x14ac:dyDescent="0.25">
      <c r="B49" s="5"/>
      <c r="D49" s="20"/>
      <c r="E49" s="20"/>
      <c r="F49" s="20"/>
      <c r="G49" s="20"/>
    </row>
    <row r="50" spans="2:20" ht="15.75" x14ac:dyDescent="0.25">
      <c r="B50" s="6"/>
      <c r="D50" s="20"/>
      <c r="E50" s="20"/>
      <c r="F50" s="20"/>
      <c r="G50" s="20"/>
    </row>
    <row r="51" spans="2:20" ht="15.75" x14ac:dyDescent="0.25">
      <c r="B51" s="6"/>
      <c r="D51" s="20"/>
      <c r="E51" s="20"/>
      <c r="F51" s="20"/>
      <c r="G51" s="20"/>
    </row>
    <row r="52" spans="2:20" ht="15.75" x14ac:dyDescent="0.25">
      <c r="B52" s="6"/>
    </row>
    <row r="53" spans="2:20" ht="15.75" x14ac:dyDescent="0.25">
      <c r="B53" s="6"/>
    </row>
    <row r="54" spans="2:20" ht="15.75" x14ac:dyDescent="0.25">
      <c r="B54" s="6"/>
    </row>
    <row r="55" spans="2:20" ht="15.75" x14ac:dyDescent="0.25">
      <c r="B55" s="6"/>
    </row>
    <row r="56" spans="2:20" ht="15.75" x14ac:dyDescent="0.25">
      <c r="B56" s="6"/>
    </row>
    <row r="57" spans="2:20" ht="15.75" x14ac:dyDescent="0.25">
      <c r="B57" s="6"/>
      <c r="Q57" s="20"/>
      <c r="R57" s="20"/>
      <c r="S57" s="20"/>
      <c r="T57" s="20"/>
    </row>
    <row r="58" spans="2:20" ht="15.75" x14ac:dyDescent="0.25">
      <c r="B58" s="5"/>
      <c r="Q58" s="20"/>
      <c r="R58" s="20"/>
      <c r="S58" s="20"/>
      <c r="T58" s="20"/>
    </row>
    <row r="59" spans="2:20" ht="15.75" x14ac:dyDescent="0.25">
      <c r="B59" s="6"/>
      <c r="Q59" s="20"/>
      <c r="R59" s="20"/>
      <c r="S59" s="20"/>
      <c r="T59" s="20"/>
    </row>
    <row r="60" spans="2:20" ht="15.75" x14ac:dyDescent="0.25">
      <c r="B60" s="6"/>
      <c r="Q60" s="20"/>
      <c r="R60" s="20"/>
      <c r="S60" s="20"/>
      <c r="T60" s="20"/>
    </row>
    <row r="61" spans="2:20" ht="15.75" x14ac:dyDescent="0.25">
      <c r="B61" s="6"/>
      <c r="Q61" s="20"/>
      <c r="R61" s="20"/>
      <c r="S61" s="20"/>
      <c r="T61" s="20"/>
    </row>
    <row r="62" spans="2:20" x14ac:dyDescent="0.25">
      <c r="Q62" s="20"/>
      <c r="R62" s="20"/>
      <c r="S62" s="20"/>
      <c r="T62" s="20"/>
    </row>
    <row r="63" spans="2:20" x14ac:dyDescent="0.25">
      <c r="Q63" s="20"/>
      <c r="R63" s="20"/>
      <c r="S63" s="20"/>
      <c r="T63" s="20"/>
    </row>
    <row r="64" spans="2:20" x14ac:dyDescent="0.25">
      <c r="Q64" s="20"/>
      <c r="R64" s="20"/>
      <c r="S64" s="20"/>
      <c r="T64" s="20"/>
    </row>
    <row r="65" spans="17:20" x14ac:dyDescent="0.25">
      <c r="Q65" s="20"/>
      <c r="R65" s="20"/>
      <c r="S65" s="20"/>
      <c r="T65" s="20"/>
    </row>
    <row r="66" spans="17:20" x14ac:dyDescent="0.25">
      <c r="Q66" s="20"/>
      <c r="R66" s="20"/>
      <c r="S66" s="20"/>
      <c r="T66" s="20"/>
    </row>
    <row r="67" spans="17:20" x14ac:dyDescent="0.25">
      <c r="Q67" s="20"/>
      <c r="R67" s="20"/>
      <c r="S67" s="20"/>
      <c r="T67" s="20"/>
    </row>
    <row r="68" spans="17:20" x14ac:dyDescent="0.25">
      <c r="Q68" s="20"/>
      <c r="R68" s="20"/>
      <c r="S68" s="20"/>
      <c r="T68" s="20"/>
    </row>
    <row r="69" spans="17:20" x14ac:dyDescent="0.25">
      <c r="Q69" s="20"/>
      <c r="R69" s="20"/>
      <c r="S69" s="20"/>
      <c r="T69" s="20"/>
    </row>
    <row r="70" spans="17:20" x14ac:dyDescent="0.25">
      <c r="Q70" s="20"/>
      <c r="R70" s="20"/>
      <c r="S70" s="20"/>
      <c r="T70" s="20"/>
    </row>
    <row r="71" spans="17:20" x14ac:dyDescent="0.25">
      <c r="Q71" s="20"/>
      <c r="R71" s="20"/>
      <c r="S71" s="20"/>
      <c r="T71" s="20"/>
    </row>
    <row r="72" spans="17:20" x14ac:dyDescent="0.25">
      <c r="Q72" s="20"/>
      <c r="R72" s="20"/>
      <c r="S72" s="20"/>
      <c r="T72" s="20"/>
    </row>
    <row r="73" spans="17:20" x14ac:dyDescent="0.25">
      <c r="Q73" s="20"/>
      <c r="R73" s="20"/>
      <c r="S73" s="20"/>
      <c r="T73" s="20"/>
    </row>
    <row r="74" spans="17:20" x14ac:dyDescent="0.25">
      <c r="Q74" s="20"/>
      <c r="R74" s="20"/>
      <c r="S74" s="20"/>
      <c r="T74" s="20"/>
    </row>
    <row r="75" spans="17:20" x14ac:dyDescent="0.25">
      <c r="Q75" s="20"/>
      <c r="R75" s="20"/>
      <c r="S75" s="20"/>
      <c r="T75" s="20"/>
    </row>
    <row r="76" spans="17:20" x14ac:dyDescent="0.25">
      <c r="Q76" s="20"/>
      <c r="R76" s="20"/>
      <c r="S76" s="20"/>
      <c r="T76" s="20"/>
    </row>
    <row r="77" spans="17:20" x14ac:dyDescent="0.25">
      <c r="Q77" s="20"/>
      <c r="R77" s="20"/>
      <c r="S77" s="20"/>
      <c r="T77" s="20"/>
    </row>
    <row r="78" spans="17:20" x14ac:dyDescent="0.25">
      <c r="Q78" s="20"/>
      <c r="R78" s="20"/>
      <c r="S78" s="20"/>
      <c r="T78" s="20"/>
    </row>
    <row r="79" spans="17:20" x14ac:dyDescent="0.25">
      <c r="Q79" s="20"/>
      <c r="R79" s="20"/>
      <c r="S79" s="20"/>
      <c r="T79" s="20"/>
    </row>
    <row r="80" spans="17:20" x14ac:dyDescent="0.25">
      <c r="Q80" s="20"/>
      <c r="R80" s="20"/>
      <c r="S80" s="20"/>
      <c r="T80" s="20"/>
    </row>
    <row r="81" spans="17:20" x14ac:dyDescent="0.25">
      <c r="Q81" s="20"/>
      <c r="R81" s="20"/>
      <c r="S81" s="20"/>
      <c r="T81" s="20"/>
    </row>
    <row r="82" spans="17:20" x14ac:dyDescent="0.25">
      <c r="Q82" s="20"/>
      <c r="R82" s="20"/>
      <c r="S82" s="20"/>
      <c r="T82" s="20"/>
    </row>
  </sheetData>
  <mergeCells count="25">
    <mergeCell ref="K11:M12"/>
    <mergeCell ref="G11:I11"/>
    <mergeCell ref="B21:C21"/>
    <mergeCell ref="G14:I14"/>
    <mergeCell ref="B16:D16"/>
    <mergeCell ref="B17:D17"/>
    <mergeCell ref="B13:D13"/>
    <mergeCell ref="B14:D14"/>
    <mergeCell ref="B15:D15"/>
    <mergeCell ref="G13:I13"/>
    <mergeCell ref="C6:F6"/>
    <mergeCell ref="G8:I8"/>
    <mergeCell ref="G9:I9"/>
    <mergeCell ref="G10:I10"/>
    <mergeCell ref="G12:I12"/>
    <mergeCell ref="B8:D8"/>
    <mergeCell ref="B9:D9"/>
    <mergeCell ref="B10:D10"/>
    <mergeCell ref="B11:D11"/>
    <mergeCell ref="B12:D12"/>
    <mergeCell ref="C36:D36"/>
    <mergeCell ref="C37:D37"/>
    <mergeCell ref="C38:D38"/>
    <mergeCell ref="C39:D39"/>
    <mergeCell ref="B32:D32"/>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EC289-5E3E-46F3-AB13-A45C023B371F}">
  <sheetPr>
    <pageSetUpPr autoPageBreaks="0"/>
  </sheetPr>
  <dimension ref="B1:W86"/>
  <sheetViews>
    <sheetView topLeftCell="A25" zoomScaleNormal="100" workbookViewId="0">
      <selection activeCell="J49" sqref="J49"/>
    </sheetView>
  </sheetViews>
  <sheetFormatPr defaultColWidth="9.140625" defaultRowHeight="15" x14ac:dyDescent="0.25"/>
  <cols>
    <col min="1" max="1" width="1.85546875" customWidth="1"/>
    <col min="2" max="2" width="11.85546875" customWidth="1"/>
    <col min="3" max="3" width="18.85546875" bestFit="1" customWidth="1"/>
    <col min="4" max="4" width="19.140625" bestFit="1" customWidth="1"/>
    <col min="5" max="5" width="20.140625" bestFit="1" customWidth="1"/>
    <col min="6" max="6" width="17.28515625" bestFit="1" customWidth="1"/>
    <col min="7" max="7" width="21.140625" bestFit="1" customWidth="1"/>
    <col min="8" max="8" width="16.85546875" bestFit="1" customWidth="1"/>
    <col min="9" max="9" width="20.140625" customWidth="1"/>
    <col min="10" max="10" width="13.28515625" bestFit="1" customWidth="1"/>
    <col min="11" max="11" width="21.28515625" customWidth="1"/>
    <col min="12" max="12" width="21.140625" customWidth="1"/>
    <col min="13" max="13" width="20.42578125" customWidth="1"/>
    <col min="14" max="14" width="20.7109375" customWidth="1"/>
    <col min="15" max="15" width="22" customWidth="1"/>
    <col min="16" max="16" width="19.7109375" customWidth="1"/>
    <col min="17" max="17" width="21.5703125" customWidth="1"/>
    <col min="18" max="18" width="20.5703125" customWidth="1"/>
    <col min="19" max="19" width="20.140625" customWidth="1"/>
    <col min="20" max="20" width="17.85546875" customWidth="1"/>
    <col min="21" max="21" width="19.42578125" customWidth="1"/>
    <col min="22" max="28" width="17.85546875" customWidth="1"/>
  </cols>
  <sheetData>
    <row r="1" spans="2:19" s="2" customFormat="1" ht="15.75" x14ac:dyDescent="0.25">
      <c r="N1" s="3"/>
      <c r="O1" s="3"/>
      <c r="P1" s="4"/>
    </row>
    <row r="2" spans="2:19" s="2" customFormat="1" ht="15.75" x14ac:dyDescent="0.25"/>
    <row r="3" spans="2:19" s="2" customFormat="1" ht="15.75" x14ac:dyDescent="0.25">
      <c r="O3" s="5"/>
    </row>
    <row r="4" spans="2:19" s="2" customFormat="1" ht="15.75" x14ac:dyDescent="0.25">
      <c r="O4" s="6"/>
    </row>
    <row r="5" spans="2:19" s="2" customFormat="1" ht="15.75" x14ac:dyDescent="0.25">
      <c r="O5" s="6"/>
    </row>
    <row r="6" spans="2:19" s="7" customFormat="1" ht="23.25" x14ac:dyDescent="0.35">
      <c r="C6" s="163" t="s">
        <v>11</v>
      </c>
      <c r="D6" s="163"/>
      <c r="E6" s="163"/>
      <c r="F6" s="163"/>
      <c r="O6" s="6"/>
      <c r="P6" s="2"/>
      <c r="Q6" s="2"/>
      <c r="R6" s="2"/>
      <c r="S6" s="2"/>
    </row>
    <row r="7" spans="2:19" ht="16.5" thickBot="1" x14ac:dyDescent="0.3">
      <c r="B7" s="9"/>
      <c r="C7" s="2"/>
      <c r="D7" s="2"/>
      <c r="G7" s="9"/>
      <c r="H7" s="2"/>
      <c r="K7" s="7"/>
      <c r="L7" s="7"/>
      <c r="O7" s="6"/>
      <c r="P7" s="7"/>
      <c r="Q7" s="7"/>
      <c r="R7" s="7"/>
      <c r="S7" s="7"/>
    </row>
    <row r="8" spans="2:19" ht="16.5" thickBot="1" x14ac:dyDescent="0.3">
      <c r="B8" s="176" t="s">
        <v>12</v>
      </c>
      <c r="C8" s="177"/>
      <c r="D8" s="178"/>
      <c r="E8" s="10" t="s">
        <v>5</v>
      </c>
      <c r="G8" s="164" t="s">
        <v>13</v>
      </c>
      <c r="H8" s="165"/>
      <c r="I8" s="166"/>
      <c r="J8" s="47">
        <v>4</v>
      </c>
    </row>
    <row r="9" spans="2:19" ht="15.95" customHeight="1" thickBot="1" x14ac:dyDescent="0.3">
      <c r="B9" s="176" t="s">
        <v>14</v>
      </c>
      <c r="C9" s="177"/>
      <c r="D9" s="178"/>
      <c r="E9" s="12" t="s">
        <v>15</v>
      </c>
      <c r="G9" s="164" t="s">
        <v>16</v>
      </c>
      <c r="H9" s="165"/>
      <c r="I9" s="166"/>
      <c r="J9" s="47">
        <v>3</v>
      </c>
      <c r="M9" s="5"/>
    </row>
    <row r="10" spans="2:19" ht="16.5" customHeight="1" thickBot="1" x14ac:dyDescent="0.3">
      <c r="B10" s="173" t="s">
        <v>18</v>
      </c>
      <c r="C10" s="174"/>
      <c r="D10" s="175"/>
      <c r="E10" s="12" t="s">
        <v>19</v>
      </c>
      <c r="G10" s="164" t="s">
        <v>20</v>
      </c>
      <c r="H10" s="165"/>
      <c r="I10" s="166"/>
      <c r="J10" s="47">
        <v>7</v>
      </c>
      <c r="K10" s="148"/>
    </row>
    <row r="11" spans="2:19" ht="16.5" customHeight="1" thickBot="1" x14ac:dyDescent="0.3">
      <c r="B11" s="168" t="s">
        <v>183</v>
      </c>
      <c r="C11" s="168"/>
      <c r="D11" s="168"/>
      <c r="E11" s="13">
        <v>49251</v>
      </c>
      <c r="G11" s="164" t="s">
        <v>71</v>
      </c>
      <c r="H11" s="165"/>
      <c r="I11" s="166"/>
      <c r="J11" s="48" t="s">
        <v>39</v>
      </c>
      <c r="K11" s="169" t="s">
        <v>17</v>
      </c>
      <c r="L11" s="170"/>
      <c r="M11" s="170"/>
    </row>
    <row r="12" spans="2:19" ht="16.5" thickBot="1" x14ac:dyDescent="0.3">
      <c r="B12" s="168" t="s">
        <v>184</v>
      </c>
      <c r="C12" s="168"/>
      <c r="D12" s="168"/>
      <c r="E12" s="14">
        <v>44621</v>
      </c>
      <c r="G12" s="164" t="s">
        <v>117</v>
      </c>
      <c r="H12" s="165"/>
      <c r="I12" s="166"/>
      <c r="J12" s="46">
        <v>0.04</v>
      </c>
      <c r="K12" s="169"/>
      <c r="L12" s="170"/>
      <c r="M12" s="170"/>
    </row>
    <row r="13" spans="2:19" ht="16.5" thickBot="1" x14ac:dyDescent="0.3">
      <c r="B13" s="173" t="s">
        <v>21</v>
      </c>
      <c r="C13" s="174"/>
      <c r="D13" s="175"/>
      <c r="E13" s="12">
        <v>2022</v>
      </c>
      <c r="G13" s="164" t="s">
        <v>23</v>
      </c>
      <c r="H13" s="165"/>
      <c r="I13" s="166"/>
      <c r="J13" s="46">
        <v>0.3</v>
      </c>
      <c r="K13" s="148"/>
      <c r="M13" s="6"/>
    </row>
    <row r="14" spans="2:19" ht="16.5" thickBot="1" x14ac:dyDescent="0.3">
      <c r="B14" s="173" t="s">
        <v>22</v>
      </c>
      <c r="C14" s="174"/>
      <c r="D14" s="175"/>
      <c r="E14" s="14">
        <v>43405</v>
      </c>
      <c r="G14" s="164" t="s">
        <v>25</v>
      </c>
      <c r="H14" s="165"/>
      <c r="I14" s="166"/>
      <c r="J14" s="47" t="s">
        <v>38</v>
      </c>
      <c r="K14" s="148"/>
      <c r="M14" s="6"/>
    </row>
    <row r="15" spans="2:19" ht="16.5" thickBot="1" x14ac:dyDescent="0.3">
      <c r="B15" s="173" t="s">
        <v>24</v>
      </c>
      <c r="C15" s="174"/>
      <c r="D15" s="175"/>
      <c r="E15" s="14">
        <v>45961</v>
      </c>
      <c r="J15" s="102"/>
      <c r="K15" s="149"/>
      <c r="M15" s="6"/>
    </row>
    <row r="16" spans="2:19" ht="16.5" thickBot="1" x14ac:dyDescent="0.3">
      <c r="B16" s="173" t="s">
        <v>168</v>
      </c>
      <c r="C16" s="174"/>
      <c r="D16" s="175"/>
      <c r="E16" s="16">
        <v>0.32</v>
      </c>
      <c r="J16" s="102"/>
      <c r="K16" s="149"/>
      <c r="M16" s="6"/>
    </row>
    <row r="17" spans="2:23" ht="16.5" thickBot="1" x14ac:dyDescent="0.3">
      <c r="B17" s="173" t="s">
        <v>28</v>
      </c>
      <c r="C17" s="174"/>
      <c r="D17" s="175"/>
      <c r="E17" s="17">
        <v>1029</v>
      </c>
      <c r="M17" s="6"/>
    </row>
    <row r="18" spans="2:23" ht="15.75" x14ac:dyDescent="0.25">
      <c r="F18" s="49"/>
      <c r="L18" s="6"/>
    </row>
    <row r="19" spans="2:23" ht="15.75" x14ac:dyDescent="0.25">
      <c r="B19" s="18" t="s">
        <v>29</v>
      </c>
      <c r="C19" s="19"/>
      <c r="D19" s="19"/>
      <c r="E19" s="20"/>
      <c r="F19" s="20"/>
      <c r="G19" s="20"/>
      <c r="H19" s="20"/>
      <c r="I19" s="20"/>
      <c r="L19" s="6"/>
    </row>
    <row r="20" spans="2:23" ht="15.75" x14ac:dyDescent="0.25">
      <c r="B20" s="18"/>
      <c r="C20" s="19"/>
      <c r="D20" s="19"/>
      <c r="E20" s="20"/>
      <c r="F20" s="20"/>
      <c r="G20" s="20"/>
      <c r="H20" s="20"/>
      <c r="I20" s="20"/>
      <c r="L20" s="6"/>
    </row>
    <row r="21" spans="2:23" ht="15.75" x14ac:dyDescent="0.25">
      <c r="B21" s="171" t="s">
        <v>30</v>
      </c>
      <c r="C21" s="171"/>
      <c r="L21" s="6"/>
    </row>
    <row r="22" spans="2:23" ht="16.5" thickBot="1" x14ac:dyDescent="0.3">
      <c r="B22" s="78"/>
      <c r="C22" s="78"/>
      <c r="L22" s="6"/>
    </row>
    <row r="23" spans="2:23" s="38" customFormat="1" ht="33.6" customHeight="1" thickBot="1" x14ac:dyDescent="0.3">
      <c r="B23" s="139" t="s">
        <v>31</v>
      </c>
      <c r="C23" s="139" t="s">
        <v>72</v>
      </c>
      <c r="D23" s="139" t="s">
        <v>81</v>
      </c>
      <c r="E23" s="139" t="s">
        <v>82</v>
      </c>
      <c r="J23" s="142"/>
      <c r="L23" s="143"/>
    </row>
    <row r="24" spans="2:23" ht="15.75" x14ac:dyDescent="0.25">
      <c r="B24" s="150">
        <v>2022</v>
      </c>
      <c r="C24" s="133">
        <v>14784</v>
      </c>
      <c r="D24" s="133">
        <f>SUM(Contributions!F38,Contributions!I38,Contributions!L38,Contributions!O38)</f>
        <v>1446.3911003358721</v>
      </c>
      <c r="E24" s="133">
        <f>Contributions!P38</f>
        <v>61785.391100335873</v>
      </c>
      <c r="J24" s="72"/>
      <c r="L24" s="6"/>
    </row>
    <row r="25" spans="2:23" ht="15.75" x14ac:dyDescent="0.25">
      <c r="B25" s="104">
        <v>2023</v>
      </c>
      <c r="C25" s="133">
        <v>15840</v>
      </c>
      <c r="D25" s="133">
        <f>SUM(Contributions!F39,Contributions!I39,Contributions!L39,Contributions!O39)</f>
        <v>2738.1118712321113</v>
      </c>
      <c r="E25" s="133">
        <f>Contributions!P39</f>
        <v>80363.502971567985</v>
      </c>
      <c r="J25" s="72"/>
      <c r="L25" s="6"/>
    </row>
    <row r="26" spans="2:23" ht="15.75" x14ac:dyDescent="0.25">
      <c r="B26" s="104">
        <v>2024</v>
      </c>
      <c r="C26" s="133">
        <v>16896</v>
      </c>
      <c r="D26" s="133">
        <f>SUM(Contributions!F40,Contributions!I40,Contributions!L40,Contributions!O40)</f>
        <v>3502.8122916371485</v>
      </c>
      <c r="E26" s="133">
        <f>Contributions!P40</f>
        <v>100762.31526320515</v>
      </c>
      <c r="J26" s="72"/>
      <c r="L26" s="6"/>
    </row>
    <row r="27" spans="2:23" ht="16.5" thickBot="1" x14ac:dyDescent="0.3">
      <c r="B27" s="105">
        <v>2025</v>
      </c>
      <c r="C27" s="134">
        <v>17952</v>
      </c>
      <c r="D27" s="134">
        <v>4340.8187492329889</v>
      </c>
      <c r="E27" s="134">
        <v>123055.13401243814</v>
      </c>
      <c r="L27" s="6"/>
    </row>
    <row r="28" spans="2:23" ht="15.75" x14ac:dyDescent="0.25">
      <c r="B28" s="20"/>
      <c r="C28" s="22"/>
      <c r="D28" s="22"/>
      <c r="E28" s="22"/>
      <c r="F28" s="22"/>
      <c r="G28" s="22"/>
      <c r="H28" s="22"/>
      <c r="I28" s="22"/>
      <c r="L28" s="6"/>
    </row>
    <row r="29" spans="2:23" x14ac:dyDescent="0.25">
      <c r="B29" s="171" t="s">
        <v>32</v>
      </c>
      <c r="C29" s="171"/>
      <c r="O29" s="20"/>
      <c r="P29" s="20"/>
      <c r="Q29" s="20"/>
      <c r="R29" s="20"/>
      <c r="S29" s="20"/>
      <c r="T29" s="20"/>
      <c r="U29" s="20"/>
      <c r="V29" s="20"/>
      <c r="W29" s="20"/>
    </row>
    <row r="30" spans="2:23" ht="15.75" thickBot="1" x14ac:dyDescent="0.3"/>
    <row r="31" spans="2:23" s="42" customFormat="1" ht="45.75" thickBot="1" x14ac:dyDescent="0.3">
      <c r="B31" s="139" t="s">
        <v>31</v>
      </c>
      <c r="C31" s="139" t="s">
        <v>73</v>
      </c>
      <c r="D31" s="139" t="s">
        <v>74</v>
      </c>
      <c r="E31" s="139" t="s">
        <v>75</v>
      </c>
      <c r="F31" s="139" t="s">
        <v>99</v>
      </c>
      <c r="G31" s="139" t="s">
        <v>76</v>
      </c>
      <c r="H31" s="139" t="s">
        <v>77</v>
      </c>
    </row>
    <row r="32" spans="2:23" ht="15" customHeight="1" thickBot="1" x14ac:dyDescent="0.3">
      <c r="B32" s="99">
        <v>2026</v>
      </c>
      <c r="C32" s="101">
        <f>E27</f>
        <v>123055.13401243814</v>
      </c>
      <c r="D32" s="101">
        <f>((C32*J12)/365)*242</f>
        <v>3263.4895814805509</v>
      </c>
      <c r="E32" s="101">
        <f>C32+D32</f>
        <v>126318.62359391869</v>
      </c>
      <c r="F32" s="101">
        <f>E32*J13</f>
        <v>37895.587078175602</v>
      </c>
      <c r="G32" s="101">
        <f>E32*J13-(E32*J13)*E16-E17</f>
        <v>24739.999213159412</v>
      </c>
      <c r="H32" s="101">
        <f>E32-E32*J13</f>
        <v>88423.036515743093</v>
      </c>
    </row>
    <row r="33" spans="2:23" x14ac:dyDescent="0.25">
      <c r="B33" s="20"/>
      <c r="C33" s="20"/>
      <c r="D33" s="20"/>
      <c r="E33" s="55"/>
      <c r="G33" s="32"/>
      <c r="H33" s="32"/>
      <c r="I33" s="32"/>
      <c r="J33" s="20"/>
      <c r="K33" s="29"/>
      <c r="L33" s="30"/>
      <c r="M33" s="20"/>
      <c r="N33" s="31"/>
      <c r="O33" s="31"/>
      <c r="P33" s="20"/>
      <c r="Q33" s="20"/>
      <c r="R33" s="20"/>
      <c r="S33" s="20"/>
      <c r="T33" s="20"/>
      <c r="U33" s="20"/>
      <c r="V33" s="20"/>
      <c r="W33" s="20"/>
    </row>
    <row r="34" spans="2:23" x14ac:dyDescent="0.25">
      <c r="B34" s="162" t="s">
        <v>43</v>
      </c>
      <c r="C34" s="162"/>
      <c r="D34" s="162"/>
      <c r="E34" s="115"/>
      <c r="F34" s="20"/>
      <c r="G34" s="20"/>
      <c r="H34" s="20"/>
      <c r="I34" s="31"/>
      <c r="J34" s="20"/>
      <c r="K34" s="20"/>
      <c r="L34" s="32"/>
      <c r="M34" s="20"/>
      <c r="N34" s="20"/>
      <c r="O34" s="20"/>
      <c r="P34" s="20"/>
      <c r="Q34" s="20"/>
      <c r="R34" s="20"/>
      <c r="S34" s="20"/>
      <c r="T34" s="20"/>
      <c r="U34" s="20"/>
      <c r="V34" s="20"/>
      <c r="W34" s="20"/>
    </row>
    <row r="35" spans="2:23" ht="15.75" thickBot="1" x14ac:dyDescent="0.3"/>
    <row r="36" spans="2:23" s="42" customFormat="1" ht="30.75" thickBot="1" x14ac:dyDescent="0.3">
      <c r="B36" s="139" t="s">
        <v>31</v>
      </c>
      <c r="C36" s="139" t="s">
        <v>78</v>
      </c>
      <c r="D36" s="138" t="s">
        <v>79</v>
      </c>
      <c r="J36" s="141"/>
      <c r="L36" s="141"/>
      <c r="M36" s="141"/>
      <c r="N36" s="141"/>
      <c r="O36" s="141"/>
      <c r="P36" s="141"/>
      <c r="Q36" s="141"/>
      <c r="R36" s="141"/>
      <c r="S36" s="141"/>
      <c r="T36" s="141"/>
      <c r="U36" s="141"/>
      <c r="V36" s="141"/>
    </row>
    <row r="37" spans="2:23" x14ac:dyDescent="0.25">
      <c r="B37" s="104">
        <v>2027</v>
      </c>
      <c r="C37" s="106">
        <f>H32*J12</f>
        <v>3536.9214606297237</v>
      </c>
      <c r="D37" s="34">
        <f>C37+H32</f>
        <v>91959.957976372811</v>
      </c>
      <c r="J37" s="33"/>
      <c r="K37" s="57"/>
      <c r="L37" s="20"/>
      <c r="M37" s="20"/>
      <c r="N37" s="20"/>
      <c r="O37" s="20"/>
      <c r="P37" s="20"/>
      <c r="Q37" s="20"/>
      <c r="R37" s="20"/>
      <c r="S37" s="20"/>
      <c r="T37" s="20"/>
      <c r="U37" s="20"/>
      <c r="V37" s="20"/>
      <c r="W37" s="20"/>
    </row>
    <row r="38" spans="2:23" x14ac:dyDescent="0.25">
      <c r="B38" s="104">
        <v>2028</v>
      </c>
      <c r="C38" s="106">
        <f>D37*J12</f>
        <v>3678.3983190549125</v>
      </c>
      <c r="D38" s="34">
        <f>D37+C38</f>
        <v>95638.356295427729</v>
      </c>
      <c r="J38" s="33"/>
      <c r="K38" s="20"/>
      <c r="L38" s="20"/>
      <c r="M38" s="20"/>
      <c r="N38" s="20"/>
      <c r="O38" s="20"/>
      <c r="P38" s="20"/>
      <c r="Q38" s="20"/>
      <c r="R38" s="20"/>
      <c r="S38" s="20"/>
      <c r="T38" s="20"/>
      <c r="U38" s="20"/>
      <c r="V38" s="20"/>
      <c r="W38" s="20"/>
    </row>
    <row r="39" spans="2:23" ht="15.75" thickBot="1" x14ac:dyDescent="0.3">
      <c r="B39" s="105">
        <v>2029</v>
      </c>
      <c r="C39" s="107">
        <f>D38*J12</f>
        <v>3825.5342518171092</v>
      </c>
      <c r="D39" s="35">
        <f>D38+C39</f>
        <v>99463.890547244839</v>
      </c>
      <c r="J39" s="33"/>
      <c r="K39" s="20"/>
      <c r="L39" s="20"/>
      <c r="M39" s="20"/>
      <c r="N39" s="20"/>
      <c r="O39" s="20"/>
      <c r="P39" s="20"/>
      <c r="Q39" s="20"/>
      <c r="R39" s="20"/>
      <c r="S39" s="20"/>
      <c r="T39" s="20"/>
      <c r="U39" s="20"/>
      <c r="V39" s="20"/>
      <c r="W39" s="20"/>
    </row>
    <row r="40" spans="2:23" x14ac:dyDescent="0.25">
      <c r="B40" s="20"/>
      <c r="C40" s="22"/>
      <c r="D40" s="20"/>
      <c r="E40" s="20"/>
      <c r="F40" s="20"/>
      <c r="G40" s="20"/>
      <c r="H40" s="20"/>
      <c r="I40" s="20"/>
      <c r="J40" s="20"/>
      <c r="K40" s="20"/>
      <c r="L40" s="20"/>
      <c r="M40" s="20"/>
      <c r="N40" s="20"/>
      <c r="O40" s="20"/>
      <c r="P40" s="20"/>
      <c r="Q40" s="20"/>
      <c r="R40" s="20"/>
      <c r="S40" s="20"/>
      <c r="T40" s="20"/>
      <c r="U40" s="20"/>
      <c r="V40" s="20"/>
      <c r="W40" s="20"/>
    </row>
    <row r="41" spans="2:23" x14ac:dyDescent="0.25">
      <c r="B41" s="172" t="s">
        <v>45</v>
      </c>
      <c r="C41" s="172"/>
      <c r="D41" s="172"/>
      <c r="E41" s="103"/>
      <c r="F41" s="103"/>
      <c r="G41" s="103"/>
      <c r="H41" s="103"/>
      <c r="I41" s="20"/>
      <c r="J41" s="20"/>
      <c r="K41" s="20"/>
      <c r="L41" s="20"/>
      <c r="M41" s="20"/>
      <c r="N41" s="20"/>
      <c r="O41" s="20"/>
      <c r="P41" s="20"/>
      <c r="Q41" s="20"/>
      <c r="R41" s="20"/>
      <c r="S41" s="20"/>
      <c r="T41" s="20"/>
      <c r="U41" s="20"/>
      <c r="V41" s="20"/>
      <c r="W41" s="20"/>
    </row>
    <row r="42" spans="2:23" ht="15.75" thickBot="1" x14ac:dyDescent="0.3">
      <c r="D42" s="102"/>
      <c r="E42" s="102"/>
      <c r="F42" s="102"/>
      <c r="G42" s="102"/>
      <c r="H42" s="102"/>
    </row>
    <row r="43" spans="2:23" s="42" customFormat="1" ht="30.75" thickBot="1" x14ac:dyDescent="0.3">
      <c r="B43" s="139" t="s">
        <v>31</v>
      </c>
      <c r="C43" s="139" t="s">
        <v>46</v>
      </c>
      <c r="D43" s="139" t="s">
        <v>80</v>
      </c>
      <c r="E43" s="139" t="s">
        <v>78</v>
      </c>
      <c r="F43" s="139" t="s">
        <v>101</v>
      </c>
      <c r="G43" s="138" t="s">
        <v>100</v>
      </c>
      <c r="H43" s="138" t="s">
        <v>79</v>
      </c>
    </row>
    <row r="44" spans="2:23" x14ac:dyDescent="0.25">
      <c r="B44" s="108">
        <v>2030</v>
      </c>
      <c r="C44" s="109">
        <v>0.2</v>
      </c>
      <c r="D44" s="111">
        <f>D39</f>
        <v>99463.890547244839</v>
      </c>
      <c r="E44" s="111">
        <f>D44*J12</f>
        <v>3978.5556218897937</v>
      </c>
      <c r="F44" s="111">
        <f>D44*C44</f>
        <v>19892.778109448969</v>
      </c>
      <c r="G44" s="23">
        <f>F44-F44*E16</f>
        <v>13527.0891144253</v>
      </c>
      <c r="H44" s="23">
        <f>D44+E44-F44</f>
        <v>83549.668059685675</v>
      </c>
      <c r="S44" s="20"/>
      <c r="T44" s="20"/>
      <c r="U44" s="20"/>
      <c r="V44" s="20"/>
      <c r="W44" s="20"/>
    </row>
    <row r="45" spans="2:23" x14ac:dyDescent="0.25">
      <c r="B45" s="108">
        <v>2031</v>
      </c>
      <c r="C45" s="109">
        <v>0.25</v>
      </c>
      <c r="D45" s="111">
        <f>H44</f>
        <v>83549.668059685675</v>
      </c>
      <c r="E45" s="113">
        <f>D45*J12</f>
        <v>3341.9867223874271</v>
      </c>
      <c r="F45" s="111">
        <f>D45*C45</f>
        <v>20887.417014921419</v>
      </c>
      <c r="G45" s="23">
        <f>F45-F45*E16</f>
        <v>14203.443570146565</v>
      </c>
      <c r="H45" s="23">
        <f>D45+E45-F45</f>
        <v>66004.237767151688</v>
      </c>
      <c r="S45" s="20"/>
      <c r="T45" s="20"/>
      <c r="U45" s="20"/>
      <c r="V45" s="20"/>
      <c r="W45" s="20"/>
    </row>
    <row r="46" spans="2:23" x14ac:dyDescent="0.25">
      <c r="B46" s="108">
        <v>2032</v>
      </c>
      <c r="C46" s="109">
        <v>0.33329999999999999</v>
      </c>
      <c r="D46" s="111">
        <f>H45</f>
        <v>66004.237767151688</v>
      </c>
      <c r="E46" s="111">
        <f>D46*J12</f>
        <v>2640.1695106860675</v>
      </c>
      <c r="F46" s="111">
        <f>D46*C46</f>
        <v>21999.212447791655</v>
      </c>
      <c r="G46" s="23">
        <f>F46-F46*E16</f>
        <v>14959.464464498325</v>
      </c>
      <c r="H46" s="23">
        <f>D46+E46-F46</f>
        <v>46645.194830046108</v>
      </c>
      <c r="S46" s="20"/>
      <c r="T46" s="20"/>
      <c r="U46" s="20"/>
      <c r="V46" s="20"/>
      <c r="W46" s="20"/>
    </row>
    <row r="47" spans="2:23" x14ac:dyDescent="0.25">
      <c r="B47" s="108">
        <v>2033</v>
      </c>
      <c r="C47" s="109">
        <v>0.5</v>
      </c>
      <c r="D47" s="111">
        <f t="shared" ref="D47:D48" si="0">H46</f>
        <v>46645.194830046108</v>
      </c>
      <c r="E47" s="111">
        <f>D47*J12</f>
        <v>1865.8077932018443</v>
      </c>
      <c r="F47" s="111">
        <f>D47*C47</f>
        <v>23322.597415023054</v>
      </c>
      <c r="G47" s="23">
        <f>F47-F47*E16</f>
        <v>15859.366242215678</v>
      </c>
      <c r="H47" s="23">
        <f>D47+E47-F47</f>
        <v>25188.405208224896</v>
      </c>
      <c r="S47" s="20"/>
      <c r="T47" s="20"/>
      <c r="U47" s="20"/>
      <c r="V47" s="20"/>
      <c r="W47" s="20"/>
    </row>
    <row r="48" spans="2:23" ht="15.75" thickBot="1" x14ac:dyDescent="0.3">
      <c r="B48" s="105">
        <v>2034</v>
      </c>
      <c r="C48" s="110">
        <v>1</v>
      </c>
      <c r="D48" s="112">
        <f t="shared" si="0"/>
        <v>25188.405208224896</v>
      </c>
      <c r="E48" s="112">
        <f>D48*J12</f>
        <v>1007.5362083289958</v>
      </c>
      <c r="F48" s="112">
        <f>D48*C48</f>
        <v>25188.405208224896</v>
      </c>
      <c r="G48" s="25">
        <f>F48-F48*E16+E48</f>
        <v>18135.651749921926</v>
      </c>
      <c r="H48" s="25">
        <v>0</v>
      </c>
      <c r="S48" s="20"/>
      <c r="T48" s="20"/>
      <c r="U48" s="20"/>
      <c r="V48" s="20"/>
      <c r="W48" s="20"/>
    </row>
    <row r="49" spans="2:23" x14ac:dyDescent="0.25">
      <c r="D49" s="74"/>
      <c r="E49" s="75"/>
      <c r="F49" s="54"/>
      <c r="S49" s="20"/>
      <c r="T49" s="20"/>
      <c r="U49" s="20"/>
      <c r="V49" s="20"/>
      <c r="W49" s="20"/>
    </row>
    <row r="50" spans="2:23" x14ac:dyDescent="0.25">
      <c r="B50" s="20"/>
      <c r="C50" s="20"/>
      <c r="K50" s="20"/>
      <c r="L50" s="20"/>
      <c r="M50" s="20"/>
      <c r="N50" s="20"/>
      <c r="O50" s="20"/>
      <c r="P50" s="20"/>
      <c r="Q50" s="20"/>
      <c r="R50" s="20"/>
      <c r="S50" s="20"/>
      <c r="T50" s="20"/>
      <c r="U50" s="20"/>
      <c r="V50" s="20"/>
      <c r="W50" s="20"/>
    </row>
    <row r="51" spans="2:23" ht="15.75" thickBot="1" x14ac:dyDescent="0.3">
      <c r="B51" s="20"/>
      <c r="C51" s="20"/>
      <c r="D51" s="20"/>
      <c r="K51" s="20"/>
      <c r="L51" s="20"/>
      <c r="M51" s="20"/>
      <c r="N51" s="20"/>
      <c r="O51" s="20"/>
      <c r="P51" s="20"/>
      <c r="Q51" s="20"/>
      <c r="R51" s="20"/>
      <c r="S51" s="20"/>
      <c r="T51" s="20"/>
      <c r="U51" s="20"/>
      <c r="V51" s="20"/>
      <c r="W51" s="20"/>
    </row>
    <row r="52" spans="2:23" ht="15.75" thickBot="1" x14ac:dyDescent="0.3">
      <c r="C52" s="160" t="s">
        <v>83</v>
      </c>
      <c r="D52" s="161"/>
      <c r="E52" s="114">
        <f>E27</f>
        <v>123055.13401243814</v>
      </c>
      <c r="J52" s="20"/>
      <c r="K52" s="20"/>
      <c r="L52" s="20"/>
      <c r="M52" s="20"/>
      <c r="N52" s="20"/>
      <c r="O52" s="20"/>
      <c r="P52" s="20"/>
      <c r="Q52" s="20"/>
      <c r="R52" s="20"/>
      <c r="S52" s="20"/>
      <c r="T52" s="20"/>
      <c r="U52" s="20"/>
      <c r="V52" s="20"/>
    </row>
    <row r="53" spans="2:23" ht="15.75" thickBot="1" x14ac:dyDescent="0.3">
      <c r="C53" s="160" t="s">
        <v>84</v>
      </c>
      <c r="D53" s="161"/>
      <c r="E53" s="114">
        <f>F32</f>
        <v>37895.587078175602</v>
      </c>
      <c r="J53" s="20"/>
      <c r="K53" s="20"/>
      <c r="L53" s="20"/>
      <c r="M53" s="20"/>
      <c r="N53" s="20"/>
      <c r="O53" s="20"/>
      <c r="P53" s="20"/>
      <c r="Q53" s="20"/>
      <c r="R53" s="20"/>
      <c r="S53" s="20"/>
      <c r="T53" s="20"/>
      <c r="U53" s="20"/>
      <c r="V53" s="20"/>
    </row>
    <row r="54" spans="2:23" ht="15.75" thickBot="1" x14ac:dyDescent="0.3">
      <c r="C54" s="160" t="s">
        <v>86</v>
      </c>
      <c r="D54" s="161"/>
      <c r="E54" s="114">
        <f>SUM(F44:F48)</f>
        <v>111290.41019540999</v>
      </c>
      <c r="S54" s="20"/>
      <c r="T54" s="20"/>
      <c r="U54" s="20"/>
      <c r="V54" s="20"/>
    </row>
    <row r="55" spans="2:23" ht="15.75" thickBot="1" x14ac:dyDescent="0.3">
      <c r="C55" s="160" t="s">
        <v>85</v>
      </c>
      <c r="D55" s="161"/>
      <c r="E55" s="114">
        <f>SUM(D24:D27,D32,C37:C39,E44:E48)</f>
        <v>39166.533481914536</v>
      </c>
      <c r="T55" s="20"/>
      <c r="U55" s="20"/>
      <c r="V55" s="20"/>
      <c r="W55" s="20"/>
    </row>
    <row r="59" spans="2:23" ht="15.75" x14ac:dyDescent="0.25">
      <c r="B59" s="5"/>
      <c r="T59" s="20"/>
      <c r="U59" s="20"/>
      <c r="V59" s="20"/>
      <c r="W59" s="20"/>
    </row>
    <row r="60" spans="2:23" ht="15.75" x14ac:dyDescent="0.25">
      <c r="B60" s="6"/>
      <c r="T60" s="20"/>
      <c r="U60" s="20"/>
      <c r="V60" s="20"/>
      <c r="W60" s="20"/>
    </row>
    <row r="61" spans="2:23" ht="15.75" x14ac:dyDescent="0.25">
      <c r="B61" s="6"/>
      <c r="T61" s="20"/>
      <c r="U61" s="20"/>
      <c r="V61" s="20"/>
      <c r="W61" s="20"/>
    </row>
    <row r="62" spans="2:23" ht="15.75" x14ac:dyDescent="0.25">
      <c r="B62" s="6"/>
      <c r="T62" s="20"/>
      <c r="U62" s="20"/>
      <c r="V62" s="20"/>
      <c r="W62" s="20"/>
    </row>
    <row r="63" spans="2:23" ht="15.75" x14ac:dyDescent="0.25">
      <c r="B63" s="6"/>
      <c r="T63" s="20"/>
      <c r="U63" s="20"/>
      <c r="V63" s="20"/>
      <c r="W63" s="20"/>
    </row>
    <row r="64" spans="2:23" x14ac:dyDescent="0.25">
      <c r="B64" s="11"/>
      <c r="T64" s="20"/>
      <c r="U64" s="20"/>
      <c r="V64" s="20"/>
      <c r="W64" s="20"/>
    </row>
    <row r="65" spans="2:23" ht="15.75" x14ac:dyDescent="0.25">
      <c r="B65" s="5"/>
      <c r="T65" s="20"/>
      <c r="U65" s="20"/>
      <c r="V65" s="20"/>
      <c r="W65" s="20"/>
    </row>
    <row r="66" spans="2:23" ht="15.75" x14ac:dyDescent="0.25">
      <c r="B66" s="6"/>
      <c r="T66" s="20"/>
      <c r="U66" s="20"/>
      <c r="V66" s="20"/>
      <c r="W66" s="20"/>
    </row>
    <row r="67" spans="2:23" ht="15.75" x14ac:dyDescent="0.25">
      <c r="B67" s="6"/>
      <c r="T67" s="20"/>
      <c r="U67" s="20"/>
      <c r="V67" s="20"/>
      <c r="W67" s="20"/>
    </row>
    <row r="68" spans="2:23" ht="15.75" x14ac:dyDescent="0.25">
      <c r="B68" s="6"/>
      <c r="T68" s="20"/>
      <c r="U68" s="20"/>
      <c r="V68" s="20"/>
      <c r="W68" s="20"/>
    </row>
    <row r="69" spans="2:23" ht="15.75" x14ac:dyDescent="0.25">
      <c r="B69" s="6"/>
      <c r="T69" s="20"/>
      <c r="U69" s="20"/>
      <c r="V69" s="20"/>
      <c r="W69" s="20"/>
    </row>
    <row r="70" spans="2:23" ht="15.75" x14ac:dyDescent="0.25">
      <c r="B70" s="6"/>
      <c r="T70" s="20"/>
      <c r="U70" s="20"/>
      <c r="V70" s="20"/>
      <c r="W70" s="20"/>
    </row>
    <row r="71" spans="2:23" ht="15.75" x14ac:dyDescent="0.25">
      <c r="B71" s="6"/>
      <c r="T71" s="20"/>
      <c r="U71" s="20"/>
      <c r="V71" s="20"/>
      <c r="W71" s="20"/>
    </row>
    <row r="72" spans="2:23" ht="15.75" x14ac:dyDescent="0.25">
      <c r="B72" s="6"/>
      <c r="T72" s="20"/>
      <c r="U72" s="20"/>
      <c r="V72" s="20"/>
      <c r="W72" s="20"/>
    </row>
    <row r="73" spans="2:23" ht="15.75" x14ac:dyDescent="0.25">
      <c r="B73" s="6"/>
      <c r="T73" s="20"/>
      <c r="U73" s="20"/>
      <c r="V73" s="20"/>
      <c r="W73" s="20"/>
    </row>
    <row r="74" spans="2:23" ht="15.75" x14ac:dyDescent="0.25">
      <c r="B74" s="5"/>
      <c r="T74" s="20"/>
      <c r="U74" s="20"/>
      <c r="V74" s="20"/>
      <c r="W74" s="20"/>
    </row>
    <row r="75" spans="2:23" ht="15.75" x14ac:dyDescent="0.25">
      <c r="B75" s="6"/>
      <c r="T75" s="20"/>
      <c r="U75" s="20"/>
      <c r="V75" s="20"/>
      <c r="W75" s="20"/>
    </row>
    <row r="76" spans="2:23" ht="15.75" x14ac:dyDescent="0.25">
      <c r="B76" s="6"/>
      <c r="T76" s="20"/>
      <c r="U76" s="20"/>
      <c r="V76" s="20"/>
      <c r="W76" s="20"/>
    </row>
    <row r="77" spans="2:23" ht="15.75" x14ac:dyDescent="0.25">
      <c r="B77" s="6"/>
      <c r="T77" s="20"/>
      <c r="U77" s="20"/>
      <c r="V77" s="20"/>
      <c r="W77" s="20"/>
    </row>
    <row r="78" spans="2:23" x14ac:dyDescent="0.25">
      <c r="T78" s="20"/>
      <c r="U78" s="20"/>
      <c r="V78" s="20"/>
      <c r="W78" s="20"/>
    </row>
    <row r="79" spans="2:23" x14ac:dyDescent="0.25">
      <c r="T79" s="20"/>
      <c r="U79" s="20"/>
      <c r="V79" s="20"/>
      <c r="W79" s="20"/>
    </row>
    <row r="80" spans="2:23" x14ac:dyDescent="0.25">
      <c r="T80" s="20"/>
      <c r="U80" s="20"/>
      <c r="V80" s="20"/>
      <c r="W80" s="20"/>
    </row>
    <row r="81" spans="20:23" x14ac:dyDescent="0.25">
      <c r="T81" s="20"/>
      <c r="U81" s="20"/>
      <c r="V81" s="20"/>
      <c r="W81" s="20"/>
    </row>
    <row r="82" spans="20:23" x14ac:dyDescent="0.25">
      <c r="T82" s="20"/>
      <c r="U82" s="20"/>
      <c r="V82" s="20"/>
      <c r="W82" s="20"/>
    </row>
    <row r="83" spans="20:23" x14ac:dyDescent="0.25">
      <c r="T83" s="20"/>
      <c r="U83" s="20"/>
      <c r="V83" s="20"/>
      <c r="W83" s="20"/>
    </row>
    <row r="84" spans="20:23" x14ac:dyDescent="0.25">
      <c r="T84" s="20"/>
      <c r="U84" s="20"/>
      <c r="V84" s="20"/>
      <c r="W84" s="20"/>
    </row>
    <row r="85" spans="20:23" x14ac:dyDescent="0.25">
      <c r="T85" s="20"/>
      <c r="U85" s="20"/>
      <c r="V85" s="20"/>
      <c r="W85" s="20"/>
    </row>
    <row r="86" spans="20:23" x14ac:dyDescent="0.25">
      <c r="T86" s="20"/>
      <c r="U86" s="20"/>
      <c r="V86" s="20"/>
      <c r="W86" s="20"/>
    </row>
  </sheetData>
  <mergeCells count="27">
    <mergeCell ref="B10:D10"/>
    <mergeCell ref="B11:D11"/>
    <mergeCell ref="K11:M12"/>
    <mergeCell ref="C6:F6"/>
    <mergeCell ref="G8:I8"/>
    <mergeCell ref="G9:I9"/>
    <mergeCell ref="G10:I10"/>
    <mergeCell ref="B8:D8"/>
    <mergeCell ref="B9:D9"/>
    <mergeCell ref="G11:I11"/>
    <mergeCell ref="G12:I12"/>
    <mergeCell ref="B12:D12"/>
    <mergeCell ref="G13:I13"/>
    <mergeCell ref="G14:I14"/>
    <mergeCell ref="C55:D55"/>
    <mergeCell ref="C52:D52"/>
    <mergeCell ref="B41:D41"/>
    <mergeCell ref="B29:C29"/>
    <mergeCell ref="B16:D16"/>
    <mergeCell ref="B17:D17"/>
    <mergeCell ref="B21:C21"/>
    <mergeCell ref="B15:D15"/>
    <mergeCell ref="B13:D13"/>
    <mergeCell ref="B14:D14"/>
    <mergeCell ref="C53:D53"/>
    <mergeCell ref="C54:D54"/>
    <mergeCell ref="B34:D34"/>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29017-3C18-4A07-9ED1-5FCC0311D1D9}">
  <sheetPr>
    <pageSetUpPr autoPageBreaks="0"/>
  </sheetPr>
  <dimension ref="B1:W102"/>
  <sheetViews>
    <sheetView tabSelected="1" zoomScaleNormal="100" workbookViewId="0">
      <selection activeCell="C40" sqref="C40:C42"/>
    </sheetView>
  </sheetViews>
  <sheetFormatPr defaultColWidth="9.140625" defaultRowHeight="15" x14ac:dyDescent="0.25"/>
  <cols>
    <col min="1" max="1" width="1.7109375" customWidth="1"/>
    <col min="2" max="2" width="11.5703125" customWidth="1"/>
    <col min="3" max="3" width="20.140625" customWidth="1"/>
    <col min="4" max="4" width="20" bestFit="1" customWidth="1"/>
    <col min="5" max="5" width="21.140625" customWidth="1"/>
    <col min="6" max="6" width="18.140625" customWidth="1"/>
    <col min="7" max="7" width="20.28515625" customWidth="1"/>
    <col min="8" max="8" width="19.85546875" customWidth="1"/>
    <col min="9" max="9" width="20" customWidth="1"/>
    <col min="10" max="10" width="21.7109375" customWidth="1"/>
    <col min="11" max="11" width="23.28515625" customWidth="1"/>
    <col min="12" max="12" width="18.42578125" customWidth="1"/>
    <col min="13" max="13" width="20.42578125" customWidth="1"/>
    <col min="14" max="14" width="20.140625" customWidth="1"/>
    <col min="15" max="15" width="20.7109375" customWidth="1"/>
    <col min="16" max="16" width="23" customWidth="1"/>
    <col min="17" max="17" width="22.85546875" customWidth="1"/>
    <col min="18" max="18" width="17.85546875" customWidth="1"/>
    <col min="19" max="19" width="20" customWidth="1"/>
    <col min="20" max="20" width="17.85546875" customWidth="1"/>
    <col min="21" max="21" width="19.42578125" customWidth="1"/>
    <col min="22" max="28" width="17.85546875" customWidth="1"/>
  </cols>
  <sheetData>
    <row r="1" spans="2:19" s="2" customFormat="1" ht="15.75" x14ac:dyDescent="0.25">
      <c r="N1" s="3"/>
      <c r="O1" s="3"/>
      <c r="P1" s="4"/>
    </row>
    <row r="2" spans="2:19" s="2" customFormat="1" ht="15.75" x14ac:dyDescent="0.25"/>
    <row r="3" spans="2:19" s="2" customFormat="1" ht="15.75" x14ac:dyDescent="0.25">
      <c r="M3"/>
      <c r="O3" s="5"/>
    </row>
    <row r="4" spans="2:19" s="2" customFormat="1" ht="15.75" x14ac:dyDescent="0.25">
      <c r="M4"/>
      <c r="O4" s="6"/>
    </row>
    <row r="5" spans="2:19" s="2" customFormat="1" ht="15.75" x14ac:dyDescent="0.25">
      <c r="M5"/>
      <c r="O5" s="6"/>
    </row>
    <row r="6" spans="2:19" s="7" customFormat="1" ht="23.25" x14ac:dyDescent="0.35">
      <c r="C6" s="8" t="s">
        <v>11</v>
      </c>
      <c r="E6" s="8"/>
      <c r="M6"/>
      <c r="O6" s="6"/>
      <c r="P6" s="2"/>
      <c r="Q6" s="2"/>
      <c r="R6" s="2"/>
      <c r="S6" s="2"/>
    </row>
    <row r="7" spans="2:19" ht="16.5" thickBot="1" x14ac:dyDescent="0.3">
      <c r="B7" s="9"/>
      <c r="C7" s="2"/>
      <c r="G7" s="9"/>
      <c r="H7" s="7"/>
      <c r="I7" s="2"/>
      <c r="J7" s="2"/>
      <c r="M7" s="7"/>
      <c r="O7" s="6"/>
      <c r="P7" s="7"/>
      <c r="Q7" s="7"/>
      <c r="R7" s="7"/>
      <c r="S7" s="7"/>
    </row>
    <row r="8" spans="2:19" ht="16.5" thickBot="1" x14ac:dyDescent="0.3">
      <c r="B8" s="173" t="s">
        <v>12</v>
      </c>
      <c r="C8" s="174"/>
      <c r="D8" s="175"/>
      <c r="E8" s="10" t="s">
        <v>47</v>
      </c>
      <c r="G8" s="164" t="s">
        <v>13</v>
      </c>
      <c r="H8" s="165"/>
      <c r="I8" s="166"/>
      <c r="J8" s="47">
        <v>7</v>
      </c>
    </row>
    <row r="9" spans="2:19" ht="15.95" customHeight="1" thickBot="1" x14ac:dyDescent="0.3">
      <c r="B9" s="176" t="s">
        <v>14</v>
      </c>
      <c r="C9" s="177"/>
      <c r="D9" s="178"/>
      <c r="E9" s="12" t="s">
        <v>48</v>
      </c>
      <c r="G9" s="164" t="s">
        <v>16</v>
      </c>
      <c r="H9" s="165"/>
      <c r="I9" s="166"/>
      <c r="J9" s="47">
        <v>3</v>
      </c>
      <c r="K9" s="148"/>
    </row>
    <row r="10" spans="2:19" ht="16.5" customHeight="1" thickBot="1" x14ac:dyDescent="0.3">
      <c r="B10" s="176" t="s">
        <v>18</v>
      </c>
      <c r="C10" s="177"/>
      <c r="D10" s="178"/>
      <c r="E10" s="12" t="s">
        <v>49</v>
      </c>
      <c r="G10" s="164" t="s">
        <v>20</v>
      </c>
      <c r="H10" s="165"/>
      <c r="I10" s="166"/>
      <c r="J10" s="47">
        <v>10</v>
      </c>
      <c r="K10" s="148"/>
    </row>
    <row r="11" spans="2:19" ht="16.5" customHeight="1" thickBot="1" x14ac:dyDescent="0.3">
      <c r="B11" s="168" t="s">
        <v>183</v>
      </c>
      <c r="C11" s="168"/>
      <c r="D11" s="168"/>
      <c r="E11" s="13">
        <v>49251</v>
      </c>
      <c r="G11" s="164" t="s">
        <v>71</v>
      </c>
      <c r="H11" s="165"/>
      <c r="I11" s="166"/>
      <c r="J11" s="50" t="s">
        <v>39</v>
      </c>
      <c r="K11" s="169" t="s">
        <v>17</v>
      </c>
      <c r="L11" s="170"/>
      <c r="M11" s="170"/>
    </row>
    <row r="12" spans="2:19" ht="16.5" thickBot="1" x14ac:dyDescent="0.3">
      <c r="B12" s="168" t="s">
        <v>184</v>
      </c>
      <c r="C12" s="168"/>
      <c r="D12" s="168"/>
      <c r="E12" s="14">
        <v>44621</v>
      </c>
      <c r="G12" s="164" t="s">
        <v>117</v>
      </c>
      <c r="H12" s="165"/>
      <c r="I12" s="166"/>
      <c r="J12" s="46">
        <v>0.04</v>
      </c>
      <c r="K12" s="169"/>
      <c r="L12" s="170"/>
      <c r="M12" s="170"/>
    </row>
    <row r="13" spans="2:19" ht="16.5" thickBot="1" x14ac:dyDescent="0.3">
      <c r="B13" s="176" t="s">
        <v>21</v>
      </c>
      <c r="C13" s="177"/>
      <c r="D13" s="178"/>
      <c r="E13" s="12">
        <v>2022</v>
      </c>
      <c r="G13" s="164" t="s">
        <v>23</v>
      </c>
      <c r="H13" s="165"/>
      <c r="I13" s="166"/>
      <c r="J13" s="46">
        <v>0.3</v>
      </c>
      <c r="K13" s="148"/>
    </row>
    <row r="14" spans="2:19" ht="16.5" thickBot="1" x14ac:dyDescent="0.3">
      <c r="B14" s="176" t="s">
        <v>22</v>
      </c>
      <c r="C14" s="177"/>
      <c r="D14" s="178"/>
      <c r="E14" s="14">
        <v>43405</v>
      </c>
      <c r="G14" s="164" t="s">
        <v>25</v>
      </c>
      <c r="H14" s="165"/>
      <c r="I14" s="166"/>
      <c r="J14" s="47" t="s">
        <v>50</v>
      </c>
      <c r="K14" s="148"/>
    </row>
    <row r="15" spans="2:19" ht="16.5" thickBot="1" x14ac:dyDescent="0.3">
      <c r="B15" s="176" t="s">
        <v>24</v>
      </c>
      <c r="C15" s="177"/>
      <c r="D15" s="178"/>
      <c r="E15" s="14">
        <v>47057</v>
      </c>
      <c r="J15" s="102"/>
      <c r="K15" s="149"/>
    </row>
    <row r="16" spans="2:19" ht="16.5" thickBot="1" x14ac:dyDescent="0.3">
      <c r="B16" s="176" t="s">
        <v>168</v>
      </c>
      <c r="C16" s="177"/>
      <c r="D16" s="178"/>
      <c r="E16" s="16">
        <v>0.32</v>
      </c>
      <c r="J16" s="102"/>
      <c r="K16" s="149"/>
    </row>
    <row r="17" spans="2:23" ht="16.5" thickBot="1" x14ac:dyDescent="0.3">
      <c r="B17" s="176" t="s">
        <v>28</v>
      </c>
      <c r="C17" s="177"/>
      <c r="D17" s="178"/>
      <c r="E17" s="17">
        <v>1029</v>
      </c>
    </row>
    <row r="18" spans="2:23" ht="15.75" x14ac:dyDescent="0.25">
      <c r="F18" s="49"/>
      <c r="G18" s="49"/>
      <c r="H18" s="49"/>
      <c r="I18" s="49"/>
      <c r="J18" s="15"/>
      <c r="L18" s="6"/>
    </row>
    <row r="19" spans="2:23" ht="15.75" x14ac:dyDescent="0.25">
      <c r="B19" s="18" t="s">
        <v>29</v>
      </c>
      <c r="C19" s="19"/>
      <c r="D19" s="19"/>
      <c r="E19" s="20"/>
      <c r="F19" s="20"/>
      <c r="G19" s="20"/>
      <c r="H19" s="20"/>
      <c r="I19" s="20"/>
      <c r="J19" s="15"/>
      <c r="L19" s="6"/>
    </row>
    <row r="20" spans="2:23" ht="15.75" x14ac:dyDescent="0.25">
      <c r="B20" s="18"/>
      <c r="C20" s="19"/>
      <c r="D20" s="19"/>
      <c r="E20" s="20"/>
      <c r="F20" s="20"/>
      <c r="G20" s="20"/>
      <c r="H20" s="20"/>
      <c r="I20" s="20"/>
      <c r="J20" s="15"/>
      <c r="L20" s="6"/>
    </row>
    <row r="21" spans="2:23" ht="15.75" x14ac:dyDescent="0.25">
      <c r="B21" s="171" t="s">
        <v>30</v>
      </c>
      <c r="C21" s="171"/>
      <c r="J21" s="15"/>
      <c r="L21" s="6"/>
    </row>
    <row r="22" spans="2:23" ht="15.75" thickBot="1" x14ac:dyDescent="0.3"/>
    <row r="23" spans="2:23" ht="30.75" thickBot="1" x14ac:dyDescent="0.3">
      <c r="B23" s="98" t="s">
        <v>31</v>
      </c>
      <c r="C23" s="136" t="s">
        <v>72</v>
      </c>
      <c r="D23" s="98" t="s">
        <v>81</v>
      </c>
      <c r="E23" s="98" t="s">
        <v>82</v>
      </c>
      <c r="J23" s="15"/>
      <c r="L23" s="6"/>
    </row>
    <row r="24" spans="2:23" ht="15.75" x14ac:dyDescent="0.25">
      <c r="B24" s="150">
        <v>2022</v>
      </c>
      <c r="C24" s="133">
        <v>14784</v>
      </c>
      <c r="D24" s="133">
        <f>SUM(Contributions!F38,Contributions!I38,Contributions!L38,Contributions!O38)</f>
        <v>1446.3911003358721</v>
      </c>
      <c r="E24" s="133">
        <f>Contributions!P38</f>
        <v>61785.391100335873</v>
      </c>
      <c r="J24" s="15"/>
      <c r="L24" s="6"/>
    </row>
    <row r="25" spans="2:23" ht="15.75" x14ac:dyDescent="0.25">
      <c r="B25" s="104">
        <v>2023</v>
      </c>
      <c r="C25" s="133">
        <v>15840</v>
      </c>
      <c r="D25" s="133">
        <f>SUM(Contributions!F39,Contributions!I39,Contributions!L39,Contributions!O39)</f>
        <v>2738.1118712321113</v>
      </c>
      <c r="E25" s="133">
        <f>Contributions!P39</f>
        <v>80363.502971567985</v>
      </c>
      <c r="J25" s="15"/>
      <c r="L25" s="6"/>
    </row>
    <row r="26" spans="2:23" ht="15.75" x14ac:dyDescent="0.25">
      <c r="B26" s="104">
        <v>2024</v>
      </c>
      <c r="C26" s="133">
        <v>16896</v>
      </c>
      <c r="D26" s="133">
        <f>SUM(Contributions!F40,Contributions!I40,Contributions!L40,Contributions!O40)</f>
        <v>3502.8122916371485</v>
      </c>
      <c r="E26" s="133">
        <f>Contributions!P40</f>
        <v>100762.31526320515</v>
      </c>
      <c r="J26" s="15"/>
      <c r="L26" s="6"/>
    </row>
    <row r="27" spans="2:23" ht="15.75" x14ac:dyDescent="0.25">
      <c r="B27" s="104">
        <v>2025</v>
      </c>
      <c r="C27" s="133">
        <v>17952</v>
      </c>
      <c r="D27" s="133">
        <f>SUM(Contributions!F41,Contributions!I41,Contributions!L41,Contributions!O41)</f>
        <v>4340.8187492329889</v>
      </c>
      <c r="E27" s="133">
        <f>Contributions!P41</f>
        <v>123055.13401243814</v>
      </c>
      <c r="J27" s="15"/>
      <c r="L27" s="6"/>
    </row>
    <row r="28" spans="2:23" ht="15.75" x14ac:dyDescent="0.25">
      <c r="B28" s="104">
        <v>2026</v>
      </c>
      <c r="C28" s="133">
        <v>19008</v>
      </c>
      <c r="D28" s="133">
        <f>SUM(Contributions!F42,Contributions!I42,Contributions!L42,Contributions!O42)</f>
        <v>5255.0827318253087</v>
      </c>
      <c r="E28" s="133">
        <f>Contributions!P42</f>
        <v>147318.21674426342</v>
      </c>
      <c r="J28" s="15"/>
      <c r="L28" s="6"/>
    </row>
    <row r="29" spans="2:23" ht="15.75" x14ac:dyDescent="0.25">
      <c r="B29" s="104">
        <v>2027</v>
      </c>
      <c r="C29" s="133">
        <v>20064</v>
      </c>
      <c r="D29" s="133">
        <f>SUM(Contributions!F43,Contributions!I43,Contributions!L43,Contributions!O43)</f>
        <v>6248.6745616378112</v>
      </c>
      <c r="E29" s="133">
        <f>Contributions!P43</f>
        <v>173630.89130590126</v>
      </c>
      <c r="J29" s="15"/>
      <c r="L29" s="6"/>
    </row>
    <row r="30" spans="2:23" ht="15.75" thickBot="1" x14ac:dyDescent="0.3">
      <c r="B30" s="105">
        <v>2028</v>
      </c>
      <c r="C30" s="134">
        <v>21120</v>
      </c>
      <c r="D30" s="134">
        <f>SUM(Contributions!F44,Contributions!I44,Contributions!L44,Contributions!O44)</f>
        <v>7324.7881798886228</v>
      </c>
      <c r="E30" s="134">
        <f>Contributions!P44</f>
        <v>202075.67948578991</v>
      </c>
      <c r="J30" s="20"/>
      <c r="K30" s="20"/>
      <c r="L30" s="20"/>
      <c r="M30" s="20"/>
      <c r="N30" s="20"/>
      <c r="O30" s="20"/>
      <c r="P30" s="20"/>
      <c r="Q30" s="20"/>
      <c r="R30" s="20"/>
      <c r="S30" s="20"/>
      <c r="T30" s="20"/>
      <c r="U30" s="20"/>
      <c r="V30" s="20"/>
      <c r="W30" s="20"/>
    </row>
    <row r="31" spans="2:23" x14ac:dyDescent="0.25">
      <c r="B31" s="20"/>
      <c r="C31" s="20"/>
      <c r="D31" s="20"/>
      <c r="E31" s="20"/>
      <c r="G31" s="20"/>
      <c r="J31" s="20"/>
      <c r="M31" s="20"/>
      <c r="N31" s="20"/>
      <c r="O31" s="20"/>
      <c r="P31" s="20"/>
      <c r="Q31" s="20"/>
      <c r="R31" s="20"/>
      <c r="S31" s="20"/>
      <c r="T31" s="20"/>
      <c r="U31" s="20"/>
      <c r="V31" s="20"/>
      <c r="W31" s="20"/>
    </row>
    <row r="32" spans="2:23" ht="17.25" customHeight="1" x14ac:dyDescent="0.25">
      <c r="B32" s="21" t="s">
        <v>51</v>
      </c>
      <c r="C32" s="21" t="s">
        <v>52</v>
      </c>
      <c r="U32" s="26"/>
    </row>
    <row r="33" spans="2:23" ht="15.75" thickBot="1" x14ac:dyDescent="0.3"/>
    <row r="34" spans="2:23" s="42" customFormat="1" ht="45.75" thickBot="1" x14ac:dyDescent="0.3">
      <c r="B34" s="151" t="s">
        <v>31</v>
      </c>
      <c r="C34" s="137" t="s">
        <v>73</v>
      </c>
      <c r="D34" s="137" t="s">
        <v>74</v>
      </c>
      <c r="E34" s="137" t="s">
        <v>75</v>
      </c>
      <c r="F34" s="137" t="s">
        <v>99</v>
      </c>
      <c r="G34" s="137" t="s">
        <v>76</v>
      </c>
      <c r="H34" s="139" t="s">
        <v>77</v>
      </c>
      <c r="J34" s="187"/>
      <c r="K34" s="188"/>
    </row>
    <row r="35" spans="2:23" ht="15" customHeight="1" thickBot="1" x14ac:dyDescent="0.3">
      <c r="B35" s="24">
        <v>2029</v>
      </c>
      <c r="C35" s="27">
        <f>E30</f>
        <v>202075.67948578991</v>
      </c>
      <c r="D35" s="27">
        <f>(C35*J12/365)*242</f>
        <v>5359.1577463628664</v>
      </c>
      <c r="E35" s="27">
        <f>C35+D35</f>
        <v>207434.83723215279</v>
      </c>
      <c r="F35" s="27">
        <f>E35*J13</f>
        <v>62230.451169645836</v>
      </c>
      <c r="G35" s="27">
        <f>E35*J13-(E35*J13)*E16-E17</f>
        <v>41287.706795359169</v>
      </c>
      <c r="H35" s="28">
        <f>E35-E35*J13</f>
        <v>145204.38606250694</v>
      </c>
    </row>
    <row r="36" spans="2:23" x14ac:dyDescent="0.25">
      <c r="B36" s="20"/>
      <c r="C36" s="20"/>
      <c r="D36" s="20"/>
      <c r="E36" s="32"/>
      <c r="F36" s="32"/>
      <c r="G36" s="20"/>
      <c r="H36" s="20"/>
      <c r="I36" s="20"/>
      <c r="J36" s="20"/>
      <c r="K36" s="29"/>
      <c r="L36" s="30"/>
      <c r="M36" s="20"/>
      <c r="N36" s="31"/>
      <c r="O36" s="31"/>
      <c r="P36" s="20"/>
      <c r="Q36" s="20"/>
      <c r="R36" s="20"/>
      <c r="S36" s="20"/>
      <c r="T36" s="20"/>
      <c r="U36" s="20"/>
      <c r="V36" s="20"/>
      <c r="W36" s="20"/>
    </row>
    <row r="37" spans="2:23" x14ac:dyDescent="0.25">
      <c r="B37" s="171" t="s">
        <v>43</v>
      </c>
      <c r="C37" s="171"/>
      <c r="D37" s="171"/>
      <c r="E37" s="115"/>
      <c r="F37" s="20"/>
      <c r="G37" s="20"/>
      <c r="H37" s="20"/>
      <c r="I37" s="20"/>
      <c r="J37" s="20"/>
      <c r="K37" s="20"/>
      <c r="L37" s="32"/>
      <c r="M37" s="20"/>
      <c r="N37" s="20"/>
      <c r="O37" s="20"/>
      <c r="P37" s="20"/>
      <c r="Q37" s="20"/>
      <c r="R37" s="20"/>
      <c r="S37" s="20"/>
      <c r="T37" s="20"/>
      <c r="U37" s="20"/>
      <c r="V37" s="20"/>
      <c r="W37" s="20"/>
    </row>
    <row r="38" spans="2:23" ht="15.75" thickBot="1" x14ac:dyDescent="0.3"/>
    <row r="39" spans="2:23" s="42" customFormat="1" ht="30.75" thickBot="1" x14ac:dyDescent="0.3">
      <c r="B39" s="139" t="s">
        <v>31</v>
      </c>
      <c r="C39" s="139" t="s">
        <v>78</v>
      </c>
      <c r="D39" s="138" t="s">
        <v>79</v>
      </c>
      <c r="J39" s="140"/>
      <c r="K39" s="140"/>
      <c r="L39" s="140"/>
      <c r="M39" s="141"/>
      <c r="N39" s="141"/>
      <c r="O39" s="141"/>
      <c r="P39" s="141"/>
      <c r="Q39" s="141"/>
      <c r="R39" s="141"/>
      <c r="S39" s="141"/>
      <c r="T39" s="141"/>
      <c r="U39" s="141"/>
      <c r="V39" s="141"/>
    </row>
    <row r="40" spans="2:23" x14ac:dyDescent="0.25">
      <c r="B40" s="104">
        <v>2030</v>
      </c>
      <c r="C40" s="106">
        <f>H35*J12</f>
        <v>5808.1754425002773</v>
      </c>
      <c r="D40" s="34">
        <f>C40+H35</f>
        <v>151012.56150500721</v>
      </c>
      <c r="K40" s="20"/>
      <c r="L40" s="20"/>
      <c r="N40" s="20"/>
      <c r="O40" s="20"/>
      <c r="P40" s="20"/>
      <c r="Q40" s="20"/>
      <c r="R40" s="20"/>
      <c r="S40" s="20"/>
      <c r="T40" s="20"/>
      <c r="U40" s="20"/>
      <c r="V40" s="20"/>
      <c r="W40" s="20"/>
    </row>
    <row r="41" spans="2:23" x14ac:dyDescent="0.25">
      <c r="B41" s="104">
        <v>2031</v>
      </c>
      <c r="C41" s="106">
        <f>D40*J12</f>
        <v>6040.5024602002886</v>
      </c>
      <c r="D41" s="34">
        <f>D40+C41</f>
        <v>157053.06396520749</v>
      </c>
      <c r="J41" s="33"/>
      <c r="K41" s="20"/>
      <c r="L41" s="20"/>
      <c r="N41" s="20"/>
      <c r="O41" s="20"/>
      <c r="P41" s="20"/>
      <c r="Q41" s="20"/>
      <c r="R41" s="20"/>
      <c r="S41" s="20"/>
      <c r="T41" s="20"/>
      <c r="U41" s="20"/>
      <c r="V41" s="20"/>
      <c r="W41" s="20"/>
    </row>
    <row r="42" spans="2:23" ht="15.75" thickBot="1" x14ac:dyDescent="0.3">
      <c r="B42" s="105">
        <v>2032</v>
      </c>
      <c r="C42" s="107">
        <f>D41*J12</f>
        <v>6282.1225586083001</v>
      </c>
      <c r="D42" s="35">
        <f>D41+C42</f>
        <v>163335.18652381579</v>
      </c>
      <c r="J42" s="33"/>
      <c r="K42" s="20"/>
      <c r="L42" s="20"/>
      <c r="M42" s="20"/>
      <c r="N42" s="20"/>
      <c r="O42" s="20"/>
      <c r="P42" s="20"/>
      <c r="Q42" s="20"/>
      <c r="R42" s="20"/>
      <c r="S42" s="20"/>
      <c r="T42" s="20"/>
      <c r="U42" s="20"/>
      <c r="V42" s="20"/>
      <c r="W42" s="20"/>
    </row>
    <row r="43" spans="2:23" x14ac:dyDescent="0.25">
      <c r="B43" s="20"/>
      <c r="C43" s="20"/>
      <c r="D43" s="20"/>
      <c r="E43" s="20"/>
      <c r="F43" s="20"/>
      <c r="G43" s="20"/>
      <c r="H43" s="20"/>
      <c r="I43" s="20"/>
      <c r="J43" s="20"/>
      <c r="K43" s="20"/>
      <c r="L43" s="20"/>
      <c r="M43" s="20"/>
      <c r="N43" s="20"/>
      <c r="O43" s="20"/>
      <c r="P43" s="20"/>
      <c r="Q43" s="20"/>
      <c r="R43" s="20"/>
      <c r="S43" s="20"/>
      <c r="T43" s="20"/>
      <c r="U43" s="20"/>
      <c r="V43" s="20"/>
      <c r="W43" s="20"/>
    </row>
    <row r="44" spans="2:23" x14ac:dyDescent="0.25">
      <c r="B44" s="162" t="s">
        <v>45</v>
      </c>
      <c r="C44" s="162"/>
      <c r="D44" s="162"/>
      <c r="E44" s="20"/>
      <c r="F44" s="20"/>
      <c r="G44" s="20"/>
      <c r="H44" s="20"/>
      <c r="I44" s="20"/>
      <c r="J44" s="20"/>
      <c r="K44" s="20"/>
      <c r="L44" s="20"/>
      <c r="M44" s="20"/>
      <c r="N44" s="20"/>
      <c r="O44" s="20"/>
      <c r="P44" s="20"/>
      <c r="Q44" s="20"/>
      <c r="R44" s="20"/>
      <c r="S44" s="20"/>
      <c r="T44" s="20"/>
      <c r="U44" s="20"/>
      <c r="V44" s="20"/>
      <c r="W44" s="20"/>
    </row>
    <row r="45" spans="2:23" ht="15.75" thickBot="1" x14ac:dyDescent="0.3"/>
    <row r="46" spans="2:23" s="42" customFormat="1" ht="30.75" thickBot="1" x14ac:dyDescent="0.3">
      <c r="B46" s="139" t="s">
        <v>31</v>
      </c>
      <c r="C46" s="139" t="s">
        <v>46</v>
      </c>
      <c r="D46" s="139" t="s">
        <v>80</v>
      </c>
      <c r="E46" s="139" t="s">
        <v>78</v>
      </c>
      <c r="F46" s="139" t="s">
        <v>101</v>
      </c>
      <c r="G46" s="138" t="s">
        <v>100</v>
      </c>
      <c r="H46" s="138" t="s">
        <v>79</v>
      </c>
      <c r="S46" s="141"/>
      <c r="T46" s="141"/>
      <c r="U46" s="141"/>
      <c r="V46" s="141"/>
      <c r="W46" s="141"/>
    </row>
    <row r="47" spans="2:23" x14ac:dyDescent="0.25">
      <c r="B47" s="152">
        <v>2033</v>
      </c>
      <c r="C47" s="109">
        <v>0.1</v>
      </c>
      <c r="D47" s="111">
        <f>D42</f>
        <v>163335.18652381579</v>
      </c>
      <c r="E47" s="111">
        <f>D47*J12</f>
        <v>6533.4074609526315</v>
      </c>
      <c r="F47" s="111">
        <f t="shared" ref="F47:F56" si="0">D47*C47</f>
        <v>16333.518652381579</v>
      </c>
      <c r="G47" s="23">
        <f>F47-F47*E16</f>
        <v>11106.792683619475</v>
      </c>
      <c r="H47" s="23">
        <f t="shared" ref="H47:H56" si="1">D47+E47-F47</f>
        <v>153535.07533238686</v>
      </c>
      <c r="S47" s="20"/>
      <c r="T47" s="20"/>
      <c r="U47" s="20"/>
      <c r="V47" s="20"/>
      <c r="W47" s="20"/>
    </row>
    <row r="48" spans="2:23" x14ac:dyDescent="0.25">
      <c r="B48" s="108">
        <v>2034</v>
      </c>
      <c r="C48" s="109">
        <v>0.111</v>
      </c>
      <c r="D48" s="111">
        <f t="shared" ref="D48:D56" si="2">H47</f>
        <v>153535.07533238686</v>
      </c>
      <c r="E48" s="113">
        <f>D48*J12</f>
        <v>6141.403013295474</v>
      </c>
      <c r="F48" s="111">
        <f t="shared" si="0"/>
        <v>17042.393361894941</v>
      </c>
      <c r="G48" s="23">
        <f>F48-F48*E16</f>
        <v>11588.827486088561</v>
      </c>
      <c r="H48" s="23">
        <f t="shared" si="1"/>
        <v>142634.08498378738</v>
      </c>
      <c r="S48" s="20"/>
      <c r="T48" s="20"/>
      <c r="U48" s="20"/>
      <c r="V48" s="20"/>
      <c r="W48" s="20"/>
    </row>
    <row r="49" spans="2:23" x14ac:dyDescent="0.25">
      <c r="B49" s="108">
        <v>2035</v>
      </c>
      <c r="C49" s="109">
        <v>0.125</v>
      </c>
      <c r="D49" s="111">
        <f t="shared" si="2"/>
        <v>142634.08498378738</v>
      </c>
      <c r="E49" s="111">
        <f>D49*J12</f>
        <v>5705.363399351495</v>
      </c>
      <c r="F49" s="111">
        <f t="shared" si="0"/>
        <v>17829.260622973423</v>
      </c>
      <c r="G49" s="23">
        <f>F49-F49*E16</f>
        <v>12123.897223621927</v>
      </c>
      <c r="H49" s="23">
        <f t="shared" si="1"/>
        <v>130510.18776016544</v>
      </c>
      <c r="S49" s="20"/>
      <c r="T49" s="20"/>
      <c r="U49" s="20"/>
      <c r="V49" s="20"/>
      <c r="W49" s="20"/>
    </row>
    <row r="50" spans="2:23" x14ac:dyDescent="0.25">
      <c r="B50" s="108">
        <v>2036</v>
      </c>
      <c r="C50" s="109">
        <v>0.14299999999999999</v>
      </c>
      <c r="D50" s="111">
        <f t="shared" si="2"/>
        <v>130510.18776016544</v>
      </c>
      <c r="E50" s="111">
        <f>D50*J12</f>
        <v>5220.4075104066178</v>
      </c>
      <c r="F50" s="111">
        <f t="shared" si="0"/>
        <v>18662.956849703656</v>
      </c>
      <c r="G50" s="23">
        <f>F50-F50*E16</f>
        <v>12690.810657798487</v>
      </c>
      <c r="H50" s="23">
        <f t="shared" si="1"/>
        <v>117067.6384208684</v>
      </c>
      <c r="S50" s="20"/>
      <c r="T50" s="20"/>
      <c r="U50" s="20"/>
      <c r="V50" s="20"/>
      <c r="W50" s="20"/>
    </row>
    <row r="51" spans="2:23" x14ac:dyDescent="0.25">
      <c r="B51" s="104">
        <v>2037</v>
      </c>
      <c r="C51" s="109">
        <v>0.16700000000000001</v>
      </c>
      <c r="D51" s="111">
        <f t="shared" si="2"/>
        <v>117067.6384208684</v>
      </c>
      <c r="E51" s="111">
        <f>D51*J12</f>
        <v>4682.7055368347364</v>
      </c>
      <c r="F51" s="111">
        <f t="shared" si="0"/>
        <v>19550.295616285024</v>
      </c>
      <c r="G51" s="23">
        <f>F51-F51*E16</f>
        <v>13294.201019073816</v>
      </c>
      <c r="H51" s="23">
        <f t="shared" si="1"/>
        <v>102200.04834141812</v>
      </c>
      <c r="S51" s="20"/>
      <c r="T51" s="20"/>
      <c r="U51" s="20"/>
      <c r="V51" s="20"/>
      <c r="W51" s="20"/>
    </row>
    <row r="52" spans="2:23" x14ac:dyDescent="0.25">
      <c r="B52" s="104">
        <v>2038</v>
      </c>
      <c r="C52" s="109">
        <v>0.2</v>
      </c>
      <c r="D52" s="111">
        <f t="shared" si="2"/>
        <v>102200.04834141812</v>
      </c>
      <c r="E52" s="111">
        <f>D52*J12</f>
        <v>4088.0019336567248</v>
      </c>
      <c r="F52" s="111">
        <f t="shared" si="0"/>
        <v>20440.009668283627</v>
      </c>
      <c r="G52" s="23">
        <f>F52-F52*E16</f>
        <v>13899.206574432865</v>
      </c>
      <c r="H52" s="23">
        <f t="shared" si="1"/>
        <v>85848.040606791212</v>
      </c>
      <c r="S52" s="20"/>
      <c r="T52" s="20"/>
      <c r="U52" s="20"/>
      <c r="V52" s="20"/>
      <c r="W52" s="20"/>
    </row>
    <row r="53" spans="2:23" x14ac:dyDescent="0.25">
      <c r="B53" s="104">
        <v>2039</v>
      </c>
      <c r="C53" s="109">
        <v>0.25</v>
      </c>
      <c r="D53" s="111">
        <f t="shared" si="2"/>
        <v>85848.040606791212</v>
      </c>
      <c r="E53" s="111">
        <f>D53*J12</f>
        <v>3433.9216242716484</v>
      </c>
      <c r="F53" s="111">
        <f t="shared" si="0"/>
        <v>21462.010151697803</v>
      </c>
      <c r="G53" s="23">
        <f>F53-F53*E16</f>
        <v>14594.166903154506</v>
      </c>
      <c r="H53" s="23">
        <f t="shared" si="1"/>
        <v>67819.952079365059</v>
      </c>
      <c r="S53" s="20"/>
      <c r="T53" s="20"/>
      <c r="U53" s="20"/>
      <c r="V53" s="20"/>
      <c r="W53" s="20"/>
    </row>
    <row r="54" spans="2:23" x14ac:dyDescent="0.25">
      <c r="B54" s="104">
        <v>2040</v>
      </c>
      <c r="C54" s="109">
        <v>0.33300000000000002</v>
      </c>
      <c r="D54" s="111">
        <f t="shared" si="2"/>
        <v>67819.952079365059</v>
      </c>
      <c r="E54" s="111">
        <f>D54*J12</f>
        <v>2712.7980831746022</v>
      </c>
      <c r="F54" s="111">
        <f t="shared" si="0"/>
        <v>22584.044042428566</v>
      </c>
      <c r="G54" s="23">
        <f>F54-F54*E16</f>
        <v>15357.149948851424</v>
      </c>
      <c r="H54" s="23">
        <f t="shared" si="1"/>
        <v>47948.706120111092</v>
      </c>
      <c r="S54" s="20"/>
      <c r="T54" s="20"/>
      <c r="U54" s="20"/>
      <c r="V54" s="20"/>
      <c r="W54" s="20"/>
    </row>
    <row r="55" spans="2:23" x14ac:dyDescent="0.25">
      <c r="B55" s="104">
        <v>2041</v>
      </c>
      <c r="C55" s="109">
        <v>0.5</v>
      </c>
      <c r="D55" s="111">
        <f t="shared" si="2"/>
        <v>47948.706120111092</v>
      </c>
      <c r="E55" s="111">
        <f>D55*J12</f>
        <v>1917.9482448044437</v>
      </c>
      <c r="F55" s="111">
        <f t="shared" si="0"/>
        <v>23974.353060055546</v>
      </c>
      <c r="G55" s="23">
        <f>F55-F55*E16</f>
        <v>16302.560080837771</v>
      </c>
      <c r="H55" s="23">
        <f t="shared" si="1"/>
        <v>25892.30130485999</v>
      </c>
      <c r="S55" s="20"/>
      <c r="T55" s="20"/>
      <c r="U55" s="20"/>
      <c r="V55" s="20"/>
      <c r="W55" s="20"/>
    </row>
    <row r="56" spans="2:23" ht="15.75" thickBot="1" x14ac:dyDescent="0.3">
      <c r="B56" s="105">
        <v>2042</v>
      </c>
      <c r="C56" s="110">
        <v>1</v>
      </c>
      <c r="D56" s="112">
        <f t="shared" si="2"/>
        <v>25892.30130485999</v>
      </c>
      <c r="E56" s="112">
        <f>D56*J12</f>
        <v>1035.6920521943996</v>
      </c>
      <c r="F56" s="112">
        <f t="shared" si="0"/>
        <v>25892.30130485999</v>
      </c>
      <c r="G56" s="25">
        <f>F56-F56*E16+E56</f>
        <v>18642.456939499196</v>
      </c>
      <c r="H56" s="25">
        <v>0</v>
      </c>
      <c r="S56" s="20"/>
      <c r="T56" s="20"/>
      <c r="U56" s="20"/>
      <c r="V56" s="20"/>
      <c r="W56" s="20"/>
    </row>
    <row r="57" spans="2:23" x14ac:dyDescent="0.25">
      <c r="B57" s="20"/>
      <c r="C57" s="36"/>
      <c r="D57" s="22"/>
      <c r="E57" s="22"/>
      <c r="F57" s="22"/>
      <c r="G57" s="22"/>
      <c r="H57" s="22"/>
      <c r="I57" s="22"/>
      <c r="J57" s="22"/>
      <c r="K57" s="22"/>
      <c r="L57" s="22"/>
      <c r="M57" s="22"/>
      <c r="N57" s="22"/>
      <c r="O57" s="22"/>
      <c r="P57" s="20"/>
      <c r="Q57" s="20"/>
      <c r="R57" s="20"/>
      <c r="S57" s="20"/>
      <c r="T57" s="20"/>
    </row>
    <row r="58" spans="2:23" x14ac:dyDescent="0.25">
      <c r="B58" s="20"/>
      <c r="C58" s="36"/>
      <c r="D58" s="22"/>
      <c r="E58" s="22"/>
      <c r="F58" s="22"/>
      <c r="G58" s="22"/>
      <c r="H58" s="22"/>
      <c r="I58" s="22"/>
      <c r="J58" s="22"/>
      <c r="K58" s="22"/>
      <c r="L58" s="22"/>
      <c r="M58" s="22"/>
      <c r="N58" s="22"/>
      <c r="O58" s="22"/>
      <c r="P58" s="20"/>
      <c r="Q58" s="20"/>
      <c r="R58" s="20"/>
      <c r="S58" s="20"/>
      <c r="T58" s="20"/>
    </row>
    <row r="59" spans="2:23" ht="15.75" thickBot="1" x14ac:dyDescent="0.3">
      <c r="S59" s="20"/>
      <c r="T59" s="20"/>
      <c r="U59" s="20"/>
      <c r="V59" s="20"/>
      <c r="W59" s="20"/>
    </row>
    <row r="60" spans="2:23" ht="15.75" thickBot="1" x14ac:dyDescent="0.3">
      <c r="B60" s="20"/>
      <c r="C60" s="160" t="s">
        <v>83</v>
      </c>
      <c r="D60" s="161"/>
      <c r="E60" s="144">
        <f>E30</f>
        <v>202075.67948578991</v>
      </c>
      <c r="G60" s="20"/>
      <c r="H60" s="22"/>
      <c r="I60" s="20"/>
      <c r="J60" s="20"/>
      <c r="K60" s="20"/>
      <c r="L60" s="20"/>
      <c r="M60" s="20"/>
      <c r="N60" s="20"/>
      <c r="O60" s="20"/>
      <c r="P60" s="20"/>
      <c r="Q60" s="20"/>
      <c r="R60" s="20"/>
      <c r="S60" s="20"/>
    </row>
    <row r="61" spans="2:23" ht="15.75" thickBot="1" x14ac:dyDescent="0.3">
      <c r="B61" s="20"/>
      <c r="C61" s="160" t="s">
        <v>84</v>
      </c>
      <c r="D61" s="161"/>
      <c r="E61" s="144">
        <f>F35</f>
        <v>62230.451169645836</v>
      </c>
      <c r="G61" s="20"/>
      <c r="H61" s="20"/>
      <c r="I61" s="20"/>
      <c r="J61" s="20"/>
      <c r="K61" s="20"/>
      <c r="L61" s="20"/>
      <c r="M61" s="20"/>
      <c r="N61" s="20"/>
      <c r="O61" s="20"/>
      <c r="P61" s="20"/>
      <c r="Q61" s="20"/>
      <c r="R61" s="20"/>
      <c r="S61" s="20"/>
    </row>
    <row r="62" spans="2:23" ht="15.75" thickBot="1" x14ac:dyDescent="0.3">
      <c r="C62" s="160" t="s">
        <v>86</v>
      </c>
      <c r="D62" s="161"/>
      <c r="E62" s="144">
        <f>SUM(F47:F56)</f>
        <v>203771.14333056414</v>
      </c>
      <c r="G62" s="20"/>
      <c r="H62" s="20"/>
      <c r="I62" s="20"/>
      <c r="J62" s="20"/>
      <c r="K62" s="20"/>
      <c r="L62" s="20"/>
      <c r="M62" s="20"/>
      <c r="N62" s="20"/>
      <c r="O62" s="20"/>
      <c r="P62" s="20"/>
      <c r="Q62" s="20"/>
      <c r="R62" s="20"/>
      <c r="S62" s="20"/>
    </row>
    <row r="63" spans="2:23" ht="15.75" thickBot="1" x14ac:dyDescent="0.3">
      <c r="C63" s="160" t="s">
        <v>85</v>
      </c>
      <c r="D63" s="161"/>
      <c r="E63" s="144">
        <f>SUM(D24:D30,D35,C40:C42,E47:E56)</f>
        <v>95818.286552404359</v>
      </c>
      <c r="P63" s="20"/>
      <c r="Q63" s="20"/>
      <c r="R63" s="20"/>
      <c r="S63" s="20"/>
    </row>
    <row r="64" spans="2:23" x14ac:dyDescent="0.25">
      <c r="T64" s="20"/>
      <c r="U64" s="20"/>
      <c r="V64" s="20"/>
      <c r="W64" s="20"/>
    </row>
    <row r="65" spans="2:23" x14ac:dyDescent="0.25">
      <c r="T65" s="20"/>
      <c r="U65" s="20"/>
      <c r="V65" s="20"/>
      <c r="W65" s="20"/>
    </row>
    <row r="66" spans="2:23" x14ac:dyDescent="0.25">
      <c r="T66" s="20"/>
      <c r="U66" s="20"/>
      <c r="V66" s="20"/>
      <c r="W66" s="20"/>
    </row>
    <row r="67" spans="2:23" x14ac:dyDescent="0.25">
      <c r="T67" s="20"/>
      <c r="U67" s="20"/>
      <c r="V67" s="20"/>
      <c r="W67" s="20"/>
    </row>
    <row r="68" spans="2:23" x14ac:dyDescent="0.25">
      <c r="T68" s="20"/>
      <c r="U68" s="20"/>
      <c r="V68" s="20"/>
      <c r="W68" s="20"/>
    </row>
    <row r="69" spans="2:23" ht="15.75" x14ac:dyDescent="0.25">
      <c r="B69" s="9"/>
      <c r="C69" s="2"/>
      <c r="D69" s="2"/>
      <c r="E69" s="2"/>
      <c r="T69" s="20"/>
      <c r="U69" s="20"/>
      <c r="V69" s="20"/>
      <c r="W69" s="20"/>
    </row>
    <row r="70" spans="2:23" x14ac:dyDescent="0.25">
      <c r="T70" s="20"/>
      <c r="U70" s="20"/>
      <c r="V70" s="20"/>
      <c r="W70" s="20"/>
    </row>
    <row r="71" spans="2:23" x14ac:dyDescent="0.25">
      <c r="T71" s="20"/>
      <c r="U71" s="20"/>
      <c r="V71" s="20"/>
      <c r="W71" s="20"/>
    </row>
    <row r="72" spans="2:23" x14ac:dyDescent="0.25">
      <c r="T72" s="20"/>
      <c r="U72" s="20"/>
      <c r="V72" s="20"/>
      <c r="W72" s="20"/>
    </row>
    <row r="73" spans="2:23" x14ac:dyDescent="0.25">
      <c r="T73" s="20"/>
      <c r="U73" s="20"/>
      <c r="V73" s="20"/>
      <c r="W73" s="20"/>
    </row>
    <row r="74" spans="2:23" x14ac:dyDescent="0.25">
      <c r="T74" s="20"/>
      <c r="U74" s="20"/>
      <c r="V74" s="20"/>
      <c r="W74" s="20"/>
    </row>
    <row r="90" spans="7:9" ht="15.75" customHeight="1" x14ac:dyDescent="0.25">
      <c r="I90" s="7"/>
    </row>
    <row r="91" spans="7:9" x14ac:dyDescent="0.25">
      <c r="I91" s="11"/>
    </row>
    <row r="94" spans="7:9" ht="15.75" x14ac:dyDescent="0.25">
      <c r="G94" s="45"/>
      <c r="I94" s="6"/>
    </row>
    <row r="95" spans="7:9" ht="15.75" x14ac:dyDescent="0.25">
      <c r="G95" s="45"/>
      <c r="I95" s="6"/>
    </row>
    <row r="96" spans="7:9" ht="15.75" x14ac:dyDescent="0.25">
      <c r="G96" s="45"/>
      <c r="I96" s="6"/>
    </row>
    <row r="97" spans="7:11" ht="15.75" x14ac:dyDescent="0.25">
      <c r="G97" s="45"/>
      <c r="I97" s="6"/>
    </row>
    <row r="98" spans="7:11" ht="15.75" x14ac:dyDescent="0.25">
      <c r="G98" s="45"/>
      <c r="I98" s="6"/>
    </row>
    <row r="99" spans="7:11" ht="15.75" x14ac:dyDescent="0.25">
      <c r="G99" s="45"/>
      <c r="I99" s="6"/>
    </row>
    <row r="100" spans="7:11" ht="15.75" x14ac:dyDescent="0.25">
      <c r="K100" s="6"/>
    </row>
    <row r="101" spans="7:11" ht="15.75" x14ac:dyDescent="0.25">
      <c r="K101" s="5"/>
    </row>
    <row r="102" spans="7:11" ht="15.75" x14ac:dyDescent="0.25">
      <c r="K102" s="6"/>
    </row>
  </sheetData>
  <mergeCells count="25">
    <mergeCell ref="K11:M12"/>
    <mergeCell ref="B21:C21"/>
    <mergeCell ref="B16:D16"/>
    <mergeCell ref="B17:D17"/>
    <mergeCell ref="G14:I14"/>
    <mergeCell ref="B37:D37"/>
    <mergeCell ref="G13:I13"/>
    <mergeCell ref="G8:I8"/>
    <mergeCell ref="G9:I9"/>
    <mergeCell ref="G10:I10"/>
    <mergeCell ref="G12:I12"/>
    <mergeCell ref="G11:I11"/>
    <mergeCell ref="B13:D13"/>
    <mergeCell ref="B14:D14"/>
    <mergeCell ref="B15:D15"/>
    <mergeCell ref="B8:D8"/>
    <mergeCell ref="B9:D9"/>
    <mergeCell ref="B10:D10"/>
    <mergeCell ref="B11:D11"/>
    <mergeCell ref="B12:D12"/>
    <mergeCell ref="C60:D60"/>
    <mergeCell ref="C61:D61"/>
    <mergeCell ref="C62:D62"/>
    <mergeCell ref="C63:D63"/>
    <mergeCell ref="B44:D44"/>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CDEAA-5B2B-402F-9250-E63C29154DD9}">
  <sheetPr>
    <pageSetUpPr autoPageBreaks="0"/>
  </sheetPr>
  <dimension ref="A1:S47"/>
  <sheetViews>
    <sheetView topLeftCell="A22" zoomScaleNormal="100" workbookViewId="0">
      <selection activeCell="K34" sqref="K34"/>
    </sheetView>
  </sheetViews>
  <sheetFormatPr defaultColWidth="9" defaultRowHeight="15.75" x14ac:dyDescent="0.25"/>
  <cols>
    <col min="1" max="1" width="2.42578125" style="58" customWidth="1"/>
    <col min="2" max="2" width="13.5703125" style="58" customWidth="1"/>
    <col min="3" max="3" width="21.42578125" style="58" bestFit="1" customWidth="1"/>
    <col min="4" max="4" width="20.5703125" style="58" bestFit="1" customWidth="1"/>
    <col min="5" max="5" width="14.85546875" style="58" bestFit="1" customWidth="1"/>
    <col min="6" max="6" width="19.85546875" style="58" bestFit="1" customWidth="1"/>
    <col min="7" max="7" width="13.5703125" style="58" customWidth="1"/>
    <col min="8" max="8" width="14.42578125" style="58" bestFit="1" customWidth="1"/>
    <col min="9" max="9" width="17.5703125" style="58" bestFit="1" customWidth="1"/>
    <col min="10" max="10" width="15.140625" style="58" customWidth="1"/>
    <col min="11" max="11" width="16.5703125" style="58" customWidth="1"/>
    <col min="12" max="12" width="19.85546875" style="58" bestFit="1" customWidth="1"/>
    <col min="13" max="13" width="13.85546875" style="58" customWidth="1"/>
    <col min="14" max="14" width="14.42578125" style="58" bestFit="1" customWidth="1"/>
    <col min="15" max="15" width="17.5703125" style="58" bestFit="1" customWidth="1"/>
    <col min="16" max="16" width="14.140625" style="58" bestFit="1" customWidth="1"/>
    <col min="17" max="18" width="13.5703125" style="58" customWidth="1"/>
    <col min="19" max="19" width="17.42578125" style="58" customWidth="1"/>
    <col min="20" max="20" width="12.28515625" style="58" customWidth="1"/>
    <col min="21" max="21" width="8.42578125" style="58" customWidth="1"/>
    <col min="22" max="16384" width="9" style="58"/>
  </cols>
  <sheetData>
    <row r="1" spans="1:19" x14ac:dyDescent="0.25">
      <c r="A1" s="59" t="s">
        <v>41</v>
      </c>
      <c r="B1" s="59"/>
    </row>
    <row r="2" spans="1:19" x14ac:dyDescent="0.25">
      <c r="B2" s="59" t="s">
        <v>170</v>
      </c>
    </row>
    <row r="3" spans="1:19" ht="23.25" x14ac:dyDescent="0.35">
      <c r="B3" s="67"/>
    </row>
    <row r="4" spans="1:19" ht="23.25" x14ac:dyDescent="0.35">
      <c r="B4" s="67"/>
    </row>
    <row r="5" spans="1:19" ht="26.45" customHeight="1" x14ac:dyDescent="0.25">
      <c r="B5" s="1"/>
    </row>
    <row r="8" spans="1:19" ht="27" x14ac:dyDescent="0.25">
      <c r="B8" s="68" t="s">
        <v>53</v>
      </c>
      <c r="C8" s="69" t="s">
        <v>54</v>
      </c>
      <c r="L8" s="65"/>
      <c r="M8" s="63"/>
      <c r="N8" s="63"/>
      <c r="O8" s="63"/>
      <c r="P8" s="63"/>
      <c r="Q8" s="63"/>
      <c r="R8" s="63"/>
      <c r="S8" s="63"/>
    </row>
    <row r="9" spans="1:19" x14ac:dyDescent="0.25">
      <c r="B9" s="70">
        <v>1</v>
      </c>
      <c r="C9" s="71">
        <v>10560</v>
      </c>
      <c r="L9" s="65"/>
      <c r="M9" s="63"/>
      <c r="N9" s="63"/>
      <c r="O9" s="63"/>
      <c r="P9" s="63"/>
      <c r="Q9" s="63"/>
      <c r="R9" s="63"/>
      <c r="S9" s="63"/>
    </row>
    <row r="10" spans="1:19" x14ac:dyDescent="0.25">
      <c r="B10" s="70">
        <v>2</v>
      </c>
      <c r="C10" s="71">
        <v>12672</v>
      </c>
      <c r="L10" s="65"/>
      <c r="M10" s="63"/>
      <c r="N10" s="63"/>
      <c r="O10" s="63"/>
      <c r="P10" s="63"/>
      <c r="Q10" s="63"/>
      <c r="R10" s="63"/>
      <c r="S10" s="63"/>
    </row>
    <row r="11" spans="1:19" x14ac:dyDescent="0.25">
      <c r="B11" s="70">
        <v>3</v>
      </c>
      <c r="C11" s="71">
        <v>14784</v>
      </c>
      <c r="L11" s="65"/>
      <c r="M11" s="63"/>
      <c r="N11" s="63"/>
      <c r="O11" s="63"/>
      <c r="P11" s="63"/>
      <c r="Q11" s="63"/>
      <c r="R11" s="63"/>
      <c r="S11" s="63"/>
    </row>
    <row r="12" spans="1:19" x14ac:dyDescent="0.25">
      <c r="B12" s="70">
        <v>4</v>
      </c>
      <c r="C12" s="71">
        <v>14784</v>
      </c>
      <c r="L12" s="65"/>
      <c r="M12" s="63"/>
      <c r="N12" s="63"/>
      <c r="O12" s="63"/>
      <c r="P12" s="63"/>
      <c r="Q12" s="63"/>
      <c r="R12" s="63"/>
      <c r="S12" s="63"/>
    </row>
    <row r="13" spans="1:19" x14ac:dyDescent="0.25">
      <c r="B13" s="70">
        <v>5</v>
      </c>
      <c r="C13" s="71">
        <v>15840</v>
      </c>
      <c r="L13" s="65"/>
      <c r="M13" s="63"/>
      <c r="N13" s="63"/>
      <c r="O13" s="63"/>
      <c r="P13" s="63"/>
      <c r="Q13" s="63"/>
      <c r="R13" s="63"/>
      <c r="S13" s="63"/>
    </row>
    <row r="14" spans="1:19" x14ac:dyDescent="0.25">
      <c r="B14" s="70">
        <v>6</v>
      </c>
      <c r="C14" s="71">
        <v>16896</v>
      </c>
      <c r="L14" s="65"/>
      <c r="M14" s="63"/>
      <c r="N14" s="63"/>
      <c r="O14" s="63"/>
      <c r="P14" s="63"/>
      <c r="Q14" s="63"/>
      <c r="R14" s="63"/>
      <c r="S14" s="63"/>
    </row>
    <row r="15" spans="1:19" x14ac:dyDescent="0.25">
      <c r="B15" s="70">
        <v>7</v>
      </c>
      <c r="C15" s="71">
        <v>17952</v>
      </c>
      <c r="L15" s="65"/>
      <c r="M15" s="63"/>
      <c r="N15" s="63"/>
      <c r="O15" s="63"/>
      <c r="P15" s="63"/>
      <c r="Q15" s="63"/>
      <c r="R15" s="63"/>
      <c r="S15" s="63"/>
    </row>
    <row r="16" spans="1:19" x14ac:dyDescent="0.25">
      <c r="B16" s="70">
        <v>8</v>
      </c>
      <c r="C16" s="71">
        <v>19008</v>
      </c>
      <c r="L16" s="65"/>
      <c r="M16" s="63"/>
      <c r="N16" s="63"/>
      <c r="O16" s="63"/>
      <c r="P16" s="63"/>
      <c r="Q16" s="63"/>
      <c r="R16" s="63"/>
      <c r="S16" s="63"/>
    </row>
    <row r="17" spans="2:19" x14ac:dyDescent="0.25">
      <c r="B17" s="70">
        <v>9</v>
      </c>
      <c r="C17" s="71">
        <v>20064</v>
      </c>
      <c r="L17" s="65"/>
      <c r="M17" s="63"/>
      <c r="N17" s="63"/>
      <c r="O17" s="63"/>
      <c r="P17" s="63"/>
      <c r="Q17" s="63"/>
      <c r="R17" s="63"/>
      <c r="S17" s="63"/>
    </row>
    <row r="18" spans="2:19" x14ac:dyDescent="0.25">
      <c r="B18" s="70" t="s">
        <v>55</v>
      </c>
      <c r="C18" s="71">
        <v>21120</v>
      </c>
      <c r="L18" s="65"/>
      <c r="M18" s="63"/>
      <c r="N18" s="63"/>
      <c r="O18" s="63"/>
      <c r="P18" s="63"/>
      <c r="Q18" s="63"/>
      <c r="R18" s="63"/>
      <c r="S18" s="63"/>
    </row>
    <row r="19" spans="2:19" customFormat="1" ht="15" x14ac:dyDescent="0.25"/>
    <row r="20" spans="2:19" customFormat="1" x14ac:dyDescent="0.25">
      <c r="B20" s="58" t="s">
        <v>169</v>
      </c>
    </row>
    <row r="21" spans="2:19" customFormat="1" x14ac:dyDescent="0.25">
      <c r="B21" s="58"/>
    </row>
    <row r="22" spans="2:19" x14ac:dyDescent="0.25">
      <c r="B22" s="62" t="s">
        <v>40</v>
      </c>
      <c r="C22" s="62" t="s">
        <v>41</v>
      </c>
      <c r="D22" s="61"/>
      <c r="L22" s="65"/>
      <c r="M22" s="63"/>
      <c r="N22" s="63"/>
      <c r="O22" s="63"/>
      <c r="P22" s="63"/>
      <c r="Q22" s="63"/>
      <c r="R22" s="63"/>
      <c r="S22" s="63"/>
    </row>
    <row r="23" spans="2:19" x14ac:dyDescent="0.25">
      <c r="D23" s="131"/>
      <c r="E23"/>
      <c r="F23"/>
      <c r="L23" s="65"/>
      <c r="M23" s="63"/>
      <c r="N23" s="63"/>
      <c r="O23" s="63"/>
      <c r="P23" s="63"/>
    </row>
    <row r="24" spans="2:19" ht="16.5" thickBot="1" x14ac:dyDescent="0.3">
      <c r="B24" s="129" t="s">
        <v>56</v>
      </c>
      <c r="C24" s="130" t="s">
        <v>165</v>
      </c>
      <c r="D24" s="132"/>
      <c r="I24" s="60"/>
      <c r="L24" s="65"/>
      <c r="M24" s="63"/>
    </row>
    <row r="25" spans="2:19" s="146" customFormat="1" ht="51" customHeight="1" thickBot="1" x14ac:dyDescent="0.3">
      <c r="B25" s="145" t="s">
        <v>31</v>
      </c>
      <c r="C25" s="145" t="s">
        <v>42</v>
      </c>
      <c r="D25" s="145" t="s">
        <v>87</v>
      </c>
      <c r="E25" s="145" t="s">
        <v>88</v>
      </c>
      <c r="F25" s="145" t="s">
        <v>89</v>
      </c>
      <c r="G25" s="145" t="s">
        <v>90</v>
      </c>
      <c r="H25" s="145" t="s">
        <v>91</v>
      </c>
      <c r="I25" s="145" t="s">
        <v>92</v>
      </c>
      <c r="J25" s="145" t="s">
        <v>90</v>
      </c>
      <c r="K25" s="145" t="s">
        <v>93</v>
      </c>
      <c r="L25" s="145" t="s">
        <v>94</v>
      </c>
      <c r="M25" s="145" t="s">
        <v>95</v>
      </c>
      <c r="N25" s="145" t="s">
        <v>96</v>
      </c>
      <c r="O25" s="145" t="s">
        <v>97</v>
      </c>
      <c r="P25" s="145" t="s">
        <v>98</v>
      </c>
    </row>
    <row r="26" spans="2:19" ht="16.5" thickBot="1" x14ac:dyDescent="0.3">
      <c r="B26" s="126">
        <v>2022</v>
      </c>
      <c r="C26" s="127">
        <v>0.02</v>
      </c>
      <c r="D26" s="128">
        <v>14784</v>
      </c>
      <c r="E26" s="128">
        <v>0</v>
      </c>
      <c r="F26" s="128">
        <v>0</v>
      </c>
      <c r="G26" s="128">
        <v>0</v>
      </c>
      <c r="H26" s="128">
        <v>0</v>
      </c>
      <c r="I26" s="128">
        <f>((('Results summary(1-5 Years)'!E11)*Contributions!C26)/365)*75</f>
        <v>202.40136986301368</v>
      </c>
      <c r="J26" s="128">
        <f>D26*0.25</f>
        <v>3696</v>
      </c>
      <c r="K26" s="128">
        <f>SUM('Results summary(1-5 Years)'!E11+Contributions!I26+J26)</f>
        <v>53149.401369863015</v>
      </c>
      <c r="L26" s="128">
        <f>((K26*C26)/365)*92</f>
        <v>267.93122882341908</v>
      </c>
      <c r="M26" s="128">
        <f>D26*0.5</f>
        <v>7392</v>
      </c>
      <c r="N26" s="128">
        <f>SUM(K26:M26)</f>
        <v>60809.332598686437</v>
      </c>
      <c r="O26" s="128">
        <f>((N26*C26)/365)*75</f>
        <v>249.90136684391683</v>
      </c>
      <c r="P26" s="128">
        <f>SUM(N26:O26)</f>
        <v>61059.233965530351</v>
      </c>
    </row>
    <row r="27" spans="2:19" x14ac:dyDescent="0.25">
      <c r="D27" s="131"/>
    </row>
    <row r="28" spans="2:19" ht="16.5" thickBot="1" x14ac:dyDescent="0.3">
      <c r="B28" s="129" t="s">
        <v>164</v>
      </c>
      <c r="C28" s="130" t="s">
        <v>166</v>
      </c>
      <c r="D28" s="132"/>
      <c r="E28" s="59"/>
      <c r="F28"/>
      <c r="L28" s="65"/>
      <c r="M28" s="63"/>
      <c r="N28" s="63"/>
      <c r="O28" s="63"/>
      <c r="P28" s="63"/>
    </row>
    <row r="29" spans="2:19" s="147" customFormat="1" ht="46.5" customHeight="1" thickBot="1" x14ac:dyDescent="0.3">
      <c r="B29" s="145" t="s">
        <v>31</v>
      </c>
      <c r="C29" s="145" t="s">
        <v>42</v>
      </c>
      <c r="D29" s="145" t="s">
        <v>87</v>
      </c>
      <c r="E29" s="145" t="s">
        <v>88</v>
      </c>
      <c r="F29" s="145" t="s">
        <v>89</v>
      </c>
      <c r="G29" s="145" t="s">
        <v>90</v>
      </c>
      <c r="H29" s="145" t="s">
        <v>91</v>
      </c>
      <c r="I29" s="145" t="s">
        <v>92</v>
      </c>
      <c r="J29" s="145" t="s">
        <v>90</v>
      </c>
      <c r="K29" s="145" t="s">
        <v>93</v>
      </c>
      <c r="L29" s="145" t="s">
        <v>94</v>
      </c>
      <c r="M29" s="145" t="s">
        <v>95</v>
      </c>
      <c r="N29" s="145" t="s">
        <v>96</v>
      </c>
      <c r="O29" s="145" t="s">
        <v>97</v>
      </c>
      <c r="P29" s="145" t="s">
        <v>98</v>
      </c>
    </row>
    <row r="30" spans="2:19" s="116" customFormat="1" x14ac:dyDescent="0.25">
      <c r="B30" s="117">
        <v>2022</v>
      </c>
      <c r="C30" s="120">
        <v>0.04</v>
      </c>
      <c r="D30" s="122">
        <v>14784</v>
      </c>
      <c r="E30" s="124">
        <v>0</v>
      </c>
      <c r="F30" s="124">
        <v>0</v>
      </c>
      <c r="G30" s="124">
        <v>0</v>
      </c>
      <c r="H30" s="124">
        <v>0</v>
      </c>
      <c r="I30" s="124">
        <f>((('Results summary(6, 7 Years)'!E11)*C30)/365)*75</f>
        <v>404.80273972602737</v>
      </c>
      <c r="J30" s="124">
        <f>D30*0.25</f>
        <v>3696</v>
      </c>
      <c r="K30" s="124">
        <f>SUM('Results summary(6, 7 Years)'!E11+Contributions!I30+Contributions!J30)</f>
        <v>53351.80273972603</v>
      </c>
      <c r="L30" s="124">
        <f>((K30*C30)/365)*92</f>
        <v>537.90310707449805</v>
      </c>
      <c r="M30" s="124">
        <f>D30*0.5</f>
        <v>7392</v>
      </c>
      <c r="N30" s="124">
        <f>K30+L30+M30</f>
        <v>61281.705846800527</v>
      </c>
      <c r="O30" s="124">
        <f>((N30*C30)/365)*75</f>
        <v>503.68525353534676</v>
      </c>
      <c r="P30" s="64">
        <f>N30+O30</f>
        <v>61785.391100335873</v>
      </c>
    </row>
    <row r="31" spans="2:19" x14ac:dyDescent="0.25">
      <c r="B31" s="118">
        <v>2023</v>
      </c>
      <c r="C31" s="120">
        <v>0.04</v>
      </c>
      <c r="D31" s="122">
        <v>15840</v>
      </c>
      <c r="E31" s="124">
        <f>P30</f>
        <v>61785.391100335873</v>
      </c>
      <c r="F31" s="124">
        <f>((E31*C31)/365)*105</f>
        <v>710.95518526413889</v>
      </c>
      <c r="G31" s="124">
        <f>D31*0.25</f>
        <v>3960</v>
      </c>
      <c r="H31" s="124">
        <f>SUM(E31:G31)</f>
        <v>66456.346285600011</v>
      </c>
      <c r="I31" s="124">
        <f>((H31*C31)/365)*90</f>
        <v>655.45985377578086</v>
      </c>
      <c r="J31" s="124">
        <f>D31*0.25</f>
        <v>3960</v>
      </c>
      <c r="K31" s="124">
        <f>H31+I31+J31</f>
        <v>71071.806139375796</v>
      </c>
      <c r="L31" s="124">
        <f>((K31*C31)/365)*92</f>
        <v>716.55957970658335</v>
      </c>
      <c r="M31" s="124">
        <f>D31*0.5</f>
        <v>7920</v>
      </c>
      <c r="N31" s="124">
        <f>K31+L31+M31</f>
        <v>79708.365719082372</v>
      </c>
      <c r="O31" s="124">
        <f>((N31*C31)/365)*75</f>
        <v>655.13725248560854</v>
      </c>
      <c r="P31" s="64">
        <f>N31+O31</f>
        <v>80363.502971567985</v>
      </c>
    </row>
    <row r="32" spans="2:19" x14ac:dyDescent="0.25">
      <c r="B32" s="118">
        <v>2024</v>
      </c>
      <c r="C32" s="120">
        <v>0.04</v>
      </c>
      <c r="D32" s="122">
        <v>16896</v>
      </c>
      <c r="E32" s="124">
        <f t="shared" ref="E32:E33" si="0">P31</f>
        <v>80363.502971567985</v>
      </c>
      <c r="F32" s="124">
        <f>((E32*C32)/365)*105</f>
        <v>924.73071912489183</v>
      </c>
      <c r="G32" s="124">
        <f>D32*0.25</f>
        <v>4224</v>
      </c>
      <c r="H32" s="124">
        <f t="shared" ref="H32:H33" si="1">SUM(E32:G32)</f>
        <v>85512.233690692883</v>
      </c>
      <c r="I32" s="124">
        <f>((H32*C32)/365)*90</f>
        <v>843.40833229176542</v>
      </c>
      <c r="J32" s="124">
        <f>D32*0.25</f>
        <v>4224</v>
      </c>
      <c r="K32" s="124">
        <f t="shared" ref="K32:K33" si="2">H32+I32+J32</f>
        <v>90579.642022984655</v>
      </c>
      <c r="L32" s="124">
        <f>((K32*C32)/365)*92</f>
        <v>913.24132231392753</v>
      </c>
      <c r="M32" s="124">
        <f>D32*0.5</f>
        <v>8448</v>
      </c>
      <c r="N32" s="124">
        <f t="shared" ref="N32:N33" si="3">K32+L32+M32</f>
        <v>99940.883345298585</v>
      </c>
      <c r="O32" s="124">
        <f>((N32*C32)/365)*75</f>
        <v>821.43191790656374</v>
      </c>
      <c r="P32" s="64">
        <f t="shared" ref="P32:P33" si="4">N32+O32</f>
        <v>100762.31526320515</v>
      </c>
    </row>
    <row r="33" spans="2:16" ht="16.5" thickBot="1" x14ac:dyDescent="0.3">
      <c r="B33" s="119">
        <v>2025</v>
      </c>
      <c r="C33" s="121">
        <v>0.04</v>
      </c>
      <c r="D33" s="123">
        <v>17952</v>
      </c>
      <c r="E33" s="125">
        <f t="shared" si="0"/>
        <v>100762.31526320515</v>
      </c>
      <c r="F33" s="125">
        <f>((E33*C33)/365)*105</f>
        <v>1159.4567783711277</v>
      </c>
      <c r="G33" s="125">
        <f>D33*0.25</f>
        <v>4488</v>
      </c>
      <c r="H33" s="125">
        <f t="shared" si="1"/>
        <v>106409.77204157627</v>
      </c>
      <c r="I33" s="125">
        <f>((H33*C33)/365)*90</f>
        <v>1049.521039314177</v>
      </c>
      <c r="J33" s="125">
        <f>D33*0.25</f>
        <v>4488</v>
      </c>
      <c r="K33" s="125">
        <f t="shared" si="2"/>
        <v>111947.29308089045</v>
      </c>
      <c r="L33" s="125">
        <f>((K33*C33)/365)*92</f>
        <v>1128.6740781854162</v>
      </c>
      <c r="M33" s="125">
        <f>D33*0.5</f>
        <v>8976</v>
      </c>
      <c r="N33" s="125">
        <f t="shared" si="3"/>
        <v>122051.96715907587</v>
      </c>
      <c r="O33" s="125">
        <f>((N33*C33)/365)*75</f>
        <v>1003.1668533622674</v>
      </c>
      <c r="P33" s="66">
        <f t="shared" si="4"/>
        <v>123055.13401243814</v>
      </c>
    </row>
    <row r="35" spans="2:16" x14ac:dyDescent="0.25">
      <c r="D35" s="131"/>
    </row>
    <row r="36" spans="2:16" ht="16.5" thickBot="1" x14ac:dyDescent="0.3">
      <c r="B36" s="129" t="s">
        <v>164</v>
      </c>
      <c r="C36" s="130" t="s">
        <v>167</v>
      </c>
      <c r="D36" s="132"/>
      <c r="E36" s="59"/>
    </row>
    <row r="37" spans="2:16" s="146" customFormat="1" ht="51" customHeight="1" thickBot="1" x14ac:dyDescent="0.3">
      <c r="B37" s="145" t="s">
        <v>31</v>
      </c>
      <c r="C37" s="145" t="s">
        <v>42</v>
      </c>
      <c r="D37" s="145" t="s">
        <v>87</v>
      </c>
      <c r="E37" s="145" t="s">
        <v>88</v>
      </c>
      <c r="F37" s="145" t="s">
        <v>89</v>
      </c>
      <c r="G37" s="145" t="s">
        <v>90</v>
      </c>
      <c r="H37" s="145" t="s">
        <v>91</v>
      </c>
      <c r="I37" s="145" t="s">
        <v>92</v>
      </c>
      <c r="J37" s="145" t="s">
        <v>90</v>
      </c>
      <c r="K37" s="145" t="s">
        <v>93</v>
      </c>
      <c r="L37" s="145" t="s">
        <v>94</v>
      </c>
      <c r="M37" s="145" t="s">
        <v>95</v>
      </c>
      <c r="N37" s="145" t="s">
        <v>96</v>
      </c>
      <c r="O37" s="145" t="s">
        <v>97</v>
      </c>
      <c r="P37" s="145" t="s">
        <v>98</v>
      </c>
    </row>
    <row r="38" spans="2:16" x14ac:dyDescent="0.25">
      <c r="B38" s="117">
        <v>2022</v>
      </c>
      <c r="C38" s="120">
        <v>0.04</v>
      </c>
      <c r="D38" s="122">
        <v>14784</v>
      </c>
      <c r="E38" s="124">
        <v>0</v>
      </c>
      <c r="F38" s="124">
        <v>0</v>
      </c>
      <c r="G38" s="124">
        <v>0</v>
      </c>
      <c r="H38" s="124">
        <v>0</v>
      </c>
      <c r="I38" s="124">
        <f>((('Results summary(8+ Years)'!E11)*C38)/365)*75</f>
        <v>404.80273972602737</v>
      </c>
      <c r="J38" s="124">
        <f t="shared" ref="J38:J44" si="5">D38*0.25</f>
        <v>3696</v>
      </c>
      <c r="K38" s="124">
        <f>SUM('Results summary(8+ Years)'!E11+Contributions!I38+Contributions!J38)</f>
        <v>53351.80273972603</v>
      </c>
      <c r="L38" s="124">
        <f t="shared" ref="L38:L44" si="6">((K38*C38)/365)*92</f>
        <v>537.90310707449805</v>
      </c>
      <c r="M38" s="124">
        <f t="shared" ref="M38:M44" si="7">D38*0.5</f>
        <v>7392</v>
      </c>
      <c r="N38" s="124">
        <f>K38+L38+M38</f>
        <v>61281.705846800527</v>
      </c>
      <c r="O38" s="124">
        <f t="shared" ref="O38:O44" si="8">((N38*C38)/365)*75</f>
        <v>503.68525353534676</v>
      </c>
      <c r="P38" s="64">
        <f>N38+O38</f>
        <v>61785.391100335873</v>
      </c>
    </row>
    <row r="39" spans="2:16" x14ac:dyDescent="0.25">
      <c r="B39" s="118">
        <v>2023</v>
      </c>
      <c r="C39" s="120">
        <v>0.04</v>
      </c>
      <c r="D39" s="122">
        <v>15840</v>
      </c>
      <c r="E39" s="124">
        <f>P38</f>
        <v>61785.391100335873</v>
      </c>
      <c r="F39" s="124">
        <f t="shared" ref="F39:F44" si="9">((E39*C39)/365)*105</f>
        <v>710.95518526413889</v>
      </c>
      <c r="G39" s="124">
        <f t="shared" ref="G39:G44" si="10">D39*0.25</f>
        <v>3960</v>
      </c>
      <c r="H39" s="124">
        <f>SUM(E39:G39)</f>
        <v>66456.346285600011</v>
      </c>
      <c r="I39" s="124">
        <f t="shared" ref="I39:I44" si="11">((H39*C39)/365)*90</f>
        <v>655.45985377578086</v>
      </c>
      <c r="J39" s="124">
        <f t="shared" si="5"/>
        <v>3960</v>
      </c>
      <c r="K39" s="124">
        <f>H39+I39+J39</f>
        <v>71071.806139375796</v>
      </c>
      <c r="L39" s="124">
        <f t="shared" si="6"/>
        <v>716.55957970658335</v>
      </c>
      <c r="M39" s="124">
        <f t="shared" si="7"/>
        <v>7920</v>
      </c>
      <c r="N39" s="124">
        <f>K39+L39+M39</f>
        <v>79708.365719082372</v>
      </c>
      <c r="O39" s="124">
        <f t="shared" si="8"/>
        <v>655.13725248560854</v>
      </c>
      <c r="P39" s="64">
        <f>N39+O39</f>
        <v>80363.502971567985</v>
      </c>
    </row>
    <row r="40" spans="2:16" x14ac:dyDescent="0.25">
      <c r="B40" s="118">
        <v>2024</v>
      </c>
      <c r="C40" s="120">
        <v>0.04</v>
      </c>
      <c r="D40" s="122">
        <v>16896</v>
      </c>
      <c r="E40" s="124">
        <f t="shared" ref="E40:E41" si="12">P39</f>
        <v>80363.502971567985</v>
      </c>
      <c r="F40" s="124">
        <f t="shared" si="9"/>
        <v>924.73071912489183</v>
      </c>
      <c r="G40" s="124">
        <f t="shared" si="10"/>
        <v>4224</v>
      </c>
      <c r="H40" s="124">
        <f t="shared" ref="H40:H41" si="13">SUM(E40:G40)</f>
        <v>85512.233690692883</v>
      </c>
      <c r="I40" s="124">
        <f t="shared" si="11"/>
        <v>843.40833229176542</v>
      </c>
      <c r="J40" s="124">
        <f t="shared" si="5"/>
        <v>4224</v>
      </c>
      <c r="K40" s="124">
        <f t="shared" ref="K40:K41" si="14">H40+I40+J40</f>
        <v>90579.642022984655</v>
      </c>
      <c r="L40" s="124">
        <f t="shared" si="6"/>
        <v>913.24132231392753</v>
      </c>
      <c r="M40" s="124">
        <f t="shared" si="7"/>
        <v>8448</v>
      </c>
      <c r="N40" s="124">
        <f t="shared" ref="N40:N41" si="15">K40+L40+M40</f>
        <v>99940.883345298585</v>
      </c>
      <c r="O40" s="124">
        <f t="shared" si="8"/>
        <v>821.43191790656374</v>
      </c>
      <c r="P40" s="64">
        <f t="shared" ref="P40:P41" si="16">N40+O40</f>
        <v>100762.31526320515</v>
      </c>
    </row>
    <row r="41" spans="2:16" s="116" customFormat="1" x14ac:dyDescent="0.25">
      <c r="B41" s="118">
        <v>2025</v>
      </c>
      <c r="C41" s="120">
        <v>0.04</v>
      </c>
      <c r="D41" s="122">
        <v>17952</v>
      </c>
      <c r="E41" s="124">
        <f t="shared" si="12"/>
        <v>100762.31526320515</v>
      </c>
      <c r="F41" s="124">
        <f t="shared" si="9"/>
        <v>1159.4567783711277</v>
      </c>
      <c r="G41" s="124">
        <f t="shared" si="10"/>
        <v>4488</v>
      </c>
      <c r="H41" s="124">
        <f t="shared" si="13"/>
        <v>106409.77204157627</v>
      </c>
      <c r="I41" s="124">
        <f t="shared" si="11"/>
        <v>1049.521039314177</v>
      </c>
      <c r="J41" s="124">
        <f t="shared" si="5"/>
        <v>4488</v>
      </c>
      <c r="K41" s="124">
        <f t="shared" si="14"/>
        <v>111947.29308089045</v>
      </c>
      <c r="L41" s="124">
        <f t="shared" si="6"/>
        <v>1128.6740781854162</v>
      </c>
      <c r="M41" s="124">
        <f t="shared" si="7"/>
        <v>8976</v>
      </c>
      <c r="N41" s="124">
        <f t="shared" si="15"/>
        <v>122051.96715907587</v>
      </c>
      <c r="O41" s="124">
        <f t="shared" si="8"/>
        <v>1003.1668533622674</v>
      </c>
      <c r="P41" s="64">
        <f t="shared" si="16"/>
        <v>123055.13401243814</v>
      </c>
    </row>
    <row r="42" spans="2:16" x14ac:dyDescent="0.25">
      <c r="B42" s="118">
        <v>2026</v>
      </c>
      <c r="C42" s="120">
        <v>0.04</v>
      </c>
      <c r="D42" s="122">
        <v>19008</v>
      </c>
      <c r="E42" s="124">
        <f t="shared" ref="E42:E44" si="17">P41</f>
        <v>123055.13401243814</v>
      </c>
      <c r="F42" s="124">
        <f t="shared" si="9"/>
        <v>1415.9768845266854</v>
      </c>
      <c r="G42" s="124">
        <f t="shared" si="10"/>
        <v>4752</v>
      </c>
      <c r="H42" s="124">
        <f t="shared" ref="H42:H44" si="18">SUM(E42:G42)</f>
        <v>129223.11089696482</v>
      </c>
      <c r="I42" s="124">
        <f t="shared" si="11"/>
        <v>1274.5293129563652</v>
      </c>
      <c r="J42" s="124">
        <f t="shared" si="5"/>
        <v>4752</v>
      </c>
      <c r="K42" s="124">
        <f t="shared" ref="K42:K44" si="19">H42+I42+J42</f>
        <v>135249.64020992117</v>
      </c>
      <c r="L42" s="124">
        <f t="shared" si="6"/>
        <v>1363.612810883589</v>
      </c>
      <c r="M42" s="124">
        <f t="shared" si="7"/>
        <v>9504</v>
      </c>
      <c r="N42" s="124">
        <f t="shared" ref="N42:N44" si="20">K42+L42+M42</f>
        <v>146117.25302080475</v>
      </c>
      <c r="O42" s="124">
        <f t="shared" si="8"/>
        <v>1200.9637234586694</v>
      </c>
      <c r="P42" s="64">
        <f t="shared" ref="P42:P44" si="21">N42+O42</f>
        <v>147318.21674426342</v>
      </c>
    </row>
    <row r="43" spans="2:16" x14ac:dyDescent="0.25">
      <c r="B43" s="118">
        <v>2027</v>
      </c>
      <c r="C43" s="120">
        <v>0.04</v>
      </c>
      <c r="D43" s="122">
        <v>20064</v>
      </c>
      <c r="E43" s="124">
        <f t="shared" si="17"/>
        <v>147318.21674426342</v>
      </c>
      <c r="F43" s="124">
        <f t="shared" si="9"/>
        <v>1695.1685214408394</v>
      </c>
      <c r="G43" s="124">
        <f t="shared" si="10"/>
        <v>5016</v>
      </c>
      <c r="H43" s="124">
        <f t="shared" si="18"/>
        <v>154029.38526570427</v>
      </c>
      <c r="I43" s="124">
        <f t="shared" si="11"/>
        <v>1519.1939368672204</v>
      </c>
      <c r="J43" s="124">
        <f t="shared" si="5"/>
        <v>5016</v>
      </c>
      <c r="K43" s="124">
        <f t="shared" si="19"/>
        <v>160564.57920257151</v>
      </c>
      <c r="L43" s="124">
        <f t="shared" si="6"/>
        <v>1618.8428807272962</v>
      </c>
      <c r="M43" s="124">
        <f t="shared" si="7"/>
        <v>10032</v>
      </c>
      <c r="N43" s="124">
        <f t="shared" si="20"/>
        <v>172215.42208329879</v>
      </c>
      <c r="O43" s="124">
        <f t="shared" si="8"/>
        <v>1415.4692226024556</v>
      </c>
      <c r="P43" s="64">
        <f t="shared" si="21"/>
        <v>173630.89130590126</v>
      </c>
    </row>
    <row r="44" spans="2:16" ht="16.5" thickBot="1" x14ac:dyDescent="0.3">
      <c r="B44" s="119">
        <v>2028</v>
      </c>
      <c r="C44" s="121">
        <v>0.04</v>
      </c>
      <c r="D44" s="123">
        <v>21120</v>
      </c>
      <c r="E44" s="125">
        <f t="shared" si="17"/>
        <v>173630.89130590126</v>
      </c>
      <c r="F44" s="125">
        <f t="shared" si="9"/>
        <v>1997.944502698042</v>
      </c>
      <c r="G44" s="125">
        <f t="shared" si="10"/>
        <v>5280</v>
      </c>
      <c r="H44" s="125">
        <f t="shared" si="18"/>
        <v>180908.83580859931</v>
      </c>
      <c r="I44" s="125">
        <f t="shared" si="11"/>
        <v>1784.3063257834453</v>
      </c>
      <c r="J44" s="125">
        <f t="shared" si="5"/>
        <v>5280</v>
      </c>
      <c r="K44" s="125">
        <f t="shared" si="19"/>
        <v>187973.14213438277</v>
      </c>
      <c r="L44" s="125">
        <f t="shared" si="6"/>
        <v>1895.181268642544</v>
      </c>
      <c r="M44" s="125">
        <f t="shared" si="7"/>
        <v>10560</v>
      </c>
      <c r="N44" s="125">
        <f t="shared" si="20"/>
        <v>200428.32340302531</v>
      </c>
      <c r="O44" s="125">
        <f t="shared" si="8"/>
        <v>1647.3560827645917</v>
      </c>
      <c r="P44" s="66">
        <f t="shared" si="21"/>
        <v>202075.67948578991</v>
      </c>
    </row>
    <row r="45" spans="2:16" x14ac:dyDescent="0.25">
      <c r="B45"/>
      <c r="C45"/>
      <c r="D45"/>
      <c r="E45"/>
      <c r="F45" s="54"/>
      <c r="G45"/>
      <c r="H45"/>
      <c r="I45" s="54"/>
      <c r="J45"/>
      <c r="K45"/>
      <c r="L45" s="54"/>
      <c r="M45"/>
      <c r="N45"/>
      <c r="O45" s="54"/>
      <c r="P45"/>
    </row>
    <row r="47" spans="2:16" x14ac:dyDescent="0.25">
      <c r="O47" s="135">
        <f>SUM(L45,I45,F45,O45)</f>
        <v>0</v>
      </c>
    </row>
  </sheetData>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224BB-C4FC-40BE-BB44-17702408E64B}">
  <dimension ref="A1:B70"/>
  <sheetViews>
    <sheetView topLeftCell="A40" workbookViewId="0">
      <selection activeCell="C9" sqref="C9"/>
    </sheetView>
  </sheetViews>
  <sheetFormatPr defaultColWidth="45.28515625" defaultRowHeight="15" x14ac:dyDescent="0.25"/>
  <cols>
    <col min="1" max="1" width="45.28515625" style="79"/>
    <col min="2" max="2" width="123.5703125" style="79" bestFit="1" customWidth="1"/>
    <col min="3" max="16384" width="45.28515625" style="79"/>
  </cols>
  <sheetData>
    <row r="1" spans="1:2" ht="15.75" thickBot="1" x14ac:dyDescent="0.3">
      <c r="A1" s="79" t="s">
        <v>158</v>
      </c>
    </row>
    <row r="2" spans="1:2" ht="15.75" thickBot="1" x14ac:dyDescent="0.3">
      <c r="A2" s="155" t="s">
        <v>115</v>
      </c>
      <c r="B2" s="156" t="s">
        <v>116</v>
      </c>
    </row>
    <row r="3" spans="1:2" x14ac:dyDescent="0.25">
      <c r="A3" s="184" t="s">
        <v>13</v>
      </c>
      <c r="B3" s="82" t="s">
        <v>103</v>
      </c>
    </row>
    <row r="4" spans="1:2" ht="15.75" thickBot="1" x14ac:dyDescent="0.3">
      <c r="A4" s="185"/>
      <c r="B4" s="83" t="s">
        <v>104</v>
      </c>
    </row>
    <row r="5" spans="1:2" x14ac:dyDescent="0.25">
      <c r="A5" s="179" t="s">
        <v>16</v>
      </c>
      <c r="B5" s="84" t="s">
        <v>105</v>
      </c>
    </row>
    <row r="6" spans="1:2" ht="15.75" thickBot="1" x14ac:dyDescent="0.3">
      <c r="A6" s="180"/>
      <c r="B6" s="85" t="s">
        <v>106</v>
      </c>
    </row>
    <row r="7" spans="1:2" x14ac:dyDescent="0.25">
      <c r="A7" s="184" t="s">
        <v>20</v>
      </c>
      <c r="B7" s="82" t="s">
        <v>107</v>
      </c>
    </row>
    <row r="8" spans="1:2" ht="15.75" thickBot="1" x14ac:dyDescent="0.3">
      <c r="A8" s="185"/>
      <c r="B8" s="83" t="s">
        <v>108</v>
      </c>
    </row>
    <row r="9" spans="1:2" ht="15.75" thickBot="1" x14ac:dyDescent="0.3">
      <c r="A9" s="154" t="s">
        <v>71</v>
      </c>
      <c r="B9" s="85" t="s">
        <v>109</v>
      </c>
    </row>
    <row r="10" spans="1:2" ht="15.75" thickBot="1" x14ac:dyDescent="0.3">
      <c r="A10" s="153" t="s">
        <v>171</v>
      </c>
      <c r="B10" s="83" t="s">
        <v>172</v>
      </c>
    </row>
    <row r="11" spans="1:2" ht="15.75" thickBot="1" x14ac:dyDescent="0.3">
      <c r="A11" s="154" t="s">
        <v>23</v>
      </c>
      <c r="B11" s="85" t="s">
        <v>110</v>
      </c>
    </row>
    <row r="12" spans="1:2" x14ac:dyDescent="0.25">
      <c r="A12" s="184" t="s">
        <v>111</v>
      </c>
      <c r="B12" s="88" t="s">
        <v>112</v>
      </c>
    </row>
    <row r="13" spans="1:2" x14ac:dyDescent="0.25">
      <c r="A13" s="186"/>
      <c r="B13" s="88" t="s">
        <v>113</v>
      </c>
    </row>
    <row r="14" spans="1:2" ht="15.75" thickBot="1" x14ac:dyDescent="0.3">
      <c r="A14" s="185"/>
      <c r="B14" s="89" t="s">
        <v>114</v>
      </c>
    </row>
    <row r="15" spans="1:2" ht="15.75" thickBot="1" x14ac:dyDescent="0.3">
      <c r="A15" s="79" t="s">
        <v>40</v>
      </c>
    </row>
    <row r="16" spans="1:2" ht="15.75" thickBot="1" x14ac:dyDescent="0.3">
      <c r="A16" s="155" t="s">
        <v>61</v>
      </c>
      <c r="B16" s="156" t="s">
        <v>62</v>
      </c>
    </row>
    <row r="17" spans="1:2" ht="15.75" thickBot="1" x14ac:dyDescent="0.3">
      <c r="A17" s="153" t="s">
        <v>117</v>
      </c>
      <c r="B17" s="89" t="s">
        <v>118</v>
      </c>
    </row>
    <row r="18" spans="1:2" ht="15.75" thickBot="1" x14ac:dyDescent="0.3">
      <c r="A18" s="154" t="s">
        <v>173</v>
      </c>
      <c r="B18" s="85" t="s">
        <v>181</v>
      </c>
    </row>
    <row r="19" spans="1:2" ht="15.75" thickBot="1" x14ac:dyDescent="0.3">
      <c r="A19" s="153" t="s">
        <v>119</v>
      </c>
      <c r="B19" s="89" t="s">
        <v>120</v>
      </c>
    </row>
    <row r="20" spans="1:2" x14ac:dyDescent="0.25">
      <c r="A20" s="157"/>
      <c r="B20" s="179" t="s">
        <v>174</v>
      </c>
    </row>
    <row r="21" spans="1:2" ht="15.75" thickBot="1" x14ac:dyDescent="0.3">
      <c r="A21" s="154" t="s">
        <v>57</v>
      </c>
      <c r="B21" s="180"/>
    </row>
    <row r="22" spans="1:2" ht="15.75" thickBot="1" x14ac:dyDescent="0.3">
      <c r="A22" s="153" t="s">
        <v>121</v>
      </c>
      <c r="B22" s="89" t="s">
        <v>175</v>
      </c>
    </row>
    <row r="23" spans="1:2" ht="15.75" thickBot="1" x14ac:dyDescent="0.3">
      <c r="A23" s="154" t="s">
        <v>58</v>
      </c>
      <c r="B23" s="85" t="s">
        <v>122</v>
      </c>
    </row>
    <row r="24" spans="1:2" ht="15.75" thickBot="1" x14ac:dyDescent="0.3">
      <c r="A24" s="153" t="s">
        <v>63</v>
      </c>
      <c r="B24" s="89" t="s">
        <v>64</v>
      </c>
    </row>
    <row r="25" spans="1:2" ht="15.75" thickBot="1" x14ac:dyDescent="0.3">
      <c r="A25" s="154" t="s">
        <v>59</v>
      </c>
      <c r="B25" s="85" t="s">
        <v>176</v>
      </c>
    </row>
    <row r="26" spans="1:2" ht="15.75" thickBot="1" x14ac:dyDescent="0.3">
      <c r="A26" s="153" t="s">
        <v>65</v>
      </c>
      <c r="B26" s="89" t="s">
        <v>177</v>
      </c>
    </row>
    <row r="27" spans="1:2" ht="15.75" thickBot="1" x14ac:dyDescent="0.3">
      <c r="A27" s="154" t="s">
        <v>60</v>
      </c>
      <c r="B27" s="85" t="s">
        <v>178</v>
      </c>
    </row>
    <row r="28" spans="1:2" ht="15.75" thickBot="1" x14ac:dyDescent="0.3">
      <c r="A28" s="153" t="s">
        <v>66</v>
      </c>
      <c r="B28" s="89" t="s">
        <v>179</v>
      </c>
    </row>
    <row r="29" spans="1:2" ht="15.75" thickBot="1" x14ac:dyDescent="0.3">
      <c r="A29" s="154" t="s">
        <v>123</v>
      </c>
      <c r="B29" s="85" t="s">
        <v>124</v>
      </c>
    </row>
    <row r="31" spans="1:2" ht="15.75" thickBot="1" x14ac:dyDescent="0.3"/>
    <row r="32" spans="1:2" ht="15.75" thickBot="1" x14ac:dyDescent="0.3">
      <c r="A32" s="80" t="s">
        <v>61</v>
      </c>
      <c r="B32" s="81" t="s">
        <v>62</v>
      </c>
    </row>
    <row r="33" spans="1:2" ht="30.75" thickBot="1" x14ac:dyDescent="0.3">
      <c r="A33" s="90" t="s">
        <v>125</v>
      </c>
      <c r="B33" s="91" t="s">
        <v>126</v>
      </c>
    </row>
    <row r="34" spans="1:2" ht="15.75" thickBot="1" x14ac:dyDescent="0.3">
      <c r="A34" s="92" t="s">
        <v>123</v>
      </c>
      <c r="B34" s="93" t="s">
        <v>127</v>
      </c>
    </row>
    <row r="36" spans="1:2" ht="16.5" thickBot="1" x14ac:dyDescent="0.3">
      <c r="A36" s="2" t="s">
        <v>51</v>
      </c>
    </row>
    <row r="37" spans="1:2" ht="15.75" thickBot="1" x14ac:dyDescent="0.3">
      <c r="A37" s="80" t="s">
        <v>61</v>
      </c>
      <c r="B37" s="81" t="s">
        <v>62</v>
      </c>
    </row>
    <row r="38" spans="1:2" ht="15.75" thickBot="1" x14ac:dyDescent="0.3">
      <c r="A38" s="87" t="s">
        <v>128</v>
      </c>
      <c r="B38" s="89" t="s">
        <v>129</v>
      </c>
    </row>
    <row r="39" spans="1:2" ht="15.75" thickBot="1" x14ac:dyDescent="0.3">
      <c r="A39" s="86" t="s">
        <v>33</v>
      </c>
      <c r="B39" s="85" t="s">
        <v>130</v>
      </c>
    </row>
    <row r="40" spans="1:2" ht="15.75" thickBot="1" x14ac:dyDescent="0.3">
      <c r="A40" s="87" t="s">
        <v>131</v>
      </c>
      <c r="B40" s="89" t="s">
        <v>132</v>
      </c>
    </row>
    <row r="41" spans="1:2" ht="15.75" thickBot="1" x14ac:dyDescent="0.3">
      <c r="A41" s="86" t="s">
        <v>133</v>
      </c>
      <c r="B41" s="85" t="s">
        <v>134</v>
      </c>
    </row>
    <row r="42" spans="1:2" ht="15.75" thickBot="1" x14ac:dyDescent="0.3">
      <c r="A42" s="87" t="s">
        <v>34</v>
      </c>
      <c r="B42" s="89" t="s">
        <v>180</v>
      </c>
    </row>
    <row r="43" spans="1:2" ht="15.75" thickBot="1" x14ac:dyDescent="0.3">
      <c r="A43" s="86" t="s">
        <v>135</v>
      </c>
      <c r="B43" s="85" t="s">
        <v>136</v>
      </c>
    </row>
    <row r="45" spans="1:2" ht="15.75" thickBot="1" x14ac:dyDescent="0.3">
      <c r="A45" s="79" t="s">
        <v>157</v>
      </c>
    </row>
    <row r="46" spans="1:2" ht="15.75" thickBot="1" x14ac:dyDescent="0.3">
      <c r="A46" s="80" t="s">
        <v>61</v>
      </c>
      <c r="B46" s="81" t="s">
        <v>62</v>
      </c>
    </row>
    <row r="47" spans="1:2" x14ac:dyDescent="0.25">
      <c r="A47" s="181" t="s">
        <v>44</v>
      </c>
      <c r="B47" s="82" t="s">
        <v>137</v>
      </c>
    </row>
    <row r="48" spans="1:2" ht="15.75" thickBot="1" x14ac:dyDescent="0.3">
      <c r="A48" s="182"/>
      <c r="B48" s="89" t="s">
        <v>161</v>
      </c>
    </row>
    <row r="49" spans="1:2" x14ac:dyDescent="0.25">
      <c r="A49" s="179" t="s">
        <v>135</v>
      </c>
      <c r="B49" s="84" t="s">
        <v>138</v>
      </c>
    </row>
    <row r="50" spans="1:2" ht="15.75" thickBot="1" x14ac:dyDescent="0.3">
      <c r="A50" s="180"/>
      <c r="B50" s="85" t="s">
        <v>139</v>
      </c>
    </row>
    <row r="52" spans="1:2" ht="15.75" thickBot="1" x14ac:dyDescent="0.3">
      <c r="A52" s="79" t="s">
        <v>156</v>
      </c>
    </row>
    <row r="53" spans="1:2" ht="15.75" thickBot="1" x14ac:dyDescent="0.3">
      <c r="A53" s="80" t="s">
        <v>61</v>
      </c>
      <c r="B53" s="81" t="s">
        <v>62</v>
      </c>
    </row>
    <row r="54" spans="1:2" x14ac:dyDescent="0.25">
      <c r="A54" s="181" t="s">
        <v>46</v>
      </c>
      <c r="B54" s="88" t="s">
        <v>159</v>
      </c>
    </row>
    <row r="55" spans="1:2" x14ac:dyDescent="0.25">
      <c r="A55" s="183"/>
      <c r="B55" s="88" t="s">
        <v>160</v>
      </c>
    </row>
    <row r="56" spans="1:2" x14ac:dyDescent="0.25">
      <c r="A56" s="183"/>
      <c r="B56" s="88" t="s">
        <v>140</v>
      </c>
    </row>
    <row r="57" spans="1:2" ht="15.75" thickBot="1" x14ac:dyDescent="0.3">
      <c r="A57" s="182"/>
      <c r="B57" s="89" t="s">
        <v>141</v>
      </c>
    </row>
    <row r="58" spans="1:2" ht="15.75" thickBot="1" x14ac:dyDescent="0.3">
      <c r="A58" s="86" t="s">
        <v>142</v>
      </c>
      <c r="B58" s="85" t="s">
        <v>143</v>
      </c>
    </row>
    <row r="59" spans="1:2" x14ac:dyDescent="0.25">
      <c r="A59" s="181" t="s">
        <v>44</v>
      </c>
      <c r="B59" s="82" t="s">
        <v>144</v>
      </c>
    </row>
    <row r="60" spans="1:2" ht="15.75" thickBot="1" x14ac:dyDescent="0.3">
      <c r="A60" s="182"/>
      <c r="B60" s="89" t="s">
        <v>162</v>
      </c>
    </row>
    <row r="61" spans="1:2" ht="15.75" thickBot="1" x14ac:dyDescent="0.3">
      <c r="A61" s="86" t="s">
        <v>145</v>
      </c>
      <c r="B61" s="85" t="s">
        <v>146</v>
      </c>
    </row>
    <row r="62" spans="1:2" ht="15.75" thickBot="1" x14ac:dyDescent="0.3">
      <c r="A62" s="94" t="s">
        <v>147</v>
      </c>
      <c r="B62" s="83" t="s">
        <v>148</v>
      </c>
    </row>
    <row r="63" spans="1:2" ht="15.75" thickBot="1" x14ac:dyDescent="0.3">
      <c r="A63" s="86" t="s">
        <v>135</v>
      </c>
      <c r="B63" s="85" t="s">
        <v>149</v>
      </c>
    </row>
    <row r="65" spans="1:2" ht="15.75" thickBot="1" x14ac:dyDescent="0.3">
      <c r="A65" s="79" t="s">
        <v>163</v>
      </c>
    </row>
    <row r="66" spans="1:2" ht="15.75" thickBot="1" x14ac:dyDescent="0.3">
      <c r="A66" s="80" t="s">
        <v>61</v>
      </c>
      <c r="B66" s="81" t="s">
        <v>62</v>
      </c>
    </row>
    <row r="67" spans="1:2" ht="15.75" thickBot="1" x14ac:dyDescent="0.3">
      <c r="A67" s="94" t="s">
        <v>36</v>
      </c>
      <c r="B67" s="83" t="s">
        <v>150</v>
      </c>
    </row>
    <row r="68" spans="1:2" ht="15.75" thickBot="1" x14ac:dyDescent="0.3">
      <c r="A68" s="86" t="s">
        <v>37</v>
      </c>
      <c r="B68" s="85" t="s">
        <v>151</v>
      </c>
    </row>
    <row r="69" spans="1:2" ht="15.75" thickBot="1" x14ac:dyDescent="0.3">
      <c r="A69" s="94" t="s">
        <v>152</v>
      </c>
      <c r="B69" s="83" t="s">
        <v>153</v>
      </c>
    </row>
    <row r="70" spans="1:2" ht="15.75" thickBot="1" x14ac:dyDescent="0.3">
      <c r="A70" s="86" t="s">
        <v>154</v>
      </c>
      <c r="B70" s="85" t="s">
        <v>155</v>
      </c>
    </row>
  </sheetData>
  <mergeCells count="9">
    <mergeCell ref="A3:A4"/>
    <mergeCell ref="A5:A6"/>
    <mergeCell ref="A7:A8"/>
    <mergeCell ref="A12:A14"/>
    <mergeCell ref="B20:B21"/>
    <mergeCell ref="A47:A48"/>
    <mergeCell ref="A49:A50"/>
    <mergeCell ref="A54:A57"/>
    <mergeCell ref="A59:A6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f17e089-5151-407c-985a-26b07db51bc4">
      <Terms xmlns="http://schemas.microsoft.com/office/infopath/2007/PartnerControls"/>
    </lcf76f155ced4ddcb4097134ff3c332f>
    <TaxCatchAll xmlns="754f0139-af61-4113-8639-e2b940109faa"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5A6D87667F2A74AA7407AE8F773A90A" ma:contentTypeVersion="15" ma:contentTypeDescription="Create a new document." ma:contentTypeScope="" ma:versionID="9ddac12ecfe83c1fc78be46cbefca9b9">
  <xsd:schema xmlns:xsd="http://www.w3.org/2001/XMLSchema" xmlns:xs="http://www.w3.org/2001/XMLSchema" xmlns:p="http://schemas.microsoft.com/office/2006/metadata/properties" xmlns:ns2="9f17e089-5151-407c-985a-26b07db51bc4" xmlns:ns3="754f0139-af61-4113-8639-e2b940109faa" targetNamespace="http://schemas.microsoft.com/office/2006/metadata/properties" ma:root="true" ma:fieldsID="32b48dc77bd06de706874dd876d8c019" ns2:_="" ns3:_="">
    <xsd:import namespace="9f17e089-5151-407c-985a-26b07db51bc4"/>
    <xsd:import namespace="754f0139-af61-4113-8639-e2b940109fa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17e089-5151-407c-985a-26b07db51b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c54e7ac3-6716-407b-97d0-e620992c95e6"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54f0139-af61-4113-8639-e2b940109fa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6cc3e4f3-ea48-48cd-8232-f965d432c13e}" ma:internalName="TaxCatchAll" ma:showField="CatchAllData" ma:web="754f0139-af61-4113-8639-e2b940109fa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97E9788-8608-413D-90F6-9A1428DCCF8F}">
  <ds:schemaRefs>
    <ds:schemaRef ds:uri="http://schemas.microsoft.com/office/2006/documentManagement/types"/>
    <ds:schemaRef ds:uri="754f0139-af61-4113-8639-e2b940109faa"/>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9f17e089-5151-407c-985a-26b07db51bc4"/>
    <ds:schemaRef ds:uri="http://www.w3.org/XML/1998/namespace"/>
    <ds:schemaRef ds:uri="http://purl.org/dc/dcmitype/"/>
  </ds:schemaRefs>
</ds:datastoreItem>
</file>

<file path=customXml/itemProps2.xml><?xml version="1.0" encoding="utf-8"?>
<ds:datastoreItem xmlns:ds="http://schemas.openxmlformats.org/officeDocument/2006/customXml" ds:itemID="{DCA90259-6FCD-4D71-BECA-7D22F9DAB0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17e089-5151-407c-985a-26b07db51bc4"/>
    <ds:schemaRef ds:uri="754f0139-af61-4113-8639-e2b940109f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0C41E9B-0C57-467A-82BE-60318B6CE22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Input Screen</vt:lpstr>
      <vt:lpstr>Results summary(1-5 Years)</vt:lpstr>
      <vt:lpstr>Results summary(6, 7 Years)</vt:lpstr>
      <vt:lpstr>Results summary(8+ Years)</vt:lpstr>
      <vt:lpstr>Contributions</vt:lpstr>
      <vt:lpstr>Formulas</vt:lpstr>
      <vt:lpstr>Formulas!_Hlk108188009</vt:lpstr>
    </vt:vector>
  </TitlesOfParts>
  <Manager/>
  <Company>Equity Trustees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Apoorva Sreeramakavacham</dc:creator>
  <cp:keywords/>
  <dc:description/>
  <cp:lastModifiedBy>Apoorva Sreeramakavacham</cp:lastModifiedBy>
  <cp:revision/>
  <dcterms:created xsi:type="dcterms:W3CDTF">2022-07-05T23:15:59Z</dcterms:created>
  <dcterms:modified xsi:type="dcterms:W3CDTF">2022-09-29T05:04:03Z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0x010100B5A6D87667F2A74AA7407AE8F773A90A</vt:lpwstr>
  </property>
  <property fmtid="{D5CDD505-2E9C-101B-9397-08002B2CF9AE}" pid="3" name="MediaServiceImageTags">
    <vt:lpwstr/>
  </property>
</Properties>
</file>