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84" yWindow="336" windowWidth="22644" windowHeight="9228"/>
  </bookViews>
  <sheets>
    <sheet name="Sheet1" sheetId="1" r:id="rId1"/>
    <sheet name="Sheet2" sheetId="2" r:id="rId2"/>
    <sheet name="Sheet3" sheetId="3" r:id="rId3"/>
  </sheets>
  <calcPr calcId="124519"/>
</workbook>
</file>

<file path=xl/calcChain.xml><?xml version="1.0" encoding="utf-8"?>
<calcChain xmlns="http://schemas.openxmlformats.org/spreadsheetml/2006/main">
  <c r="E543" i="1"/>
  <c r="E475"/>
  <c r="E675"/>
  <c r="E677" s="1"/>
  <c r="E658"/>
  <c r="E659" s="1"/>
  <c r="E654"/>
  <c r="E644"/>
  <c r="E637"/>
  <c r="E638" s="1"/>
  <c r="E589"/>
  <c r="E591" s="1"/>
  <c r="E583"/>
  <c r="E584" s="1"/>
  <c r="E579"/>
  <c r="E573"/>
  <c r="E574" s="1"/>
  <c r="E564"/>
  <c r="E556"/>
  <c r="E557" s="1"/>
  <c r="E545"/>
  <c r="E645" s="1"/>
  <c r="E542"/>
  <c r="E491"/>
  <c r="E485"/>
  <c r="E468"/>
  <c r="E451"/>
  <c r="E459"/>
  <c r="E453"/>
  <c r="E465" s="1"/>
  <c r="E440"/>
  <c r="E442" s="1"/>
  <c r="E405"/>
  <c r="E367"/>
  <c r="E330"/>
  <c r="E329"/>
  <c r="E332" s="1"/>
  <c r="E291"/>
  <c r="E292" s="1"/>
  <c r="E268"/>
  <c r="E273" s="1"/>
  <c r="E406" s="1"/>
  <c r="E46"/>
  <c r="E142" s="1"/>
  <c r="E283"/>
  <c r="E262"/>
  <c r="E497" s="1"/>
  <c r="E212"/>
  <c r="E214" s="1"/>
  <c r="E87"/>
  <c r="E61"/>
  <c r="E297"/>
  <c r="E298" s="1"/>
  <c r="E258"/>
  <c r="E257"/>
  <c r="E263" s="1"/>
  <c r="E250"/>
  <c r="E182"/>
  <c r="E143"/>
  <c r="E640" l="1"/>
  <c r="E548"/>
  <c r="E492"/>
  <c r="E626" s="1"/>
  <c r="E558"/>
  <c r="E559" s="1"/>
  <c r="E655" s="1"/>
  <c r="E496"/>
  <c r="E522" s="1"/>
  <c r="E544"/>
  <c r="E498"/>
  <c r="E482"/>
  <c r="E484" s="1"/>
  <c r="E488" s="1"/>
  <c r="E454"/>
  <c r="E450"/>
  <c r="E452" s="1"/>
  <c r="E335"/>
  <c r="E336" s="1"/>
  <c r="E346" s="1"/>
  <c r="E455"/>
  <c r="E404"/>
  <c r="E411" s="1"/>
  <c r="E333"/>
  <c r="E334" s="1"/>
  <c r="E344"/>
  <c r="E366"/>
  <c r="E287"/>
  <c r="E274"/>
  <c r="E368" s="1"/>
  <c r="E52"/>
  <c r="E183" s="1"/>
  <c r="E181"/>
  <c r="E259"/>
  <c r="E276" s="1"/>
  <c r="E331" s="1"/>
  <c r="E299"/>
  <c r="E101"/>
  <c r="E86"/>
  <c r="E89" s="1"/>
  <c r="E75"/>
  <c r="E76" s="1"/>
  <c r="E77" s="1"/>
  <c r="E78" s="1"/>
  <c r="E65"/>
  <c r="E69"/>
  <c r="E70" s="1"/>
  <c r="E51"/>
  <c r="E144" s="1"/>
  <c r="I149" s="1"/>
  <c r="E40"/>
  <c r="E39"/>
  <c r="E32"/>
  <c r="E646" l="1"/>
  <c r="E643"/>
  <c r="E552"/>
  <c r="E550"/>
  <c r="E570" s="1"/>
  <c r="E521"/>
  <c r="E523" s="1"/>
  <c r="E524" s="1"/>
  <c r="E526" s="1"/>
  <c r="E551" s="1"/>
  <c r="E580" s="1"/>
  <c r="F411"/>
  <c r="E456"/>
  <c r="E457" s="1"/>
  <c r="E458" s="1"/>
  <c r="E460" s="1"/>
  <c r="E466" s="1"/>
  <c r="E469" s="1"/>
  <c r="E470" s="1"/>
  <c r="H411"/>
  <c r="G411"/>
  <c r="H149"/>
  <c r="J411"/>
  <c r="I411"/>
  <c r="E337"/>
  <c r="G373"/>
  <c r="H373"/>
  <c r="F373"/>
  <c r="I373"/>
  <c r="J373"/>
  <c r="E373"/>
  <c r="E288"/>
  <c r="E289" s="1"/>
  <c r="E290" s="1"/>
  <c r="G188"/>
  <c r="H188"/>
  <c r="E188"/>
  <c r="F149"/>
  <c r="G149"/>
  <c r="F188"/>
  <c r="E41"/>
  <c r="E54" s="1"/>
  <c r="E88" s="1"/>
  <c r="E149"/>
  <c r="E66"/>
  <c r="E67" s="1"/>
  <c r="E68" s="1"/>
  <c r="E102" s="1"/>
  <c r="E90"/>
  <c r="E91" s="1"/>
  <c r="E92"/>
  <c r="E93" s="1"/>
  <c r="E103" s="1"/>
  <c r="E300"/>
  <c r="E647" l="1"/>
  <c r="E531"/>
  <c r="E627"/>
  <c r="E630" s="1"/>
  <c r="E631" s="1"/>
  <c r="E560"/>
  <c r="E532"/>
  <c r="E527"/>
  <c r="E293"/>
  <c r="E345"/>
  <c r="E347" s="1"/>
  <c r="E301"/>
  <c r="E71"/>
  <c r="E79"/>
  <c r="E104"/>
  <c r="E94"/>
  <c r="E653" l="1"/>
  <c r="E668" s="1"/>
  <c r="E670" s="1"/>
  <c r="E652"/>
  <c r="E302"/>
  <c r="E80"/>
  <c r="E81" s="1"/>
  <c r="E82" s="1"/>
  <c r="E663" l="1"/>
  <c r="E664" s="1"/>
  <c r="E656"/>
  <c r="E303"/>
  <c r="E304" s="1"/>
  <c r="E338"/>
  <c r="E95"/>
  <c r="E105" s="1"/>
  <c r="E106" s="1"/>
  <c r="E107" s="1"/>
  <c r="E339" l="1"/>
  <c r="E340" s="1"/>
  <c r="E348"/>
  <c r="E349" s="1"/>
  <c r="E350" s="1"/>
  <c r="E96"/>
  <c r="E97" s="1"/>
</calcChain>
</file>

<file path=xl/sharedStrings.xml><?xml version="1.0" encoding="utf-8"?>
<sst xmlns="http://schemas.openxmlformats.org/spreadsheetml/2006/main" count="706" uniqueCount="334">
  <si>
    <t>A) Canal:</t>
  </si>
  <si>
    <t>S. No.</t>
  </si>
  <si>
    <t>Description</t>
  </si>
  <si>
    <t>Particulars</t>
  </si>
  <si>
    <t>Units</t>
  </si>
  <si>
    <t>Discharge of the canal</t>
  </si>
  <si>
    <t>Bed width</t>
  </si>
  <si>
    <t>Depth of water</t>
  </si>
  <si>
    <t>Full supply level</t>
  </si>
  <si>
    <t>Bed level</t>
  </si>
  <si>
    <t>Manning's Coefficient, n</t>
  </si>
  <si>
    <t>cumec</t>
  </si>
  <si>
    <t>m</t>
  </si>
  <si>
    <t>B) Drain:</t>
  </si>
  <si>
    <t>High flood level</t>
  </si>
  <si>
    <t>General ground level</t>
  </si>
  <si>
    <t>High flood depth</t>
  </si>
  <si>
    <t>High flood discharge</t>
  </si>
  <si>
    <t>At section 4-4:</t>
  </si>
  <si>
    <t>m/s</t>
  </si>
  <si>
    <t>At section 3-3:</t>
  </si>
  <si>
    <t>Formulas used</t>
  </si>
  <si>
    <t>At section 2-2:</t>
  </si>
  <si>
    <t>At section 1-1:</t>
  </si>
  <si>
    <r>
      <t xml:space="preserve">A) Contraction transition: </t>
    </r>
    <r>
      <rPr>
        <b/>
        <i/>
        <sz val="11"/>
        <color theme="1"/>
        <rFont val="Calibri"/>
        <family val="2"/>
        <scheme val="minor"/>
      </rPr>
      <t>The transition can be designed on the basis of Mitra's Hyperbolic transition equation as-</t>
    </r>
  </si>
  <si>
    <t>where,</t>
  </si>
  <si>
    <t>x= Channel width at any section X-X at a distance x from the flumed section</t>
  </si>
  <si>
    <t>Here,</t>
  </si>
  <si>
    <t>0</t>
  </si>
  <si>
    <t>0.25</t>
  </si>
  <si>
    <t>0.5</t>
  </si>
  <si>
    <t>0.75</t>
  </si>
  <si>
    <t>1</t>
  </si>
  <si>
    <t>x (in metres)</t>
  </si>
  <si>
    <r>
      <t>B</t>
    </r>
    <r>
      <rPr>
        <i/>
        <vertAlign val="subscript"/>
        <sz val="11"/>
        <color theme="1"/>
        <rFont val="Calibri"/>
        <family val="2"/>
        <scheme val="minor"/>
      </rPr>
      <t>n</t>
    </r>
    <r>
      <rPr>
        <i/>
        <sz val="11"/>
        <color theme="1"/>
        <rFont val="Calibri"/>
        <family val="2"/>
        <scheme val="minor"/>
      </rPr>
      <t xml:space="preserve">= Bed width of normal channel section </t>
    </r>
  </si>
  <si>
    <r>
      <t>B</t>
    </r>
    <r>
      <rPr>
        <i/>
        <vertAlign val="subscript"/>
        <sz val="11"/>
        <color theme="1"/>
        <rFont val="Calibri"/>
        <family val="2"/>
        <scheme val="minor"/>
      </rPr>
      <t>f</t>
    </r>
    <r>
      <rPr>
        <i/>
        <sz val="11"/>
        <color theme="1"/>
        <rFont val="Calibri"/>
        <family val="2"/>
        <scheme val="minor"/>
      </rPr>
      <t>= Bed width of flumed channel section</t>
    </r>
  </si>
  <si>
    <r>
      <t>B</t>
    </r>
    <r>
      <rPr>
        <i/>
        <vertAlign val="subscript"/>
        <sz val="11"/>
        <color theme="1"/>
        <rFont val="Calibri"/>
        <family val="2"/>
        <scheme val="minor"/>
      </rPr>
      <t>x</t>
    </r>
    <r>
      <rPr>
        <i/>
        <sz val="11"/>
        <color theme="1"/>
        <rFont val="Calibri"/>
        <family val="2"/>
        <scheme val="minor"/>
      </rPr>
      <t>= Bed width at any distance x from the flumed section</t>
    </r>
  </si>
  <si>
    <r>
      <t>L</t>
    </r>
    <r>
      <rPr>
        <i/>
        <vertAlign val="subscript"/>
        <sz val="11"/>
        <color theme="1"/>
        <rFont val="Calibri"/>
        <family val="2"/>
        <scheme val="minor"/>
      </rPr>
      <t>f</t>
    </r>
    <r>
      <rPr>
        <i/>
        <sz val="11"/>
        <color theme="1"/>
        <rFont val="Calibri"/>
        <family val="2"/>
        <scheme val="minor"/>
      </rPr>
      <t>= Length of transition</t>
    </r>
  </si>
  <si>
    <r>
      <t>B</t>
    </r>
    <r>
      <rPr>
        <vertAlign val="subscript"/>
        <sz val="11"/>
        <color theme="1"/>
        <rFont val="Calibri"/>
        <family val="2"/>
        <scheme val="minor"/>
      </rPr>
      <t>n</t>
    </r>
  </si>
  <si>
    <r>
      <t>B</t>
    </r>
    <r>
      <rPr>
        <vertAlign val="subscript"/>
        <sz val="11"/>
        <color theme="1"/>
        <rFont val="Calibri"/>
        <family val="2"/>
        <scheme val="minor"/>
      </rPr>
      <t>f</t>
    </r>
  </si>
  <si>
    <r>
      <t>L</t>
    </r>
    <r>
      <rPr>
        <vertAlign val="subscript"/>
        <sz val="11"/>
        <color theme="1"/>
        <rFont val="Calibri"/>
        <family val="2"/>
        <scheme val="minor"/>
      </rPr>
      <t>f</t>
    </r>
  </si>
  <si>
    <r>
      <t>B</t>
    </r>
    <r>
      <rPr>
        <b/>
        <vertAlign val="subscript"/>
        <sz val="11"/>
        <color theme="1"/>
        <rFont val="Calibri"/>
        <family val="2"/>
        <scheme val="minor"/>
      </rPr>
      <t>x</t>
    </r>
    <r>
      <rPr>
        <b/>
        <sz val="11"/>
        <color theme="1"/>
        <rFont val="Calibri"/>
        <family val="2"/>
        <scheme val="minor"/>
      </rPr>
      <t xml:space="preserve"> (in metres)</t>
    </r>
  </si>
  <si>
    <t>1.5</t>
  </si>
  <si>
    <t xml:space="preserve">The trough shall be divided into two equal compartments 0.425 m(each) </t>
  </si>
  <si>
    <t>Intermediate wall Thickness of trough</t>
  </si>
  <si>
    <t xml:space="preserve"> Normal water depth</t>
  </si>
  <si>
    <t xml:space="preserve"> Height of the trough </t>
  </si>
  <si>
    <t>The entire trough section will be constructed in monolithic reinforced concrete and can be designed by usual structural method.</t>
  </si>
  <si>
    <t xml:space="preserve"> Freeboard </t>
  </si>
  <si>
    <t xml:space="preserve">Lacey's regime perimeter,  P                        </t>
  </si>
  <si>
    <t xml:space="preserve">Clear span between piers                               </t>
  </si>
  <si>
    <t xml:space="preserve">Pier thickness                                                    </t>
  </si>
  <si>
    <t xml:space="preserve">No. of bays used                                              </t>
  </si>
  <si>
    <t xml:space="preserve">No. of piers used                                             </t>
  </si>
  <si>
    <t xml:space="preserve">Clear waterway                                               </t>
  </si>
  <si>
    <t xml:space="preserve">Length occupied by piers                             </t>
  </si>
  <si>
    <t xml:space="preserve">Total length of waterway                             </t>
  </si>
  <si>
    <t xml:space="preserve">Bed width of canal                                          </t>
  </si>
  <si>
    <t xml:space="preserve">Flumed width                                                   </t>
  </si>
  <si>
    <t xml:space="preserve">Contraction splay                                            </t>
  </si>
  <si>
    <t xml:space="preserve">Expansion splay                                               </t>
  </si>
  <si>
    <t xml:space="preserve">Length of contraction transition                 </t>
  </si>
  <si>
    <t xml:space="preserve">Length of flumed rectangular portion       </t>
  </si>
  <si>
    <t xml:space="preserve">Velocity head                                                   </t>
  </si>
  <si>
    <t xml:space="preserve">R.L. of bed at 4-4                                            </t>
  </si>
  <si>
    <t xml:space="preserve">R.L. of water surface at 4-4                          </t>
  </si>
  <si>
    <t xml:space="preserve">R.L. of T.E.L. at 4-4                                         </t>
  </si>
  <si>
    <r>
      <t>m</t>
    </r>
    <r>
      <rPr>
        <vertAlign val="superscript"/>
        <sz val="11"/>
        <color theme="1"/>
        <rFont val="Calibri"/>
        <family val="2"/>
        <scheme val="minor"/>
      </rPr>
      <t>2</t>
    </r>
  </si>
  <si>
    <r>
      <t>Velocity, V</t>
    </r>
    <r>
      <rPr>
        <vertAlign val="subscript"/>
        <sz val="11"/>
        <color theme="1"/>
        <rFont val="Calibri"/>
        <family val="2"/>
        <scheme val="minor"/>
      </rPr>
      <t xml:space="preserve">4 </t>
    </r>
    <r>
      <rPr>
        <sz val="11"/>
        <color theme="1"/>
        <rFont val="Calibri"/>
        <family val="2"/>
        <scheme val="minor"/>
      </rPr>
      <t xml:space="preserve">                                                      </t>
    </r>
  </si>
  <si>
    <t xml:space="preserve">Loss of head in expansion                             </t>
  </si>
  <si>
    <t xml:space="preserve">R.L. of T.E.L. at 3-3                                         </t>
  </si>
  <si>
    <t xml:space="preserve">R.L. of water surface at 3-3                          </t>
  </si>
  <si>
    <t xml:space="preserve">R.L. of bed at 3-3                                            </t>
  </si>
  <si>
    <t>Rugosity coefficient (n) of concrete trough</t>
  </si>
  <si>
    <t xml:space="preserve">R.L. of T.E.L. at 2-2                                         </t>
  </si>
  <si>
    <t xml:space="preserve">R.L. of water surface at 2-2                          </t>
  </si>
  <si>
    <t xml:space="preserve">R.L. of bed at 2-2                                            </t>
  </si>
  <si>
    <r>
      <t>Velocity, V</t>
    </r>
    <r>
      <rPr>
        <vertAlign val="subscript"/>
        <sz val="11"/>
        <color theme="1"/>
        <rFont val="Calibri"/>
        <family val="2"/>
        <scheme val="minor"/>
      </rPr>
      <t xml:space="preserve">3  </t>
    </r>
    <r>
      <rPr>
        <sz val="11"/>
        <color theme="1"/>
        <rFont val="Calibri"/>
        <family val="2"/>
        <scheme val="minor"/>
      </rPr>
      <t xml:space="preserve">                                                     </t>
    </r>
  </si>
  <si>
    <t xml:space="preserve">Velocity head at 1-1                                        </t>
  </si>
  <si>
    <t xml:space="preserve">Velocity head at 2-2                                        </t>
  </si>
  <si>
    <t xml:space="preserve">Loss of head in contraction                          </t>
  </si>
  <si>
    <t xml:space="preserve">R.L. of T.E.L. at 1-1                                         </t>
  </si>
  <si>
    <t xml:space="preserve">R.L. of water surface at 1-1                          </t>
  </si>
  <si>
    <t xml:space="preserve">R.L. of bed at 1-1                                            </t>
  </si>
  <si>
    <t>A) CANAL:</t>
  </si>
  <si>
    <t>B) DRAIN:</t>
  </si>
  <si>
    <t xml:space="preserve">Height of Rectangular Barrels                      </t>
  </si>
  <si>
    <t xml:space="preserve">Velocity in the Barrels                                   </t>
  </si>
  <si>
    <r>
      <t>Velocity, V</t>
    </r>
    <r>
      <rPr>
        <vertAlign val="subscript"/>
        <sz val="11"/>
        <color theme="1"/>
        <rFont val="Calibri"/>
        <family val="2"/>
        <scheme val="minor"/>
      </rPr>
      <t xml:space="preserve">4 </t>
    </r>
    <r>
      <rPr>
        <sz val="11"/>
        <color theme="1"/>
        <rFont val="Calibri"/>
        <family val="2"/>
        <scheme val="minor"/>
      </rPr>
      <t xml:space="preserve">                                                       </t>
    </r>
  </si>
  <si>
    <r>
      <t>Velocity, V</t>
    </r>
    <r>
      <rPr>
        <vertAlign val="subscript"/>
        <sz val="11"/>
        <color theme="1"/>
        <rFont val="Calibri"/>
        <family val="2"/>
        <scheme val="minor"/>
      </rPr>
      <t xml:space="preserve">3  </t>
    </r>
    <r>
      <rPr>
        <sz val="11"/>
        <color theme="1"/>
        <rFont val="Calibri"/>
        <family val="2"/>
        <scheme val="minor"/>
      </rPr>
      <t xml:space="preserve">                                                     </t>
    </r>
  </si>
  <si>
    <t>At Section 2-2:</t>
  </si>
  <si>
    <t>R.L. of T.E.L at 2-2</t>
  </si>
  <si>
    <t>R.L. of water surface at 2-2</t>
  </si>
  <si>
    <t>R.L of bed (for constant depth of water)</t>
  </si>
  <si>
    <t>R.L. of T.E.L at 1-1</t>
  </si>
  <si>
    <t>R.L. of bed (For constant water depth)</t>
  </si>
  <si>
    <t>Formulas Used</t>
  </si>
  <si>
    <t>Thickness of barrels</t>
  </si>
  <si>
    <t>Total length of Barrels, L</t>
  </si>
  <si>
    <t>Area of the Barrels, A</t>
  </si>
  <si>
    <t>Head loss , h</t>
  </si>
  <si>
    <t>Downstream H.F.L</t>
  </si>
  <si>
    <t>Upstream H.F.L</t>
  </si>
  <si>
    <t>Loss of head at entry</t>
  </si>
  <si>
    <t>Level of the effective head at entry</t>
  </si>
  <si>
    <t>R.L. of the bottom slab</t>
  </si>
  <si>
    <t>Self weight of concrete</t>
  </si>
  <si>
    <r>
      <t>KN/m</t>
    </r>
    <r>
      <rPr>
        <vertAlign val="superscript"/>
        <sz val="11"/>
        <color theme="1"/>
        <rFont val="Calibri"/>
        <family val="2"/>
        <scheme val="minor"/>
      </rPr>
      <t>3</t>
    </r>
  </si>
  <si>
    <t>Self weight of the Slab</t>
  </si>
  <si>
    <r>
      <t>KN/m</t>
    </r>
    <r>
      <rPr>
        <vertAlign val="superscript"/>
        <sz val="11"/>
        <color theme="1"/>
        <rFont val="Calibri"/>
        <family val="2"/>
        <scheme val="minor"/>
      </rPr>
      <t>2</t>
    </r>
  </si>
  <si>
    <t>Static uplift on R.L of the barrel floor</t>
  </si>
  <si>
    <t>Assumed  floor thickness of barrel</t>
  </si>
  <si>
    <t>RL of bottom of floor</t>
  </si>
  <si>
    <t>Bed level of the drain</t>
  </si>
  <si>
    <t>Static uplift on the floor</t>
  </si>
  <si>
    <t>FSL of canal</t>
  </si>
  <si>
    <t xml:space="preserve">Total seepage head </t>
  </si>
  <si>
    <t>Half the barrel span</t>
  </si>
  <si>
    <t>End of the drainage floor from the center of the barrel</t>
  </si>
  <si>
    <t>Total creep length</t>
  </si>
  <si>
    <t>Creep length up to the centre of first barrel</t>
  </si>
  <si>
    <t>Residual seepage head at the point (a)</t>
  </si>
  <si>
    <t>Specific gravity</t>
  </si>
  <si>
    <t>Thickness of the floor</t>
  </si>
  <si>
    <t>Bottom R.L of the barrel floor</t>
  </si>
  <si>
    <t>Since, bed level of drainage floor &lt; Bottom R.L. of barrel floor, there will be no static uplift</t>
  </si>
  <si>
    <t>Total uplift</t>
  </si>
  <si>
    <t>Uplift counter balanced by self-weight of the slab</t>
  </si>
  <si>
    <t>Since, self-weight of the slab is greater than total uplift, therefore, residual uplift will not affect the design.</t>
  </si>
  <si>
    <t xml:space="preserve">In the transition zone the side slope of the channel section will be warped from 1.5:1 to vertical. </t>
  </si>
  <si>
    <t>Trapezoidal Canal Section with side slope</t>
  </si>
  <si>
    <t xml:space="preserve">Side slope of  canal section, Z                                   </t>
  </si>
  <si>
    <t xml:space="preserve">Bed width, B                                                         </t>
  </si>
  <si>
    <t xml:space="preserve">Area of trapezoidal canal section, A                </t>
  </si>
  <si>
    <t>A=(B+Zy)y, where y is depth of water of canal</t>
  </si>
  <si>
    <t>A=By</t>
  </si>
  <si>
    <t xml:space="preserve">Area of channel, A                                               </t>
  </si>
  <si>
    <t xml:space="preserve">Bed width, B                                                          </t>
  </si>
  <si>
    <t xml:space="preserve">Length of trough, L                                              </t>
  </si>
  <si>
    <t xml:space="preserve">Area of trough, A                                                 </t>
  </si>
  <si>
    <t xml:space="preserve">Wetted perimeter, P                                           </t>
  </si>
  <si>
    <t>P=B+2y</t>
  </si>
  <si>
    <t xml:space="preserve">Hydraulic mean depth, R                                   </t>
  </si>
  <si>
    <t>R=A/P</t>
  </si>
  <si>
    <r>
      <t>Velocity in trough, V</t>
    </r>
    <r>
      <rPr>
        <vertAlign val="subscript"/>
        <sz val="11"/>
        <color theme="1"/>
        <rFont val="Calibri"/>
        <family val="2"/>
        <scheme val="minor"/>
      </rPr>
      <t xml:space="preserve">2  </t>
    </r>
    <r>
      <rPr>
        <sz val="11"/>
        <color theme="1"/>
        <rFont val="Calibri"/>
        <family val="2"/>
        <scheme val="minor"/>
      </rPr>
      <t xml:space="preserve">                                         </t>
    </r>
  </si>
  <si>
    <r>
      <t>Friction loss, H</t>
    </r>
    <r>
      <rPr>
        <vertAlign val="subscript"/>
        <sz val="11"/>
        <color theme="1"/>
        <rFont val="Calibri"/>
        <family val="2"/>
        <scheme val="minor"/>
      </rPr>
      <t>L</t>
    </r>
    <r>
      <rPr>
        <sz val="11"/>
        <color theme="1"/>
        <rFont val="Calibri"/>
        <family val="2"/>
        <scheme val="minor"/>
      </rPr>
      <t xml:space="preserve">                                                     </t>
    </r>
  </si>
  <si>
    <r>
      <t>B</t>
    </r>
    <r>
      <rPr>
        <b/>
        <i/>
        <vertAlign val="subscript"/>
        <sz val="11"/>
        <color theme="1"/>
        <rFont val="Calibri"/>
        <family val="2"/>
        <scheme val="minor"/>
      </rPr>
      <t>x</t>
    </r>
    <r>
      <rPr>
        <b/>
        <i/>
        <sz val="11"/>
        <color theme="1"/>
        <rFont val="Calibri"/>
        <family val="2"/>
        <scheme val="minor"/>
      </rPr>
      <t>=(B</t>
    </r>
    <r>
      <rPr>
        <b/>
        <i/>
        <vertAlign val="subscript"/>
        <sz val="11"/>
        <color theme="1"/>
        <rFont val="Calibri"/>
        <family val="2"/>
        <scheme val="minor"/>
      </rPr>
      <t>n</t>
    </r>
    <r>
      <rPr>
        <b/>
        <i/>
        <sz val="11"/>
        <color theme="1"/>
        <rFont val="Calibri"/>
        <family val="2"/>
        <scheme val="minor"/>
      </rPr>
      <t>*B</t>
    </r>
    <r>
      <rPr>
        <b/>
        <i/>
        <vertAlign val="subscript"/>
        <sz val="11"/>
        <color theme="1"/>
        <rFont val="Calibri"/>
        <family val="2"/>
        <scheme val="minor"/>
      </rPr>
      <t>f</t>
    </r>
    <r>
      <rPr>
        <b/>
        <i/>
        <sz val="11"/>
        <color theme="1"/>
        <rFont val="Calibri"/>
        <family val="2"/>
        <scheme val="minor"/>
      </rPr>
      <t>*L</t>
    </r>
    <r>
      <rPr>
        <b/>
        <i/>
        <vertAlign val="subscript"/>
        <sz val="11"/>
        <color theme="1"/>
        <rFont val="Calibri"/>
        <family val="2"/>
        <scheme val="minor"/>
      </rPr>
      <t>f</t>
    </r>
    <r>
      <rPr>
        <b/>
        <i/>
        <sz val="11"/>
        <color theme="1"/>
        <rFont val="Calibri"/>
        <family val="2"/>
        <scheme val="minor"/>
      </rPr>
      <t>)/[(L</t>
    </r>
    <r>
      <rPr>
        <b/>
        <i/>
        <vertAlign val="subscript"/>
        <sz val="11"/>
        <color theme="1"/>
        <rFont val="Calibri"/>
        <family val="2"/>
        <scheme val="minor"/>
      </rPr>
      <t>f</t>
    </r>
    <r>
      <rPr>
        <b/>
        <i/>
        <sz val="11"/>
        <color theme="1"/>
        <rFont val="Calibri"/>
        <family val="2"/>
        <scheme val="minor"/>
      </rPr>
      <t>*B</t>
    </r>
    <r>
      <rPr>
        <b/>
        <i/>
        <vertAlign val="subscript"/>
        <sz val="11"/>
        <color theme="1"/>
        <rFont val="Calibri"/>
        <family val="2"/>
        <scheme val="minor"/>
      </rPr>
      <t>n</t>
    </r>
    <r>
      <rPr>
        <b/>
        <i/>
        <sz val="11"/>
        <color theme="1"/>
        <rFont val="Calibri"/>
        <family val="2"/>
        <scheme val="minor"/>
      </rPr>
      <t>)-x*(B</t>
    </r>
    <r>
      <rPr>
        <b/>
        <i/>
        <vertAlign val="subscript"/>
        <sz val="11"/>
        <color theme="1"/>
        <rFont val="Calibri"/>
        <family val="2"/>
        <scheme val="minor"/>
      </rPr>
      <t>n</t>
    </r>
    <r>
      <rPr>
        <b/>
        <i/>
        <sz val="11"/>
        <color theme="1"/>
        <rFont val="Calibri"/>
        <family val="2"/>
        <scheme val="minor"/>
      </rPr>
      <t>-B</t>
    </r>
    <r>
      <rPr>
        <b/>
        <i/>
        <vertAlign val="subscript"/>
        <sz val="11"/>
        <color theme="1"/>
        <rFont val="Calibri"/>
        <family val="2"/>
        <scheme val="minor"/>
      </rPr>
      <t>f</t>
    </r>
    <r>
      <rPr>
        <b/>
        <i/>
        <sz val="11"/>
        <color theme="1"/>
        <rFont val="Calibri"/>
        <family val="2"/>
        <scheme val="minor"/>
      </rPr>
      <t>)]</t>
    </r>
  </si>
  <si>
    <t xml:space="preserve">Width of rectangular barrels  used               </t>
  </si>
  <si>
    <t xml:space="preserve">Length of expansion transition                </t>
  </si>
  <si>
    <t xml:space="preserve">Side slope of canal section, Z                                   </t>
  </si>
  <si>
    <t xml:space="preserve">Area of trapezoidal canal section, A                 </t>
  </si>
  <si>
    <t xml:space="preserve">Area of channel, A                                              </t>
  </si>
  <si>
    <t>R.L. of water surface at 1-1</t>
  </si>
  <si>
    <r>
      <t xml:space="preserve">A) Expansion transition: </t>
    </r>
    <r>
      <rPr>
        <b/>
        <i/>
        <sz val="11"/>
        <color theme="1"/>
        <rFont val="Calibri"/>
        <family val="2"/>
        <scheme val="minor"/>
      </rPr>
      <t>The transition can be designed on the basis of R.S. Chaturvedi formula as-</t>
    </r>
  </si>
  <si>
    <t>X= Channel width at any section X-X at a distance X from the flumed section</t>
  </si>
  <si>
    <r>
      <t>B</t>
    </r>
    <r>
      <rPr>
        <i/>
        <vertAlign val="subscript"/>
        <sz val="11"/>
        <color theme="1"/>
        <rFont val="Calibri"/>
        <family val="2"/>
        <scheme val="minor"/>
      </rPr>
      <t>c</t>
    </r>
    <r>
      <rPr>
        <i/>
        <sz val="11"/>
        <color theme="1"/>
        <rFont val="Calibri"/>
        <family val="2"/>
        <scheme val="minor"/>
      </rPr>
      <t xml:space="preserve">= Bed width of normal channel section </t>
    </r>
  </si>
  <si>
    <t>L= Length of transition</t>
  </si>
  <si>
    <r>
      <t>B</t>
    </r>
    <r>
      <rPr>
        <vertAlign val="subscript"/>
        <sz val="11"/>
        <color theme="1"/>
        <rFont val="Calibri"/>
        <family val="2"/>
        <scheme val="minor"/>
      </rPr>
      <t>c</t>
    </r>
  </si>
  <si>
    <t>L</t>
  </si>
  <si>
    <t>Table-4.1: Width of canal in different sections in contraction transition</t>
  </si>
  <si>
    <t>Table-4.2: Width of canal in different sections in expansion transition</t>
  </si>
  <si>
    <t>2</t>
  </si>
  <si>
    <t>X (in metres)</t>
  </si>
  <si>
    <r>
      <t>X=(L*B</t>
    </r>
    <r>
      <rPr>
        <b/>
        <i/>
        <vertAlign val="subscript"/>
        <sz val="11"/>
        <color theme="1"/>
        <rFont val="Calibri"/>
        <family val="2"/>
        <scheme val="minor"/>
      </rPr>
      <t>c</t>
    </r>
    <r>
      <rPr>
        <b/>
        <i/>
        <vertAlign val="superscript"/>
        <sz val="11"/>
        <color theme="1"/>
        <rFont val="Calibri"/>
        <family val="2"/>
        <scheme val="minor"/>
      </rPr>
      <t>3/2</t>
    </r>
    <r>
      <rPr>
        <b/>
        <i/>
        <sz val="11"/>
        <color theme="1"/>
        <rFont val="Calibri"/>
        <family val="2"/>
        <scheme val="minor"/>
      </rPr>
      <t>)/(B</t>
    </r>
    <r>
      <rPr>
        <b/>
        <i/>
        <vertAlign val="subscript"/>
        <sz val="11"/>
        <color theme="1"/>
        <rFont val="Calibri"/>
        <family val="2"/>
        <scheme val="minor"/>
      </rPr>
      <t>c</t>
    </r>
    <r>
      <rPr>
        <b/>
        <i/>
        <vertAlign val="superscript"/>
        <sz val="11"/>
        <color theme="1"/>
        <rFont val="Calibri"/>
        <family val="2"/>
        <scheme val="minor"/>
      </rPr>
      <t>3/2</t>
    </r>
    <r>
      <rPr>
        <b/>
        <i/>
        <sz val="11"/>
        <color theme="1"/>
        <rFont val="Calibri"/>
        <family val="2"/>
        <scheme val="minor"/>
      </rPr>
      <t>-B</t>
    </r>
    <r>
      <rPr>
        <b/>
        <i/>
        <vertAlign val="subscript"/>
        <sz val="11"/>
        <color theme="1"/>
        <rFont val="Calibri"/>
        <family val="2"/>
        <scheme val="minor"/>
      </rPr>
      <t>f</t>
    </r>
    <r>
      <rPr>
        <b/>
        <i/>
        <vertAlign val="superscript"/>
        <sz val="11"/>
        <color theme="1"/>
        <rFont val="Calibri"/>
        <family val="2"/>
        <scheme val="minor"/>
      </rPr>
      <t>3/2</t>
    </r>
    <r>
      <rPr>
        <b/>
        <i/>
        <sz val="11"/>
        <color theme="1"/>
        <rFont val="Calibri"/>
        <family val="2"/>
        <scheme val="minor"/>
      </rPr>
      <t>)*[1-(B</t>
    </r>
    <r>
      <rPr>
        <b/>
        <i/>
        <vertAlign val="subscript"/>
        <sz val="11"/>
        <color theme="1"/>
        <rFont val="Calibri"/>
        <family val="2"/>
        <scheme val="minor"/>
      </rPr>
      <t>f</t>
    </r>
    <r>
      <rPr>
        <b/>
        <i/>
        <sz val="11"/>
        <color theme="1"/>
        <rFont val="Calibri"/>
        <family val="2"/>
        <scheme val="minor"/>
      </rPr>
      <t>/B</t>
    </r>
    <r>
      <rPr>
        <b/>
        <i/>
        <vertAlign val="subscript"/>
        <sz val="11"/>
        <color theme="1"/>
        <rFont val="Calibri"/>
        <family val="2"/>
        <scheme val="minor"/>
      </rPr>
      <t>x</t>
    </r>
    <r>
      <rPr>
        <b/>
        <i/>
        <sz val="11"/>
        <color theme="1"/>
        <rFont val="Calibri"/>
        <family val="2"/>
        <scheme val="minor"/>
      </rPr>
      <t>)</t>
    </r>
    <r>
      <rPr>
        <b/>
        <i/>
        <vertAlign val="superscript"/>
        <sz val="11"/>
        <color theme="1"/>
        <rFont val="Calibri"/>
        <family val="2"/>
        <scheme val="minor"/>
      </rPr>
      <t>3/2</t>
    </r>
    <r>
      <rPr>
        <b/>
        <i/>
        <sz val="11"/>
        <color theme="1"/>
        <rFont val="Calibri"/>
        <family val="2"/>
        <scheme val="minor"/>
      </rPr>
      <t>]</t>
    </r>
  </si>
  <si>
    <t>Bx (in metres)</t>
  </si>
  <si>
    <t>1.2</t>
  </si>
  <si>
    <t>1.4</t>
  </si>
  <si>
    <t>1.6</t>
  </si>
  <si>
    <t>1.8</t>
  </si>
  <si>
    <r>
      <t>B</t>
    </r>
    <r>
      <rPr>
        <i/>
        <vertAlign val="subscript"/>
        <sz val="11"/>
        <color theme="1"/>
        <rFont val="Calibri"/>
        <family val="2"/>
        <scheme val="minor"/>
      </rPr>
      <t>x</t>
    </r>
    <r>
      <rPr>
        <i/>
        <sz val="11"/>
        <color theme="1"/>
        <rFont val="Calibri"/>
        <family val="2"/>
        <scheme val="minor"/>
      </rPr>
      <t>= Bed width at any distance X from the flumed section</t>
    </r>
  </si>
  <si>
    <t>Table-5.1: Width of canal in different sections in expansion transition</t>
  </si>
  <si>
    <t>Table-5.2: Width of canal in different sections in contraction transition</t>
  </si>
  <si>
    <r>
      <t xml:space="preserve">B) Contraction transition: </t>
    </r>
    <r>
      <rPr>
        <b/>
        <i/>
        <sz val="11"/>
        <color theme="1"/>
        <rFont val="Calibri"/>
        <family val="2"/>
        <scheme val="minor"/>
      </rPr>
      <t>The transition can be designed on the basis of R.S. Chaturvedi formula as-</t>
    </r>
  </si>
  <si>
    <r>
      <t xml:space="preserve">B) Expansion transition: </t>
    </r>
    <r>
      <rPr>
        <b/>
        <i/>
        <sz val="11"/>
        <color theme="1"/>
        <rFont val="Calibri"/>
        <family val="2"/>
        <scheme val="minor"/>
      </rPr>
      <t>The transition can be designed on the basis of Mitra's Hyperbolic transition equation as-</t>
    </r>
  </si>
  <si>
    <t>Normal water depth</t>
  </si>
  <si>
    <t xml:space="preserve">Freeboard </t>
  </si>
  <si>
    <t xml:space="preserve">Height of the trough </t>
  </si>
  <si>
    <t>Velocity in barrel, V</t>
  </si>
  <si>
    <t>Length of the barrels, l</t>
  </si>
  <si>
    <t>Perimeter of the Barrels, P</t>
  </si>
  <si>
    <r>
      <t>Co-efficient which accounts for friction in the barrel, f</t>
    </r>
    <r>
      <rPr>
        <vertAlign val="subscript"/>
        <sz val="11"/>
        <color theme="1"/>
        <rFont val="Calibri"/>
        <family val="2"/>
        <scheme val="minor"/>
      </rPr>
      <t>2</t>
    </r>
  </si>
  <si>
    <r>
      <t>Co-efficient for loss of head at entry  (for
unshaped mouth), f</t>
    </r>
    <r>
      <rPr>
        <vertAlign val="subscript"/>
        <sz val="11"/>
        <color theme="1"/>
        <rFont val="Calibri"/>
        <family val="2"/>
        <scheme val="minor"/>
      </rPr>
      <t>1</t>
    </r>
  </si>
  <si>
    <t>Slab thickness</t>
  </si>
  <si>
    <t>Hydraulic mean depth, R</t>
  </si>
  <si>
    <t>Uplift on roof</t>
  </si>
  <si>
    <t>Uplift pressure</t>
  </si>
  <si>
    <t xml:space="preserve">The trough shall be divided into two equal compartments 0.425 m(each). </t>
  </si>
  <si>
    <t xml:space="preserve">In empty trough condition, only the self-weight of the slab will counter balance the uplift. </t>
  </si>
  <si>
    <t>If the self weight is less than the uplift, it has to be resisted by the bending strength of the roof slab for which necessary reinforcement shall be provided on the top side of the slab.</t>
  </si>
  <si>
    <t>Seepage head will be maximum where the canal is running full and the drain is dry.</t>
  </si>
  <si>
    <t>Assuming the subsoil water level up to the bed level of drain,</t>
  </si>
  <si>
    <t>Residual seepage head at point ‘a’ in the center of the first barrel has been calculated by Bligh’s theory. The seepage line would follow the path indicated by the line xay.</t>
  </si>
  <si>
    <t xml:space="preserve">Upstream transition length of canal with pucca floor </t>
  </si>
  <si>
    <t>Weight of water</t>
  </si>
  <si>
    <t>Self weight of slab</t>
  </si>
  <si>
    <t>Load acting downward due to weight of water and self weight of slab</t>
  </si>
  <si>
    <t>Clear span of the trough</t>
  </si>
  <si>
    <t>Thickness of the two side walls</t>
  </si>
  <si>
    <t>Effective span of trough slab</t>
  </si>
  <si>
    <t xml:space="preserve">Maximum sagging moment in the slab </t>
  </si>
  <si>
    <t>Ncm</t>
  </si>
  <si>
    <t>Maximum hogging moment in the slab</t>
  </si>
  <si>
    <t>Maximum shear force</t>
  </si>
  <si>
    <t>Width of strip of slab considered</t>
  </si>
  <si>
    <t>N</t>
  </si>
  <si>
    <t>Concrete grade used</t>
  </si>
  <si>
    <t>M15</t>
  </si>
  <si>
    <r>
      <t xml:space="preserve">Bending compressive stress, </t>
    </r>
    <r>
      <rPr>
        <sz val="11"/>
        <color theme="1"/>
        <rFont val="Calibri"/>
        <family val="2"/>
      </rPr>
      <t>σ</t>
    </r>
    <r>
      <rPr>
        <vertAlign val="subscript"/>
        <sz val="11"/>
        <color theme="1"/>
        <rFont val="Calibri"/>
        <family val="2"/>
      </rPr>
      <t>cbc</t>
    </r>
  </si>
  <si>
    <r>
      <t>N/mm</t>
    </r>
    <r>
      <rPr>
        <vertAlign val="superscript"/>
        <sz val="11"/>
        <color theme="1"/>
        <rFont val="Calibri"/>
        <family val="2"/>
        <scheme val="minor"/>
      </rPr>
      <t>2</t>
    </r>
  </si>
  <si>
    <r>
      <t xml:space="preserve">Permissible tensile stress, </t>
    </r>
    <r>
      <rPr>
        <sz val="11"/>
        <color theme="1"/>
        <rFont val="Calibri"/>
        <family val="2"/>
      </rPr>
      <t>σ</t>
    </r>
    <r>
      <rPr>
        <vertAlign val="subscript"/>
        <sz val="11"/>
        <color theme="1"/>
        <rFont val="Calibri"/>
        <family val="2"/>
      </rPr>
      <t>st</t>
    </r>
  </si>
  <si>
    <t>Modular ratio, m</t>
  </si>
  <si>
    <t>K</t>
  </si>
  <si>
    <t>j</t>
  </si>
  <si>
    <t>j=1-(K/3)</t>
  </si>
  <si>
    <t>Q</t>
  </si>
  <si>
    <t>Effective depth, d</t>
  </si>
  <si>
    <t>mm</t>
  </si>
  <si>
    <t>Overall thickness provided</t>
  </si>
  <si>
    <t>cm</t>
  </si>
  <si>
    <t>Diameter of bar at bottom part provided</t>
  </si>
  <si>
    <t>Clear cover provided</t>
  </si>
  <si>
    <r>
      <t>Area of reinforcement required at bottom part, A</t>
    </r>
    <r>
      <rPr>
        <vertAlign val="subscript"/>
        <sz val="11"/>
        <color theme="1"/>
        <rFont val="Calibri"/>
        <family val="2"/>
        <scheme val="minor"/>
      </rPr>
      <t>st</t>
    </r>
  </si>
  <si>
    <r>
      <t>Characteristic strength of reinforcement, f</t>
    </r>
    <r>
      <rPr>
        <vertAlign val="subscript"/>
        <sz val="11"/>
        <color theme="1"/>
        <rFont val="Calibri"/>
        <family val="2"/>
        <scheme val="minor"/>
      </rPr>
      <t>y</t>
    </r>
  </si>
  <si>
    <r>
      <t>Characteristic compressive strength of concrete, f</t>
    </r>
    <r>
      <rPr>
        <vertAlign val="subscript"/>
        <sz val="11"/>
        <color theme="1"/>
        <rFont val="Calibri"/>
        <family val="2"/>
        <scheme val="minor"/>
      </rPr>
      <t>ck</t>
    </r>
  </si>
  <si>
    <r>
      <t>mm</t>
    </r>
    <r>
      <rPr>
        <vertAlign val="superscript"/>
        <sz val="11"/>
        <color theme="1"/>
        <rFont val="Calibri"/>
        <family val="2"/>
        <scheme val="minor"/>
      </rPr>
      <t>2</t>
    </r>
  </si>
  <si>
    <t>Minimum reinforcement provided should be 0.3% of gross area.</t>
  </si>
  <si>
    <t>Here, 119 mm &gt; 54.5 mm.     (OK)</t>
  </si>
  <si>
    <t>Reinforcement provided</t>
  </si>
  <si>
    <r>
      <t>Area of reinforcement required at top part, A</t>
    </r>
    <r>
      <rPr>
        <vertAlign val="subscript"/>
        <sz val="11"/>
        <color theme="1"/>
        <rFont val="Calibri"/>
        <family val="2"/>
        <scheme val="minor"/>
      </rPr>
      <t>st</t>
    </r>
  </si>
  <si>
    <t>Diameter of bar at top part provided</t>
  </si>
  <si>
    <t>As per minimum requirement, let us provide 0.15% of gross area.</t>
  </si>
  <si>
    <t>Reinforcement area required</t>
  </si>
  <si>
    <r>
      <t xml:space="preserve">Spacing between 12 mm </t>
    </r>
    <r>
      <rPr>
        <sz val="11"/>
        <color theme="1"/>
        <rFont val="Calibri"/>
        <family val="2"/>
      </rPr>
      <t>ɸ</t>
    </r>
    <r>
      <rPr>
        <sz val="11"/>
        <color theme="1"/>
        <rFont val="Calibri"/>
        <family val="2"/>
        <scheme val="minor"/>
      </rPr>
      <t xml:space="preserve"> bars</t>
    </r>
  </si>
  <si>
    <r>
      <t xml:space="preserve">Spacing between 10 mm </t>
    </r>
    <r>
      <rPr>
        <sz val="11"/>
        <color theme="1"/>
        <rFont val="Calibri"/>
        <family val="2"/>
      </rPr>
      <t>ɸ</t>
    </r>
    <r>
      <rPr>
        <sz val="11"/>
        <color theme="1"/>
        <rFont val="Calibri"/>
        <family val="2"/>
        <scheme val="minor"/>
      </rPr>
      <t xml:space="preserve"> bars</t>
    </r>
  </si>
  <si>
    <t>Minimum distribution reinforcement is 0.15% of gross area.</t>
  </si>
  <si>
    <t>Minimum distribution reinforcement</t>
  </si>
  <si>
    <r>
      <t xml:space="preserve">Spacing between 8 mm </t>
    </r>
    <r>
      <rPr>
        <sz val="11"/>
        <color theme="1"/>
        <rFont val="Calibri"/>
        <family val="2"/>
      </rPr>
      <t>ɸ</t>
    </r>
    <r>
      <rPr>
        <sz val="11"/>
        <color theme="1"/>
        <rFont val="Calibri"/>
        <family val="2"/>
        <scheme val="minor"/>
      </rPr>
      <t xml:space="preserve"> bars</t>
    </r>
  </si>
  <si>
    <r>
      <t xml:space="preserve">For the side walls, fillet bars are provided as 10 mm </t>
    </r>
    <r>
      <rPr>
        <b/>
        <i/>
        <sz val="11"/>
        <color theme="1"/>
        <rFont val="Calibri"/>
        <family val="2"/>
      </rPr>
      <t>ɸ bar @ 200 mm c/c distance.</t>
    </r>
  </si>
  <si>
    <t>Design seepage head</t>
  </si>
  <si>
    <t>Residual seepage head at the end of RCC floor</t>
  </si>
  <si>
    <t xml:space="preserve">Assuming the thickness of gravity floor as 0.4m, </t>
  </si>
  <si>
    <t>Total uplift on the gravity floor</t>
  </si>
  <si>
    <t>Thickness of floor required</t>
  </si>
  <si>
    <t>Here, 0.386 m &lt; 0.4 m.     (OK)</t>
  </si>
  <si>
    <t>Hence, we provide 0.4 m thick gravity floor on the remainage length on both the upstream as well as downstream of the RCC floor.</t>
  </si>
  <si>
    <t>Clear span between the piers</t>
  </si>
  <si>
    <t>Centre to centre distance of the piers</t>
  </si>
  <si>
    <t>Thickness of RCC floor assumed</t>
  </si>
  <si>
    <t>Effective span of the floor</t>
  </si>
  <si>
    <t>Weight of slab</t>
  </si>
  <si>
    <t>Considering 1 m length for load transfer through pier,</t>
  </si>
  <si>
    <t>Thickness of slab</t>
  </si>
  <si>
    <t>KN</t>
  </si>
  <si>
    <t>Weight of two side beam wall</t>
  </si>
  <si>
    <t>Weight of contained water</t>
  </si>
  <si>
    <t>Dead load of pier</t>
  </si>
  <si>
    <t>Total load per meter run through pier</t>
  </si>
  <si>
    <t>KN/m</t>
  </si>
  <si>
    <r>
      <t>Theoretically, the maximum moments at the ends and at the middle are equal to (wl</t>
    </r>
    <r>
      <rPr>
        <b/>
        <i/>
        <vertAlign val="superscript"/>
        <sz val="11"/>
        <color theme="1"/>
        <rFont val="Calibri"/>
        <family val="2"/>
        <scheme val="minor"/>
      </rPr>
      <t>2</t>
    </r>
    <r>
      <rPr>
        <b/>
        <i/>
        <sz val="11"/>
        <color theme="1"/>
        <rFont val="Calibri"/>
        <family val="2"/>
        <scheme val="minor"/>
      </rPr>
      <t>/12) and (wl</t>
    </r>
    <r>
      <rPr>
        <b/>
        <i/>
        <vertAlign val="superscript"/>
        <sz val="11"/>
        <color theme="1"/>
        <rFont val="Calibri"/>
        <family val="2"/>
        <scheme val="minor"/>
      </rPr>
      <t>2</t>
    </r>
    <r>
      <rPr>
        <b/>
        <i/>
        <sz val="11"/>
        <color theme="1"/>
        <rFont val="Calibri"/>
        <family val="2"/>
        <scheme val="minor"/>
      </rPr>
      <t>/24) respectively.</t>
    </r>
  </si>
  <si>
    <r>
      <t>But, for the design purpose these moments have been taken as (wl</t>
    </r>
    <r>
      <rPr>
        <b/>
        <i/>
        <vertAlign val="superscript"/>
        <sz val="11"/>
        <color theme="1"/>
        <rFont val="Calibri"/>
        <family val="2"/>
        <scheme val="minor"/>
      </rPr>
      <t>2</t>
    </r>
    <r>
      <rPr>
        <b/>
        <i/>
        <sz val="11"/>
        <color theme="1"/>
        <rFont val="Calibri"/>
        <family val="2"/>
        <scheme val="minor"/>
      </rPr>
      <t>/10) at the ends and (wl</t>
    </r>
    <r>
      <rPr>
        <b/>
        <i/>
        <vertAlign val="superscript"/>
        <sz val="11"/>
        <color theme="1"/>
        <rFont val="Calibri"/>
        <family val="2"/>
        <scheme val="minor"/>
      </rPr>
      <t>2</t>
    </r>
    <r>
      <rPr>
        <b/>
        <i/>
        <sz val="11"/>
        <color theme="1"/>
        <rFont val="Calibri"/>
        <family val="2"/>
        <scheme val="minor"/>
      </rPr>
      <t>/20) at the middle.</t>
    </r>
  </si>
  <si>
    <t>Maximum hogging moments at ends</t>
  </si>
  <si>
    <t>KNm</t>
  </si>
  <si>
    <t>Maximum sagging moments at middle</t>
  </si>
  <si>
    <t>Effective depth required, d</t>
  </si>
  <si>
    <t>Clear cover</t>
  </si>
  <si>
    <t>Here, 469 mm &gt; 453.80 mm.     (OK)</t>
  </si>
  <si>
    <r>
      <t xml:space="preserve">Hence, we provide 12 mm </t>
    </r>
    <r>
      <rPr>
        <b/>
        <i/>
        <sz val="11"/>
        <color theme="1"/>
        <rFont val="Calibri"/>
        <family val="2"/>
      </rPr>
      <t>ɸ bars @ 80 mm c/c distance at the bottom of the floor.</t>
    </r>
  </si>
  <si>
    <r>
      <t xml:space="preserve">Hence, we provide 8 mm </t>
    </r>
    <r>
      <rPr>
        <b/>
        <i/>
        <sz val="11"/>
        <color theme="1"/>
        <rFont val="Calibri"/>
        <family val="2"/>
      </rPr>
      <t>ɸ bars @ 200 mm c/c distance as distributary reinforcement both at top as well as at bottom.</t>
    </r>
  </si>
  <si>
    <r>
      <t xml:space="preserve">Hence, we provide 10 mm </t>
    </r>
    <r>
      <rPr>
        <b/>
        <i/>
        <sz val="11"/>
        <color theme="1"/>
        <rFont val="Calibri"/>
        <family val="2"/>
      </rPr>
      <t>ɸ bars @ 300 mm c/c distance at the top part of the slab.</t>
    </r>
  </si>
  <si>
    <r>
      <t xml:space="preserve">Hence, we provide 12 mm </t>
    </r>
    <r>
      <rPr>
        <b/>
        <i/>
        <sz val="11"/>
        <color theme="1"/>
        <rFont val="Calibri"/>
        <family val="2"/>
      </rPr>
      <t>ɸ bars @ 200 mm c/c distance at the bottom part of the slab.</t>
    </r>
  </si>
  <si>
    <t>Area of reinforcement for hogging moment, Ast</t>
  </si>
  <si>
    <t>Area of reinforcement for sagging moment, Ast</t>
  </si>
  <si>
    <t>Diameter of bars provided</t>
  </si>
  <si>
    <r>
      <t xml:space="preserve">Spacing between 10 mm </t>
    </r>
    <r>
      <rPr>
        <sz val="11"/>
        <color theme="1"/>
        <rFont val="Calibri"/>
        <family val="2"/>
      </rPr>
      <t>ɸ bars</t>
    </r>
  </si>
  <si>
    <r>
      <t xml:space="preserve">Hence, we provide 10 mm </t>
    </r>
    <r>
      <rPr>
        <b/>
        <i/>
        <sz val="11"/>
        <color theme="1"/>
        <rFont val="Calibri"/>
        <family val="2"/>
      </rPr>
      <t>ɸ bars @ 100 mm c/c distance at the top portion of the floor.</t>
    </r>
  </si>
  <si>
    <t>Distribution reinforcement is 0.15% of gross area.</t>
  </si>
  <si>
    <t>Distribution reinforcement</t>
  </si>
  <si>
    <t>Diameter of bars provided as distributary reinforcement</t>
  </si>
  <si>
    <r>
      <t xml:space="preserve">Spacing between 8 mm </t>
    </r>
    <r>
      <rPr>
        <sz val="11"/>
        <color theme="1"/>
        <rFont val="Calibri"/>
        <family val="2"/>
      </rPr>
      <t>ɸ bars</t>
    </r>
  </si>
  <si>
    <r>
      <t xml:space="preserve">Hence, we provide 8 mm </t>
    </r>
    <r>
      <rPr>
        <b/>
        <i/>
        <sz val="11"/>
        <color theme="1"/>
        <rFont val="Calibri"/>
        <family val="2"/>
      </rPr>
      <t>ɸ bars @ 50 mm c/c distance as distributary reinforcement.</t>
    </r>
  </si>
  <si>
    <r>
      <t>P=4.8</t>
    </r>
    <r>
      <rPr>
        <i/>
        <sz val="11"/>
        <color theme="1"/>
        <rFont val="Calibri"/>
        <family val="2"/>
      </rPr>
      <t>√Q, where Q=High flood discharge of drain</t>
    </r>
  </si>
  <si>
    <r>
      <t>V</t>
    </r>
    <r>
      <rPr>
        <i/>
        <vertAlign val="subscript"/>
        <sz val="11"/>
        <color theme="1"/>
        <rFont val="Calibri"/>
        <family val="2"/>
        <scheme val="minor"/>
      </rPr>
      <t xml:space="preserve">4 </t>
    </r>
    <r>
      <rPr>
        <i/>
        <sz val="11"/>
        <color theme="1"/>
        <rFont val="Calibri"/>
        <family val="2"/>
        <scheme val="minor"/>
      </rPr>
      <t>=Q/A</t>
    </r>
  </si>
  <si>
    <r>
      <t>Velocity head = V</t>
    </r>
    <r>
      <rPr>
        <i/>
        <vertAlign val="subscript"/>
        <sz val="11"/>
        <color theme="1"/>
        <rFont val="Calibri"/>
        <family val="2"/>
        <scheme val="minor"/>
      </rPr>
      <t>4</t>
    </r>
    <r>
      <rPr>
        <i/>
        <vertAlign val="superscript"/>
        <sz val="11"/>
        <color theme="1"/>
        <rFont val="Calibri"/>
        <family val="2"/>
        <scheme val="minor"/>
      </rPr>
      <t>2</t>
    </r>
    <r>
      <rPr>
        <i/>
        <sz val="11"/>
        <color theme="1"/>
        <rFont val="Calibri"/>
        <family val="2"/>
        <scheme val="minor"/>
      </rPr>
      <t>/2g</t>
    </r>
  </si>
  <si>
    <r>
      <t>V</t>
    </r>
    <r>
      <rPr>
        <i/>
        <vertAlign val="subscript"/>
        <sz val="11"/>
        <color theme="1"/>
        <rFont val="Calibri"/>
        <family val="2"/>
        <scheme val="minor"/>
      </rPr>
      <t>3</t>
    </r>
    <r>
      <rPr>
        <i/>
        <sz val="11"/>
        <color theme="1"/>
        <rFont val="Calibri"/>
        <family val="2"/>
        <scheme val="minor"/>
      </rPr>
      <t>=Q/A</t>
    </r>
  </si>
  <si>
    <r>
      <t>Velocity head = V</t>
    </r>
    <r>
      <rPr>
        <i/>
        <vertAlign val="subscript"/>
        <sz val="11"/>
        <color theme="1"/>
        <rFont val="Calibri"/>
        <family val="2"/>
        <scheme val="minor"/>
      </rPr>
      <t>3</t>
    </r>
    <r>
      <rPr>
        <i/>
        <vertAlign val="superscript"/>
        <sz val="11"/>
        <color theme="1"/>
        <rFont val="Calibri"/>
        <family val="2"/>
        <scheme val="minor"/>
      </rPr>
      <t>2</t>
    </r>
    <r>
      <rPr>
        <i/>
        <sz val="11"/>
        <color theme="1"/>
        <rFont val="Calibri"/>
        <family val="2"/>
        <scheme val="minor"/>
      </rPr>
      <t>/2g</t>
    </r>
  </si>
  <si>
    <r>
      <t>Loss of head=0.3[(V</t>
    </r>
    <r>
      <rPr>
        <i/>
        <vertAlign val="subscript"/>
        <sz val="11"/>
        <color theme="1"/>
        <rFont val="Calibri"/>
        <family val="2"/>
        <scheme val="minor"/>
      </rPr>
      <t>3</t>
    </r>
    <r>
      <rPr>
        <i/>
        <vertAlign val="superscript"/>
        <sz val="11"/>
        <color theme="1"/>
        <rFont val="Calibri"/>
        <family val="2"/>
        <scheme val="minor"/>
      </rPr>
      <t>2</t>
    </r>
    <r>
      <rPr>
        <i/>
        <sz val="11"/>
        <color theme="1"/>
        <rFont val="Calibri"/>
        <family val="2"/>
        <scheme val="minor"/>
      </rPr>
      <t>-V</t>
    </r>
    <r>
      <rPr>
        <i/>
        <vertAlign val="subscript"/>
        <sz val="11"/>
        <color theme="1"/>
        <rFont val="Calibri"/>
        <family val="2"/>
        <scheme val="minor"/>
      </rPr>
      <t>4</t>
    </r>
    <r>
      <rPr>
        <i/>
        <vertAlign val="superscript"/>
        <sz val="11"/>
        <color theme="1"/>
        <rFont val="Calibri"/>
        <family val="2"/>
        <scheme val="minor"/>
      </rPr>
      <t>2</t>
    </r>
    <r>
      <rPr>
        <i/>
        <sz val="11"/>
        <color theme="1"/>
        <rFont val="Calibri"/>
        <family val="2"/>
        <scheme val="minor"/>
      </rPr>
      <t>)/2g]</t>
    </r>
  </si>
  <si>
    <r>
      <t>V</t>
    </r>
    <r>
      <rPr>
        <i/>
        <vertAlign val="subscript"/>
        <sz val="11"/>
        <color theme="1"/>
        <rFont val="Calibri"/>
        <family val="2"/>
        <scheme val="minor"/>
      </rPr>
      <t>2</t>
    </r>
    <r>
      <rPr>
        <i/>
        <sz val="11"/>
        <color theme="1"/>
        <rFont val="Calibri"/>
        <family val="2"/>
        <scheme val="minor"/>
      </rPr>
      <t>=Q/A</t>
    </r>
  </si>
  <si>
    <r>
      <t>Velocity head = V</t>
    </r>
    <r>
      <rPr>
        <i/>
        <vertAlign val="subscript"/>
        <sz val="11"/>
        <color theme="1"/>
        <rFont val="Calibri"/>
        <family val="2"/>
        <scheme val="minor"/>
      </rPr>
      <t>2</t>
    </r>
    <r>
      <rPr>
        <i/>
        <vertAlign val="superscript"/>
        <sz val="11"/>
        <color theme="1"/>
        <rFont val="Calibri"/>
        <family val="2"/>
        <scheme val="minor"/>
      </rPr>
      <t>2</t>
    </r>
    <r>
      <rPr>
        <i/>
        <sz val="11"/>
        <color theme="1"/>
        <rFont val="Calibri"/>
        <family val="2"/>
        <scheme val="minor"/>
      </rPr>
      <t>/2g</t>
    </r>
  </si>
  <si>
    <r>
      <t>H</t>
    </r>
    <r>
      <rPr>
        <i/>
        <vertAlign val="subscript"/>
        <sz val="11"/>
        <color theme="1"/>
        <rFont val="Calibri"/>
        <family val="2"/>
        <scheme val="minor"/>
      </rPr>
      <t>L</t>
    </r>
    <r>
      <rPr>
        <i/>
        <sz val="11"/>
        <color theme="1"/>
        <rFont val="Calibri"/>
        <family val="2"/>
        <scheme val="minor"/>
      </rPr>
      <t>=n</t>
    </r>
    <r>
      <rPr>
        <i/>
        <vertAlign val="superscript"/>
        <sz val="11"/>
        <color theme="1"/>
        <rFont val="Calibri"/>
        <family val="2"/>
        <scheme val="minor"/>
      </rPr>
      <t>2</t>
    </r>
    <r>
      <rPr>
        <i/>
        <sz val="11"/>
        <color theme="1"/>
        <rFont val="Calibri"/>
        <family val="2"/>
        <scheme val="minor"/>
      </rPr>
      <t>V</t>
    </r>
    <r>
      <rPr>
        <i/>
        <vertAlign val="superscript"/>
        <sz val="11"/>
        <color theme="1"/>
        <rFont val="Calibri"/>
        <family val="2"/>
        <scheme val="minor"/>
      </rPr>
      <t>2</t>
    </r>
    <r>
      <rPr>
        <i/>
        <sz val="11"/>
        <color theme="1"/>
        <rFont val="Calibri"/>
        <family val="2"/>
        <scheme val="minor"/>
      </rPr>
      <t>L/R</t>
    </r>
    <r>
      <rPr>
        <i/>
        <vertAlign val="superscript"/>
        <sz val="11"/>
        <color theme="1"/>
        <rFont val="Calibri"/>
        <family val="2"/>
        <scheme val="minor"/>
      </rPr>
      <t>4/3</t>
    </r>
  </si>
  <si>
    <r>
      <t>Loss of head=0.2[(V</t>
    </r>
    <r>
      <rPr>
        <i/>
        <vertAlign val="subscript"/>
        <sz val="11"/>
        <color theme="1"/>
        <rFont val="Calibri"/>
        <family val="2"/>
        <scheme val="minor"/>
      </rPr>
      <t>2</t>
    </r>
    <r>
      <rPr>
        <i/>
        <vertAlign val="superscript"/>
        <sz val="11"/>
        <color theme="1"/>
        <rFont val="Calibri"/>
        <family val="2"/>
        <scheme val="minor"/>
      </rPr>
      <t>2</t>
    </r>
    <r>
      <rPr>
        <i/>
        <sz val="11"/>
        <color theme="1"/>
        <rFont val="Calibri"/>
        <family val="2"/>
        <scheme val="minor"/>
      </rPr>
      <t>-V</t>
    </r>
    <r>
      <rPr>
        <i/>
        <vertAlign val="subscript"/>
        <sz val="11"/>
        <color theme="1"/>
        <rFont val="Calibri"/>
        <family val="2"/>
        <scheme val="minor"/>
      </rPr>
      <t>1</t>
    </r>
    <r>
      <rPr>
        <i/>
        <vertAlign val="superscript"/>
        <sz val="11"/>
        <color theme="1"/>
        <rFont val="Calibri"/>
        <family val="2"/>
        <scheme val="minor"/>
      </rPr>
      <t>2</t>
    </r>
    <r>
      <rPr>
        <i/>
        <sz val="11"/>
        <color theme="1"/>
        <rFont val="Calibri"/>
        <family val="2"/>
        <scheme val="minor"/>
      </rPr>
      <t>)/2g]</t>
    </r>
  </si>
  <si>
    <t>Intermediate wall thickness of trough</t>
  </si>
  <si>
    <r>
      <t>f</t>
    </r>
    <r>
      <rPr>
        <i/>
        <vertAlign val="subscript"/>
        <sz val="11"/>
        <color theme="1"/>
        <rFont val="Calibri"/>
        <family val="2"/>
        <scheme val="minor"/>
      </rPr>
      <t>2</t>
    </r>
    <r>
      <rPr>
        <i/>
        <sz val="11"/>
        <color theme="1"/>
        <rFont val="Calibri"/>
        <family val="2"/>
        <scheme val="minor"/>
      </rPr>
      <t>=a(1+b/R), where a=0.00316, b=0.03 for smooth cement plaster</t>
    </r>
  </si>
  <si>
    <r>
      <t>Head loss, h=[1+f</t>
    </r>
    <r>
      <rPr>
        <i/>
        <vertAlign val="subscript"/>
        <sz val="11"/>
        <color theme="1"/>
        <rFont val="Calibri"/>
        <family val="2"/>
        <scheme val="minor"/>
      </rPr>
      <t>1</t>
    </r>
    <r>
      <rPr>
        <i/>
        <sz val="11"/>
        <color theme="1"/>
        <rFont val="Calibri"/>
        <family val="2"/>
        <scheme val="minor"/>
      </rPr>
      <t>+f</t>
    </r>
    <r>
      <rPr>
        <i/>
        <vertAlign val="subscript"/>
        <sz val="11"/>
        <color theme="1"/>
        <rFont val="Calibri"/>
        <family val="2"/>
        <scheme val="minor"/>
      </rPr>
      <t>2</t>
    </r>
    <r>
      <rPr>
        <i/>
        <sz val="11"/>
        <color theme="1"/>
        <rFont val="Calibri"/>
        <family val="2"/>
        <scheme val="minor"/>
      </rPr>
      <t>(L/R)]V</t>
    </r>
    <r>
      <rPr>
        <i/>
        <vertAlign val="superscript"/>
        <sz val="11"/>
        <color theme="1"/>
        <rFont val="Calibri"/>
        <family val="2"/>
        <scheme val="minor"/>
      </rPr>
      <t>2</t>
    </r>
    <r>
      <rPr>
        <i/>
        <sz val="11"/>
        <color theme="1"/>
        <rFont val="Calibri"/>
        <family val="2"/>
        <scheme val="minor"/>
      </rPr>
      <t>/2g</t>
    </r>
  </si>
  <si>
    <r>
      <t>Loss of head at entry =f</t>
    </r>
    <r>
      <rPr>
        <i/>
        <vertAlign val="subscript"/>
        <sz val="11"/>
        <color theme="1"/>
        <rFont val="Calibri"/>
        <family val="2"/>
        <scheme val="minor"/>
      </rPr>
      <t>1</t>
    </r>
    <r>
      <rPr>
        <i/>
        <sz val="11"/>
        <color theme="1"/>
        <rFont val="Calibri"/>
        <family val="2"/>
        <scheme val="minor"/>
      </rPr>
      <t>(V</t>
    </r>
    <r>
      <rPr>
        <i/>
        <vertAlign val="superscript"/>
        <sz val="11"/>
        <color theme="1"/>
        <rFont val="Calibri"/>
        <family val="2"/>
        <scheme val="minor"/>
      </rPr>
      <t>2</t>
    </r>
    <r>
      <rPr>
        <i/>
        <sz val="11"/>
        <color theme="1"/>
        <rFont val="Calibri"/>
        <family val="2"/>
        <scheme val="minor"/>
      </rPr>
      <t>/2g)</t>
    </r>
  </si>
  <si>
    <r>
      <t>m=280/3</t>
    </r>
    <r>
      <rPr>
        <i/>
        <sz val="11"/>
        <color theme="1"/>
        <rFont val="Calibri"/>
        <family val="2"/>
      </rPr>
      <t>σ</t>
    </r>
    <r>
      <rPr>
        <i/>
        <vertAlign val="subscript"/>
        <sz val="11"/>
        <color theme="1"/>
        <rFont val="Calibri"/>
        <family val="2"/>
      </rPr>
      <t>cbc</t>
    </r>
  </si>
  <si>
    <r>
      <t>K=mσ</t>
    </r>
    <r>
      <rPr>
        <i/>
        <vertAlign val="subscript"/>
        <sz val="11"/>
        <color theme="1"/>
        <rFont val="Calibri"/>
        <family val="2"/>
        <scheme val="minor"/>
      </rPr>
      <t>cbc</t>
    </r>
    <r>
      <rPr>
        <i/>
        <sz val="11"/>
        <color theme="1"/>
        <rFont val="Calibri"/>
        <family val="2"/>
        <scheme val="minor"/>
      </rPr>
      <t>/(m</t>
    </r>
    <r>
      <rPr>
        <i/>
        <sz val="11"/>
        <color theme="1"/>
        <rFont val="Calibri"/>
        <family val="2"/>
      </rPr>
      <t>σ</t>
    </r>
    <r>
      <rPr>
        <i/>
        <vertAlign val="subscript"/>
        <sz val="11"/>
        <color theme="1"/>
        <rFont val="Calibri"/>
        <family val="2"/>
      </rPr>
      <t>cbc</t>
    </r>
    <r>
      <rPr>
        <i/>
        <sz val="11"/>
        <color theme="1"/>
        <rFont val="Calibri"/>
        <family val="2"/>
      </rPr>
      <t>+σ</t>
    </r>
    <r>
      <rPr>
        <i/>
        <vertAlign val="subscript"/>
        <sz val="11"/>
        <color theme="1"/>
        <rFont val="Calibri"/>
        <family val="2"/>
      </rPr>
      <t>st</t>
    </r>
    <r>
      <rPr>
        <i/>
        <sz val="11"/>
        <color theme="1"/>
        <rFont val="Calibri"/>
        <family val="2"/>
      </rPr>
      <t>)</t>
    </r>
  </si>
  <si>
    <r>
      <t>Q=(1/2) K</t>
    </r>
    <r>
      <rPr>
        <i/>
        <sz val="11"/>
        <color theme="1"/>
        <rFont val="Calibri"/>
        <family val="2"/>
      </rPr>
      <t>σ</t>
    </r>
    <r>
      <rPr>
        <i/>
        <vertAlign val="subscript"/>
        <sz val="11"/>
        <color theme="1"/>
        <rFont val="Calibri"/>
        <family val="2"/>
      </rPr>
      <t xml:space="preserve">cbc </t>
    </r>
    <r>
      <rPr>
        <i/>
        <sz val="11"/>
        <color theme="1"/>
        <rFont val="Calibri"/>
        <family val="2"/>
      </rPr>
      <t>j</t>
    </r>
  </si>
  <si>
    <r>
      <t>d=</t>
    </r>
    <r>
      <rPr>
        <i/>
        <sz val="11"/>
        <color theme="1"/>
        <rFont val="Calibri"/>
        <family val="2"/>
      </rPr>
      <t>√(M</t>
    </r>
    <r>
      <rPr>
        <i/>
        <vertAlign val="subscript"/>
        <sz val="11"/>
        <color theme="1"/>
        <rFont val="Calibri"/>
        <family val="2"/>
      </rPr>
      <t>u</t>
    </r>
    <r>
      <rPr>
        <i/>
        <sz val="11"/>
        <color theme="1"/>
        <rFont val="Calibri"/>
        <family val="2"/>
      </rPr>
      <t>/Qb)</t>
    </r>
  </si>
  <si>
    <r>
      <t>M</t>
    </r>
    <r>
      <rPr>
        <i/>
        <vertAlign val="subscript"/>
        <sz val="11"/>
        <color theme="1"/>
        <rFont val="Calibri"/>
        <family val="2"/>
        <scheme val="minor"/>
      </rPr>
      <t>u</t>
    </r>
    <r>
      <rPr>
        <i/>
        <sz val="11"/>
        <color theme="1"/>
        <rFont val="Calibri"/>
        <family val="2"/>
        <scheme val="minor"/>
      </rPr>
      <t>=0.87f</t>
    </r>
    <r>
      <rPr>
        <i/>
        <vertAlign val="subscript"/>
        <sz val="11"/>
        <color theme="1"/>
        <rFont val="Calibri"/>
        <family val="2"/>
        <scheme val="minor"/>
      </rPr>
      <t xml:space="preserve">y </t>
    </r>
    <r>
      <rPr>
        <i/>
        <sz val="11"/>
        <color theme="1"/>
        <rFont val="Calibri"/>
        <family val="2"/>
        <scheme val="minor"/>
      </rPr>
      <t>A</t>
    </r>
    <r>
      <rPr>
        <i/>
        <vertAlign val="subscript"/>
        <sz val="11"/>
        <color theme="1"/>
        <rFont val="Calibri"/>
        <family val="2"/>
        <scheme val="minor"/>
      </rPr>
      <t xml:space="preserve">st </t>
    </r>
    <r>
      <rPr>
        <i/>
        <sz val="11"/>
        <color theme="1"/>
        <rFont val="Calibri"/>
        <family val="2"/>
        <scheme val="minor"/>
      </rPr>
      <t>d[1-(A</t>
    </r>
    <r>
      <rPr>
        <i/>
        <vertAlign val="subscript"/>
        <sz val="11"/>
        <color theme="1"/>
        <rFont val="Calibri"/>
        <family val="2"/>
        <scheme val="minor"/>
      </rPr>
      <t xml:space="preserve">st </t>
    </r>
    <r>
      <rPr>
        <i/>
        <sz val="11"/>
        <color theme="1"/>
        <rFont val="Calibri"/>
        <family val="2"/>
        <scheme val="minor"/>
      </rPr>
      <t>f</t>
    </r>
    <r>
      <rPr>
        <i/>
        <vertAlign val="subscript"/>
        <sz val="11"/>
        <color theme="1"/>
        <rFont val="Calibri"/>
        <family val="2"/>
        <scheme val="minor"/>
      </rPr>
      <t>y</t>
    </r>
    <r>
      <rPr>
        <i/>
        <sz val="11"/>
        <color theme="1"/>
        <rFont val="Calibri"/>
        <family val="2"/>
        <scheme val="minor"/>
      </rPr>
      <t>/bdf</t>
    </r>
    <r>
      <rPr>
        <i/>
        <vertAlign val="subscript"/>
        <sz val="11"/>
        <color theme="1"/>
        <rFont val="Calibri"/>
        <family val="2"/>
        <scheme val="minor"/>
      </rPr>
      <t>ck</t>
    </r>
    <r>
      <rPr>
        <i/>
        <sz val="11"/>
        <color theme="1"/>
        <rFont val="Calibri"/>
        <family val="2"/>
        <scheme val="minor"/>
      </rPr>
      <t>)]</t>
    </r>
  </si>
  <si>
    <t>R.C.C. raft of required thickness is to be provided in a width 4.5 as per Bligh’s theory</t>
  </si>
  <si>
    <t>So, we should provide</t>
  </si>
  <si>
    <r>
      <t>8 mm</t>
    </r>
    <r>
      <rPr>
        <b/>
        <i/>
        <sz val="11"/>
        <color theme="1"/>
        <rFont val="Calibri"/>
        <family val="2"/>
      </rPr>
      <t>ɸ @ 50 mm c/c as Distributary reinforcement.</t>
    </r>
  </si>
  <si>
    <r>
      <t>10 mm</t>
    </r>
    <r>
      <rPr>
        <b/>
        <i/>
        <sz val="11"/>
        <color theme="1"/>
        <rFont val="Calibri"/>
        <family val="2"/>
      </rPr>
      <t>ɸ @</t>
    </r>
    <r>
      <rPr>
        <b/>
        <i/>
        <sz val="11"/>
        <color theme="1"/>
        <rFont val="Calibri"/>
        <family val="2"/>
        <scheme val="minor"/>
      </rPr>
      <t>100 mm c/c as Top reinforcement.</t>
    </r>
  </si>
  <si>
    <r>
      <t>12 mm</t>
    </r>
    <r>
      <rPr>
        <b/>
        <i/>
        <sz val="11"/>
        <color theme="1"/>
        <rFont val="Calibri"/>
        <family val="2"/>
      </rPr>
      <t>ɸ @</t>
    </r>
    <r>
      <rPr>
        <b/>
        <i/>
        <sz val="11"/>
        <color theme="1"/>
        <rFont val="Calibri"/>
        <family val="2"/>
        <scheme val="minor"/>
      </rPr>
      <t>80 mm c/c as Bottom reinforcement.</t>
    </r>
  </si>
  <si>
    <t>( * The data to be entered are highlighted in orange colour)</t>
  </si>
  <si>
    <t xml:space="preserve"> </t>
  </si>
  <si>
    <t xml:space="preserve">                                      Fig 1:  Plan and section of Canal Trough</t>
  </si>
  <si>
    <r>
      <t xml:space="preserve">                                 </t>
    </r>
    <r>
      <rPr>
        <b/>
        <i/>
        <sz val="11"/>
        <color theme="1"/>
        <rFont val="Times New Roman"/>
        <family val="1"/>
      </rPr>
      <t>Fig. 2: Contraction transition</t>
    </r>
  </si>
  <si>
    <r>
      <t xml:space="preserve">                                    </t>
    </r>
    <r>
      <rPr>
        <b/>
        <i/>
        <sz val="11"/>
        <color theme="1"/>
        <rFont val="Calibri"/>
        <family val="2"/>
        <scheme val="minor"/>
      </rPr>
      <t xml:space="preserve"> Fig. 3: Expansion transition</t>
    </r>
  </si>
  <si>
    <r>
      <t xml:space="preserve">                                                         </t>
    </r>
    <r>
      <rPr>
        <b/>
        <i/>
        <sz val="11"/>
        <color theme="1"/>
        <rFont val="Calibri"/>
        <family val="2"/>
        <scheme val="minor"/>
      </rPr>
      <t>Fig 5: Expansion Transition</t>
    </r>
  </si>
  <si>
    <t xml:space="preserve">                                                                                                   Fig 6: Contraction Transition</t>
  </si>
  <si>
    <r>
      <t xml:space="preserve">                                           </t>
    </r>
    <r>
      <rPr>
        <b/>
        <i/>
        <sz val="11"/>
        <color theme="1"/>
        <rFont val="Calibri"/>
        <family val="2"/>
        <scheme val="minor"/>
      </rPr>
      <t xml:space="preserve">                      Fig 7: Barrel plain</t>
    </r>
  </si>
  <si>
    <r>
      <t xml:space="preserve">                                     </t>
    </r>
    <r>
      <rPr>
        <b/>
        <i/>
        <sz val="11"/>
        <color theme="1"/>
        <rFont val="Calibri"/>
        <family val="2"/>
        <scheme val="minor"/>
      </rPr>
      <t>Fig 8: Design of trough slab with fillet bar anchoring side wall</t>
    </r>
  </si>
  <si>
    <r>
      <t xml:space="preserve">                        </t>
    </r>
    <r>
      <rPr>
        <b/>
        <i/>
        <sz val="11"/>
        <color theme="1"/>
        <rFont val="Calibri"/>
        <family val="2"/>
        <scheme val="minor"/>
      </rPr>
      <t>Fig 9:  Design of the Drainage floor slab (Longitudinal section)</t>
    </r>
  </si>
  <si>
    <t xml:space="preserve"> DESIGN OF AN AQUEDUCT</t>
  </si>
  <si>
    <t>1. DATA FOR THE PROJECT PROBLEM</t>
  </si>
  <si>
    <t>2. DESIGN OF DRAINAGE WATERWAY</t>
  </si>
  <si>
    <r>
      <t xml:space="preserve">                                </t>
    </r>
    <r>
      <rPr>
        <b/>
        <i/>
        <sz val="11"/>
        <color theme="1"/>
        <rFont val="Calibri"/>
        <family val="2"/>
        <scheme val="minor"/>
      </rPr>
      <t>Fig. 4: Plan and section of canal trough</t>
    </r>
  </si>
  <si>
    <t>3. DESIGN OF CANAL WATERWAY</t>
  </si>
  <si>
    <t>4. HEAD LOSS AND BED LEVELS OF DIFFERENT SECTIONS</t>
  </si>
  <si>
    <t>5. DESIGN OF TRANSITION</t>
  </si>
  <si>
    <t>6. DESIGN OF TROUGH</t>
  </si>
  <si>
    <t xml:space="preserve"> DESIGN OF SYPHON AQUEDUCT</t>
  </si>
  <si>
    <t>7. DATA FOR THE PROJECT PROBLEM</t>
  </si>
  <si>
    <t>8. DESIGN OF DRAINAGE WATERWAY</t>
  </si>
  <si>
    <t>9. DESIGN OF CANAL WATERWAY</t>
  </si>
  <si>
    <t>10. HEAD LOSS AND BED LEVELS AT DIFFERENT SECTIONS</t>
  </si>
  <si>
    <t>11. DETERMINATION OF TRANSITION LENGTH</t>
  </si>
  <si>
    <t>12. DESIGN OF TROUGH</t>
  </si>
  <si>
    <t>13. LOSS OF HEAD THROUGH SYPHON BARRELS</t>
  </si>
  <si>
    <t>14. UPLIFT PRESSURE ON ROOF OF SYPHON BARREL</t>
  </si>
  <si>
    <t>15. UPLIFT ON FLOOR OF THE SYPHON BARREL</t>
  </si>
  <si>
    <t>16. DESIGN OF TROUGH SLAB</t>
  </si>
  <si>
    <t>17. DESIGN OF DRAINAGE FLOOR</t>
  </si>
</sst>
</file>

<file path=xl/styles.xml><?xml version="1.0" encoding="utf-8"?>
<styleSheet xmlns="http://schemas.openxmlformats.org/spreadsheetml/2006/main">
  <numFmts count="3">
    <numFmt numFmtId="164" formatCode="0.000"/>
    <numFmt numFmtId="165" formatCode="0.0000"/>
    <numFmt numFmtId="166" formatCode="0.0"/>
  </numFmts>
  <fonts count="26">
    <font>
      <sz val="11"/>
      <color theme="1"/>
      <name val="Calibri"/>
      <family val="2"/>
      <scheme val="minor"/>
    </font>
    <font>
      <b/>
      <sz val="11"/>
      <color theme="1"/>
      <name val="Calibri"/>
      <family val="2"/>
      <scheme val="minor"/>
    </font>
    <font>
      <b/>
      <sz val="22"/>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u/>
      <sz val="11"/>
      <color theme="1"/>
      <name val="Calibri"/>
      <family val="2"/>
      <scheme val="minor"/>
    </font>
    <font>
      <b/>
      <vertAlign val="subscript"/>
      <sz val="11"/>
      <color theme="1"/>
      <name val="Calibri"/>
      <family val="2"/>
      <scheme val="minor"/>
    </font>
    <font>
      <b/>
      <i/>
      <sz val="11"/>
      <color theme="1"/>
      <name val="Calibri"/>
      <family val="2"/>
      <scheme val="minor"/>
    </font>
    <font>
      <i/>
      <sz val="11"/>
      <color theme="1"/>
      <name val="Calibri"/>
      <family val="2"/>
      <scheme val="minor"/>
    </font>
    <font>
      <b/>
      <i/>
      <vertAlign val="subscript"/>
      <sz val="11"/>
      <color theme="1"/>
      <name val="Calibri"/>
      <family val="2"/>
      <scheme val="minor"/>
    </font>
    <font>
      <i/>
      <vertAlign val="subscript"/>
      <sz val="11"/>
      <color theme="1"/>
      <name val="Calibri"/>
      <family val="2"/>
      <scheme val="minor"/>
    </font>
    <font>
      <vertAlign val="subscript"/>
      <sz val="11"/>
      <color theme="1"/>
      <name val="Calibri"/>
      <family val="2"/>
      <scheme val="minor"/>
    </font>
    <font>
      <vertAlign val="superscript"/>
      <sz val="11"/>
      <color theme="1"/>
      <name val="Calibri"/>
      <family val="2"/>
      <scheme val="minor"/>
    </font>
    <font>
      <b/>
      <sz val="16"/>
      <color theme="1"/>
      <name val="Calibri"/>
      <family val="2"/>
      <scheme val="minor"/>
    </font>
    <font>
      <sz val="16"/>
      <color theme="1"/>
      <name val="Calibri"/>
      <family val="2"/>
      <scheme val="minor"/>
    </font>
    <font>
      <b/>
      <u/>
      <sz val="12"/>
      <color theme="1"/>
      <name val="Calibri"/>
      <family val="2"/>
      <scheme val="minor"/>
    </font>
    <font>
      <sz val="11"/>
      <color theme="1"/>
      <name val="Calibri"/>
      <family val="2"/>
    </font>
    <font>
      <b/>
      <i/>
      <vertAlign val="superscript"/>
      <sz val="11"/>
      <color theme="1"/>
      <name val="Calibri"/>
      <family val="2"/>
      <scheme val="minor"/>
    </font>
    <font>
      <vertAlign val="subscript"/>
      <sz val="11"/>
      <color theme="1"/>
      <name val="Calibri"/>
      <family val="2"/>
    </font>
    <font>
      <b/>
      <i/>
      <sz val="11"/>
      <color theme="1"/>
      <name val="Calibri"/>
      <family val="2"/>
    </font>
    <font>
      <i/>
      <sz val="11"/>
      <color theme="1"/>
      <name val="Calibri"/>
      <family val="2"/>
    </font>
    <font>
      <i/>
      <vertAlign val="superscript"/>
      <sz val="11"/>
      <color theme="1"/>
      <name val="Calibri"/>
      <family val="2"/>
      <scheme val="minor"/>
    </font>
    <font>
      <i/>
      <vertAlign val="subscript"/>
      <sz val="11"/>
      <color theme="1"/>
      <name val="Calibri"/>
      <family val="2"/>
    </font>
    <font>
      <i/>
      <sz val="10"/>
      <color rgb="FFFF0000"/>
      <name val="Calibri"/>
      <family val="2"/>
      <scheme val="minor"/>
    </font>
    <font>
      <b/>
      <i/>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rgb="FFFFC000"/>
        <bgColor theme="0" tint="-0.14999847407452621"/>
      </patternFill>
    </fill>
    <fill>
      <patternFill patternType="solid">
        <fgColor theme="2"/>
        <bgColor indexed="64"/>
      </patternFill>
    </fill>
  </fills>
  <borders count="15">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79">
    <xf numFmtId="0" fontId="0" fillId="0" borderId="0" xfId="0"/>
    <xf numFmtId="0" fontId="2" fillId="0" borderId="0" xfId="0" applyFont="1" applyAlignment="1"/>
    <xf numFmtId="0" fontId="2" fillId="0" borderId="0" xfId="0" applyFont="1"/>
    <xf numFmtId="0" fontId="3" fillId="0" borderId="0" xfId="0" applyFont="1"/>
    <xf numFmtId="0" fontId="4" fillId="0" borderId="0" xfId="0" applyFont="1"/>
    <xf numFmtId="0" fontId="5" fillId="0" borderId="0" xfId="0" applyFont="1"/>
    <xf numFmtId="2" fontId="0" fillId="0" borderId="0" xfId="0" applyNumberFormat="1"/>
    <xf numFmtId="0" fontId="0" fillId="0" borderId="0" xfId="0" applyAlignment="1">
      <alignment wrapText="1"/>
    </xf>
    <xf numFmtId="0" fontId="1" fillId="0" borderId="0" xfId="0" applyFont="1" applyAlignment="1"/>
    <xf numFmtId="2" fontId="1" fillId="0" borderId="0" xfId="0" applyNumberFormat="1" applyFont="1"/>
    <xf numFmtId="0" fontId="1" fillId="0" borderId="0" xfId="0" applyFont="1"/>
    <xf numFmtId="0" fontId="0" fillId="0" borderId="0" xfId="0" applyAlignment="1">
      <alignment horizontal="right"/>
    </xf>
    <xf numFmtId="0" fontId="0" fillId="0" borderId="0" xfId="0" applyAlignment="1">
      <alignment horizontal="left"/>
    </xf>
    <xf numFmtId="0" fontId="6" fillId="0" borderId="0" xfId="0" applyFont="1"/>
    <xf numFmtId="164" fontId="0" fillId="0" borderId="0" xfId="0" applyNumberFormat="1"/>
    <xf numFmtId="0" fontId="8" fillId="0" borderId="0" xfId="0" applyFont="1"/>
    <xf numFmtId="0" fontId="9" fillId="0" borderId="0" xfId="0" applyFont="1"/>
    <xf numFmtId="0" fontId="0" fillId="0" borderId="0" xfId="0" applyFon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applyAlignment="1">
      <alignment wrapText="1"/>
    </xf>
    <xf numFmtId="2" fontId="0" fillId="0" borderId="0" xfId="0" applyNumberFormat="1" applyFont="1"/>
    <xf numFmtId="164" fontId="0" fillId="0" borderId="0" xfId="0" applyNumberFormat="1" applyFont="1"/>
    <xf numFmtId="0" fontId="14" fillId="0" borderId="0" xfId="0" applyFont="1"/>
    <xf numFmtId="0" fontId="15" fillId="0" borderId="0" xfId="0" applyFont="1"/>
    <xf numFmtId="0" fontId="16" fillId="0" borderId="0" xfId="0" applyFont="1"/>
    <xf numFmtId="11" fontId="0" fillId="0" borderId="0" xfId="0" applyNumberFormat="1"/>
    <xf numFmtId="166" fontId="0" fillId="0" borderId="0" xfId="0" applyNumberFormat="1"/>
    <xf numFmtId="166" fontId="0" fillId="0" borderId="0" xfId="0" applyNumberFormat="1" applyAlignment="1">
      <alignment horizontal="right"/>
    </xf>
    <xf numFmtId="1" fontId="0" fillId="0" borderId="0" xfId="0" applyNumberFormat="1"/>
    <xf numFmtId="1" fontId="0" fillId="0" borderId="0" xfId="0" applyNumberFormat="1" applyFont="1"/>
    <xf numFmtId="165" fontId="0" fillId="0" borderId="0" xfId="0" applyNumberFormat="1"/>
    <xf numFmtId="1" fontId="1" fillId="0" borderId="0" xfId="0" applyNumberFormat="1" applyFont="1" applyAlignment="1">
      <alignment horizontal="center"/>
    </xf>
    <xf numFmtId="0" fontId="0" fillId="0" borderId="0" xfId="0" applyAlignment="1">
      <alignment vertical="center" wrapText="1"/>
    </xf>
    <xf numFmtId="0" fontId="0" fillId="0" borderId="0" xfId="0" applyAlignment="1"/>
    <xf numFmtId="2" fontId="0" fillId="0" borderId="0" xfId="0" applyNumberFormat="1" applyFill="1"/>
    <xf numFmtId="0" fontId="0" fillId="0" borderId="0" xfId="0" applyFont="1" applyFill="1"/>
    <xf numFmtId="0" fontId="0" fillId="2" borderId="12" xfId="0" applyFont="1" applyFill="1" applyBorder="1" applyAlignment="1">
      <alignment wrapText="1"/>
    </xf>
    <xf numFmtId="0" fontId="0" fillId="2" borderId="13" xfId="0" applyFont="1" applyFill="1" applyBorder="1"/>
    <xf numFmtId="0" fontId="0" fillId="2" borderId="14" xfId="0" applyFont="1" applyFill="1" applyBorder="1"/>
    <xf numFmtId="0" fontId="0" fillId="2" borderId="4" xfId="0" applyFont="1" applyFill="1" applyBorder="1"/>
    <xf numFmtId="0" fontId="0" fillId="3" borderId="5" xfId="0" applyFont="1" applyFill="1" applyBorder="1"/>
    <xf numFmtId="2" fontId="0" fillId="2" borderId="5" xfId="0" applyNumberFormat="1" applyFont="1" applyFill="1" applyBorder="1"/>
    <xf numFmtId="0" fontId="0" fillId="2" borderId="6" xfId="0" applyFont="1" applyFill="1" applyBorder="1"/>
    <xf numFmtId="0" fontId="0" fillId="2" borderId="7" xfId="0" applyFont="1" applyFill="1" applyBorder="1"/>
    <xf numFmtId="0" fontId="0" fillId="2" borderId="3" xfId="0" applyFont="1" applyFill="1" applyBorder="1"/>
    <xf numFmtId="2" fontId="0" fillId="2" borderId="3" xfId="0" applyNumberFormat="1" applyFont="1" applyFill="1" applyBorder="1"/>
    <xf numFmtId="0" fontId="0" fillId="2" borderId="8" xfId="0" applyFont="1" applyFill="1" applyBorder="1"/>
    <xf numFmtId="0" fontId="0" fillId="3" borderId="3" xfId="0" applyFont="1" applyFill="1" applyBorder="1"/>
    <xf numFmtId="0" fontId="0" fillId="2" borderId="3" xfId="0" applyFill="1" applyBorder="1"/>
    <xf numFmtId="166" fontId="0" fillId="2" borderId="3" xfId="0" applyNumberFormat="1" applyFont="1" applyFill="1" applyBorder="1" applyAlignment="1">
      <alignment horizontal="right" vertical="center"/>
    </xf>
    <xf numFmtId="0" fontId="0" fillId="2" borderId="9" xfId="0" applyFont="1" applyFill="1" applyBorder="1"/>
    <xf numFmtId="0" fontId="0" fillId="3" borderId="10" xfId="0" applyFont="1" applyFill="1" applyBorder="1"/>
    <xf numFmtId="0" fontId="0" fillId="2" borderId="10" xfId="0" applyFont="1" applyFill="1" applyBorder="1"/>
    <xf numFmtId="0" fontId="0" fillId="2" borderId="11" xfId="0" applyFont="1" applyFill="1" applyBorder="1"/>
    <xf numFmtId="0" fontId="0" fillId="2" borderId="0" xfId="0" applyFill="1"/>
    <xf numFmtId="0" fontId="0" fillId="2" borderId="0" xfId="0" applyFill="1" applyAlignment="1">
      <alignment wrapText="1"/>
    </xf>
    <xf numFmtId="2" fontId="0" fillId="2" borderId="0" xfId="0" applyNumberFormat="1" applyFill="1"/>
    <xf numFmtId="0" fontId="0" fillId="2" borderId="0" xfId="0" applyNumberFormat="1" applyFill="1"/>
    <xf numFmtId="0" fontId="0" fillId="2" borderId="0" xfId="0" applyFill="1" applyAlignment="1">
      <alignment horizontal="center"/>
    </xf>
    <xf numFmtId="0" fontId="0" fillId="2" borderId="0" xfId="0" applyFont="1" applyFill="1" applyAlignment="1">
      <alignment horizontal="center"/>
    </xf>
    <xf numFmtId="0" fontId="1" fillId="4" borderId="0" xfId="0" applyFont="1" applyFill="1" applyAlignment="1">
      <alignment horizontal="center"/>
    </xf>
    <xf numFmtId="2" fontId="1" fillId="4" borderId="0" xfId="0" applyNumberFormat="1" applyFont="1" applyFill="1" applyAlignment="1">
      <alignment horizontal="center"/>
    </xf>
    <xf numFmtId="0" fontId="0" fillId="2" borderId="0" xfId="0" applyFont="1" applyFill="1" applyAlignment="1">
      <alignment wrapText="1"/>
    </xf>
    <xf numFmtId="0" fontId="0" fillId="2" borderId="0" xfId="0" applyFont="1" applyFill="1"/>
    <xf numFmtId="0" fontId="0" fillId="3" borderId="1" xfId="0" applyFont="1" applyFill="1" applyBorder="1"/>
    <xf numFmtId="2" fontId="0" fillId="2" borderId="0" xfId="0" applyNumberFormat="1" applyFont="1" applyFill="1"/>
    <xf numFmtId="0" fontId="0" fillId="2" borderId="2" xfId="0" applyFont="1" applyFill="1" applyBorder="1"/>
    <xf numFmtId="0" fontId="0" fillId="3" borderId="2" xfId="0" applyFont="1" applyFill="1" applyBorder="1"/>
    <xf numFmtId="0" fontId="0" fillId="2" borderId="2" xfId="0" applyFill="1" applyBorder="1"/>
    <xf numFmtId="166" fontId="0" fillId="2" borderId="0" xfId="0" applyNumberFormat="1" applyFont="1" applyFill="1" applyAlignment="1">
      <alignment horizontal="right" vertical="center"/>
    </xf>
    <xf numFmtId="0" fontId="0" fillId="3" borderId="2" xfId="0" applyFill="1" applyBorder="1"/>
    <xf numFmtId="0" fontId="0" fillId="2" borderId="0" xfId="0" applyNumberFormat="1" applyFont="1" applyFill="1"/>
    <xf numFmtId="1" fontId="1" fillId="4" borderId="0" xfId="0" applyNumberFormat="1" applyFont="1" applyFill="1" applyAlignment="1">
      <alignment horizontal="center"/>
    </xf>
    <xf numFmtId="166" fontId="1" fillId="4" borderId="0" xfId="0" applyNumberFormat="1" applyFont="1" applyFill="1" applyAlignment="1">
      <alignment horizontal="center"/>
    </xf>
    <xf numFmtId="0" fontId="0" fillId="2" borderId="0" xfId="0" applyFill="1" applyAlignment="1">
      <alignment horizontal="right"/>
    </xf>
    <xf numFmtId="0" fontId="0" fillId="2" borderId="0" xfId="0" applyFill="1" applyAlignment="1"/>
    <xf numFmtId="0" fontId="24" fillId="0" borderId="0" xfId="0" applyFont="1"/>
    <xf numFmtId="0" fontId="8" fillId="0" borderId="0" xfId="0" applyFont="1" applyAlignment="1">
      <alignment horizontal="center"/>
    </xf>
  </cellXfs>
  <cellStyles count="1">
    <cellStyle name="Normal" xfId="0" builtinId="0"/>
  </cellStyles>
  <dxfs count="60">
    <dxf>
      <font>
        <b/>
      </font>
      <numFmt numFmtId="1" formatCode="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1" formatCode="0"/>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ill>
        <patternFill patternType="solid">
          <fgColor indexed="64"/>
          <bgColor theme="2"/>
        </patternFill>
      </fill>
      <alignment horizontal="center" vertical="bottom" textRotation="0" wrapText="0" indent="0" relativeIndent="255" justifyLastLine="0" shrinkToFit="0" mergeCell="0" readingOrder="0"/>
    </dxf>
    <dxf>
      <fill>
        <patternFill patternType="solid">
          <fgColor indexed="64"/>
          <bgColor rgb="FFFFC000"/>
        </patternFill>
      </fill>
      <alignment horizontal="center" vertical="bottom" textRotation="0" wrapText="0" indent="0" relativeIndent="255" justifyLastLine="0" shrinkToFit="0" mergeCell="0" readingOrder="0"/>
    </dxf>
    <dxf>
      <font>
        <b/>
      </font>
      <numFmt numFmtId="166" formatCode="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1" formatCode="0"/>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ill>
        <patternFill patternType="solid">
          <fgColor indexed="64"/>
          <bgColor theme="2"/>
        </patternFill>
      </fill>
      <alignment horizontal="center" vertical="bottom" textRotation="0" wrapText="0" indent="0" relativeIndent="255" justifyLastLine="0" shrinkToFit="0" mergeCell="0" readingOrder="0"/>
    </dxf>
    <dxf>
      <fill>
        <patternFill patternType="solid">
          <fgColor indexed="64"/>
          <bgColor rgb="FFFFC000"/>
        </patternFill>
      </fill>
      <alignment horizontal="center" vertical="bottom" textRotation="0" wrapText="0" indent="0" relativeIndent="255" justifyLastLine="0" shrinkToFit="0" mergeCell="0" readingOrder="0"/>
    </dxf>
    <dxf>
      <font>
        <strike val="0"/>
        <outline val="0"/>
        <shadow val="0"/>
        <u val="none"/>
        <vertAlign val="baseline"/>
        <sz val="11"/>
        <color theme="1"/>
        <name val="Calibri"/>
        <scheme val="minor"/>
      </font>
      <fill>
        <patternFill patternType="solid">
          <bgColor rgb="FFFFC000"/>
        </patternFill>
      </fill>
    </dxf>
    <dxf>
      <font>
        <strike val="0"/>
        <outline val="0"/>
        <shadow val="0"/>
        <u val="none"/>
        <vertAlign val="baseline"/>
        <sz val="11"/>
        <color theme="1"/>
        <name val="Calibri"/>
        <scheme val="minor"/>
      </font>
      <fill>
        <patternFill patternType="solid">
          <bgColor rgb="FFFFC000"/>
        </patternFill>
      </fill>
    </dxf>
    <dxf>
      <font>
        <strike val="0"/>
        <outline val="0"/>
        <shadow val="0"/>
        <u val="none"/>
        <vertAlign val="baseline"/>
        <sz val="11"/>
        <color theme="1"/>
        <name val="Calibri"/>
        <scheme val="minor"/>
      </font>
      <fill>
        <patternFill patternType="solid">
          <bgColor rgb="FFFFC000"/>
        </patternFill>
      </fill>
    </dxf>
    <dxf>
      <font>
        <strike val="0"/>
        <outline val="0"/>
        <shadow val="0"/>
        <u val="none"/>
        <vertAlign val="baseline"/>
        <sz val="11"/>
        <color theme="1"/>
        <name val="Calibri"/>
        <scheme val="minor"/>
      </font>
      <fill>
        <patternFill patternType="solid">
          <bgColor rgb="FFFFC000"/>
        </patternFill>
      </fill>
    </dxf>
    <dxf>
      <font>
        <strike val="0"/>
        <outline val="0"/>
        <shadow val="0"/>
        <u val="none"/>
        <vertAlign val="baseline"/>
        <sz val="11"/>
        <color theme="1"/>
        <name val="Calibri"/>
        <scheme val="minor"/>
      </font>
      <fill>
        <patternFill patternType="solid">
          <bgColor rgb="FFFFC000"/>
        </patternFill>
      </fill>
    </dxf>
    <dxf>
      <font>
        <strike val="0"/>
        <outline val="0"/>
        <shadow val="0"/>
        <u val="none"/>
        <vertAlign val="baseline"/>
        <sz val="11"/>
        <color theme="1"/>
        <name val="Calibri"/>
        <scheme val="minor"/>
      </font>
      <fill>
        <patternFill patternType="solid">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font>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ont>
        <b/>
        <i val="0"/>
        <strike val="0"/>
        <condense val="0"/>
        <extend val="0"/>
        <outline val="0"/>
        <shadow val="0"/>
        <u val="none"/>
        <vertAlign val="baseline"/>
        <sz val="11"/>
        <color theme="1"/>
        <name val="Calibri"/>
        <scheme val="minor"/>
      </font>
      <fill>
        <patternFill patternType="solid">
          <fgColor indexed="64"/>
          <bgColor theme="2"/>
        </patternFill>
      </fill>
      <alignment horizontal="center" vertical="bottom" textRotation="0" wrapText="0" indent="0" relativeIndent="0" justifyLastLine="0" shrinkToFit="0" mergeCell="0" readingOrder="0"/>
    </dxf>
    <dxf>
      <fill>
        <patternFill patternType="solid">
          <fgColor indexed="64"/>
          <bgColor theme="2"/>
        </patternFill>
      </fill>
    </dxf>
    <dxf>
      <fill>
        <patternFill patternType="solid">
          <fgColor indexed="64"/>
          <bgColor rgb="FFFFC000"/>
        </patternFill>
      </fill>
    </dxf>
    <dxf>
      <font>
        <b/>
      </font>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numFmt numFmtId="2" formatCode="0.00"/>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ont>
        <b/>
      </font>
      <fill>
        <patternFill patternType="solid">
          <fgColor indexed="64"/>
          <bgColor theme="2"/>
        </patternFill>
      </fill>
      <alignment horizontal="center" vertical="bottom" textRotation="0" wrapText="0" indent="0" relativeIndent="255" justifyLastLine="0" shrinkToFit="0" mergeCell="0" readingOrder="0"/>
    </dxf>
    <dxf>
      <fill>
        <patternFill patternType="solid">
          <fgColor indexed="64"/>
          <bgColor theme="2"/>
        </patternFill>
      </fill>
      <alignment horizontal="center" vertical="bottom" textRotation="0" wrapText="0" indent="0" relativeIndent="255" justifyLastLine="0" shrinkToFit="0" mergeCell="0" readingOrder="0"/>
    </dxf>
    <dxf>
      <fill>
        <patternFill patternType="solid">
          <fgColor indexed="64"/>
          <bgColor rgb="FFFFC000"/>
        </patternFill>
      </fill>
      <alignment horizontal="center" vertical="bottom" textRotation="0" wrapText="0" indent="0" relativeIndent="255" justifyLastLine="0" shrinkToFit="0" mergeCell="0" readingOrder="0"/>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theme="1"/>
        <name val="Calibri"/>
        <scheme val="minor"/>
      </font>
      <fill>
        <patternFill patternType="solid">
          <bgColor rgb="FFFFC000"/>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fill>
        <patternFill patternType="solid">
          <bgColor rgb="FFFFC00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solid">
          <bgColor rgb="FFFFC00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solid">
          <bgColor rgb="FFFFC000"/>
        </patternFill>
      </fill>
      <border diagonalUp="0" diagonalDown="0" outline="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solid">
          <bgColor rgb="FFFFC000"/>
        </patternFill>
      </fill>
      <border diagonalUp="0" diagonalDown="0" outline="0"/>
    </dxf>
    <dxf>
      <border>
        <bottom style="medium">
          <color indexed="64"/>
        </bottom>
        <vertical/>
        <horizontal/>
      </border>
    </dxf>
    <dxf>
      <font>
        <strike val="0"/>
        <outline val="0"/>
        <shadow val="0"/>
        <u val="none"/>
        <vertAlign val="baseline"/>
        <sz val="11"/>
        <color theme="1"/>
        <name val="Calibri"/>
        <scheme val="minor"/>
      </font>
      <fill>
        <patternFill patternType="solid">
          <bgColor rgb="FFFFC000"/>
        </patternFill>
      </fill>
      <border diagonalUp="0" diagonalDown="0" outline="0">
        <left style="thin">
          <color indexed="64"/>
        </left>
        <right style="thin">
          <color indexed="64"/>
        </right>
        <top/>
        <bottom/>
      </border>
    </dxf>
  </dxfs>
  <tableStyles count="0" defaultTableStyle="TableStyleMedium9" defaultPivotStyle="PivotStyleLight16"/>
  <colors>
    <mruColors>
      <color rgb="FFFFCC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3</xdr:col>
      <xdr:colOff>17930</xdr:colOff>
      <xdr:row>108</xdr:row>
      <xdr:rowOff>98611</xdr:rowOff>
    </xdr:from>
    <xdr:to>
      <xdr:col>7</xdr:col>
      <xdr:colOff>390413</xdr:colOff>
      <xdr:row>124</xdr:row>
      <xdr:rowOff>35858</xdr:rowOff>
    </xdr:to>
    <xdr:pic>
      <xdr:nvPicPr>
        <xdr:cNvPr id="3" name="Picture 2" descr="4.1.jpeg"/>
        <xdr:cNvPicPr>
          <a:picLocks noChangeAspect="1"/>
        </xdr:cNvPicPr>
      </xdr:nvPicPr>
      <xdr:blipFill>
        <a:blip xmlns:r="http://schemas.openxmlformats.org/officeDocument/2006/relationships" r:embed="rId1"/>
        <a:stretch>
          <a:fillRect/>
        </a:stretch>
      </xdr:blipFill>
      <xdr:spPr>
        <a:xfrm>
          <a:off x="1963271" y="20466423"/>
          <a:ext cx="5643730" cy="2805953"/>
        </a:xfrm>
        <a:prstGeom prst="rect">
          <a:avLst/>
        </a:prstGeom>
      </xdr:spPr>
    </xdr:pic>
    <xdr:clientData/>
  </xdr:twoCellAnchor>
  <xdr:twoCellAnchor editAs="oneCell">
    <xdr:from>
      <xdr:col>2</xdr:col>
      <xdr:colOff>652868</xdr:colOff>
      <xdr:row>596</xdr:row>
      <xdr:rowOff>15241</xdr:rowOff>
    </xdr:from>
    <xdr:to>
      <xdr:col>6</xdr:col>
      <xdr:colOff>533401</xdr:colOff>
      <xdr:row>615</xdr:row>
      <xdr:rowOff>42581</xdr:rowOff>
    </xdr:to>
    <xdr:pic>
      <xdr:nvPicPr>
        <xdr:cNvPr id="7" name="Picture 6" descr="5.3.jpg"/>
        <xdr:cNvPicPr>
          <a:picLocks noChangeAspect="1"/>
        </xdr:cNvPicPr>
      </xdr:nvPicPr>
      <xdr:blipFill>
        <a:blip xmlns:r="http://schemas.openxmlformats.org/officeDocument/2006/relationships" r:embed="rId2" cstate="print"/>
        <a:stretch>
          <a:fillRect/>
        </a:stretch>
      </xdr:blipFill>
      <xdr:spPr>
        <a:xfrm>
          <a:off x="1910168" y="107701081"/>
          <a:ext cx="5123093" cy="3502060"/>
        </a:xfrm>
        <a:prstGeom prst="rect">
          <a:avLst/>
        </a:prstGeom>
      </xdr:spPr>
    </xdr:pic>
    <xdr:clientData/>
  </xdr:twoCellAnchor>
  <xdr:twoCellAnchor editAs="oneCell">
    <xdr:from>
      <xdr:col>3</xdr:col>
      <xdr:colOff>0</xdr:colOff>
      <xdr:row>684</xdr:row>
      <xdr:rowOff>167640</xdr:rowOff>
    </xdr:from>
    <xdr:to>
      <xdr:col>6</xdr:col>
      <xdr:colOff>609600</xdr:colOff>
      <xdr:row>698</xdr:row>
      <xdr:rowOff>148590</xdr:rowOff>
    </xdr:to>
    <xdr:pic>
      <xdr:nvPicPr>
        <xdr:cNvPr id="8" name="Picture 7" descr="5.6.jpg"/>
        <xdr:cNvPicPr>
          <a:picLocks noChangeAspect="1"/>
        </xdr:cNvPicPr>
      </xdr:nvPicPr>
      <xdr:blipFill>
        <a:blip xmlns:r="http://schemas.openxmlformats.org/officeDocument/2006/relationships" r:embed="rId3" cstate="print"/>
        <a:stretch>
          <a:fillRect/>
        </a:stretch>
      </xdr:blipFill>
      <xdr:spPr>
        <a:xfrm>
          <a:off x="1950720" y="124358400"/>
          <a:ext cx="5158740" cy="2541270"/>
        </a:xfrm>
        <a:prstGeom prst="rect">
          <a:avLst/>
        </a:prstGeom>
      </xdr:spPr>
    </xdr:pic>
    <xdr:clientData/>
  </xdr:twoCellAnchor>
  <xdr:twoCellAnchor editAs="oneCell">
    <xdr:from>
      <xdr:col>1</xdr:col>
      <xdr:colOff>381000</xdr:colOff>
      <xdr:row>305</xdr:row>
      <xdr:rowOff>22862</xdr:rowOff>
    </xdr:from>
    <xdr:to>
      <xdr:col>6</xdr:col>
      <xdr:colOff>156557</xdr:colOff>
      <xdr:row>321</xdr:row>
      <xdr:rowOff>68208</xdr:rowOff>
    </xdr:to>
    <xdr:pic>
      <xdr:nvPicPr>
        <xdr:cNvPr id="9" name="Picture 8" descr="5.1.jpg"/>
        <xdr:cNvPicPr>
          <a:picLocks noChangeAspect="1"/>
        </xdr:cNvPicPr>
      </xdr:nvPicPr>
      <xdr:blipFill>
        <a:blip xmlns:r="http://schemas.openxmlformats.org/officeDocument/2006/relationships" r:embed="rId4"/>
        <a:stretch>
          <a:fillRect/>
        </a:stretch>
      </xdr:blipFill>
      <xdr:spPr>
        <a:xfrm>
          <a:off x="990600" y="58148222"/>
          <a:ext cx="5665817" cy="2971426"/>
        </a:xfrm>
        <a:prstGeom prst="rect">
          <a:avLst/>
        </a:prstGeom>
      </xdr:spPr>
    </xdr:pic>
    <xdr:clientData/>
  </xdr:twoCellAnchor>
  <xdr:twoCellAnchor editAs="oneCell">
    <xdr:from>
      <xdr:col>3</xdr:col>
      <xdr:colOff>7620</xdr:colOff>
      <xdr:row>151</xdr:row>
      <xdr:rowOff>15240</xdr:rowOff>
    </xdr:from>
    <xdr:to>
      <xdr:col>5</xdr:col>
      <xdr:colOff>769620</xdr:colOff>
      <xdr:row>164</xdr:row>
      <xdr:rowOff>121920</xdr:rowOff>
    </xdr:to>
    <xdr:pic>
      <xdr:nvPicPr>
        <xdr:cNvPr id="10" name="Picture 9" descr="4.3.jpg"/>
        <xdr:cNvPicPr>
          <a:picLocks noChangeAspect="1"/>
        </xdr:cNvPicPr>
      </xdr:nvPicPr>
      <xdr:blipFill>
        <a:blip xmlns:r="http://schemas.openxmlformats.org/officeDocument/2006/relationships" r:embed="rId5"/>
        <a:stretch>
          <a:fillRect/>
        </a:stretch>
      </xdr:blipFill>
      <xdr:spPr>
        <a:xfrm>
          <a:off x="1958340" y="28704540"/>
          <a:ext cx="4533900" cy="2484120"/>
        </a:xfrm>
        <a:prstGeom prst="rect">
          <a:avLst/>
        </a:prstGeom>
      </xdr:spPr>
    </xdr:pic>
    <xdr:clientData/>
  </xdr:twoCellAnchor>
  <xdr:twoCellAnchor editAs="oneCell">
    <xdr:from>
      <xdr:col>3</xdr:col>
      <xdr:colOff>15240</xdr:colOff>
      <xdr:row>190</xdr:row>
      <xdr:rowOff>0</xdr:rowOff>
    </xdr:from>
    <xdr:to>
      <xdr:col>6</xdr:col>
      <xdr:colOff>15240</xdr:colOff>
      <xdr:row>202</xdr:row>
      <xdr:rowOff>15240</xdr:rowOff>
    </xdr:to>
    <xdr:pic>
      <xdr:nvPicPr>
        <xdr:cNvPr id="12" name="Picture 11" descr="4.2 (2).jpg"/>
        <xdr:cNvPicPr>
          <a:picLocks noChangeAspect="1"/>
        </xdr:cNvPicPr>
      </xdr:nvPicPr>
      <xdr:blipFill>
        <a:blip xmlns:r="http://schemas.openxmlformats.org/officeDocument/2006/relationships" r:embed="rId6"/>
        <a:stretch>
          <a:fillRect/>
        </a:stretch>
      </xdr:blipFill>
      <xdr:spPr>
        <a:xfrm>
          <a:off x="1965960" y="35974020"/>
          <a:ext cx="4549140" cy="2232660"/>
        </a:xfrm>
        <a:prstGeom prst="rect">
          <a:avLst/>
        </a:prstGeom>
      </xdr:spPr>
    </xdr:pic>
    <xdr:clientData/>
  </xdr:twoCellAnchor>
  <xdr:twoCellAnchor editAs="oneCell">
    <xdr:from>
      <xdr:col>3</xdr:col>
      <xdr:colOff>7621</xdr:colOff>
      <xdr:row>374</xdr:row>
      <xdr:rowOff>7620</xdr:rowOff>
    </xdr:from>
    <xdr:to>
      <xdr:col>6</xdr:col>
      <xdr:colOff>693421</xdr:colOff>
      <xdr:row>387</xdr:row>
      <xdr:rowOff>167641</xdr:rowOff>
    </xdr:to>
    <xdr:pic>
      <xdr:nvPicPr>
        <xdr:cNvPr id="13" name="Picture 12" descr="5.21.jpg"/>
        <xdr:cNvPicPr>
          <a:picLocks noChangeAspect="1"/>
        </xdr:cNvPicPr>
      </xdr:nvPicPr>
      <xdr:blipFill>
        <a:blip xmlns:r="http://schemas.openxmlformats.org/officeDocument/2006/relationships" r:embed="rId7"/>
        <a:stretch>
          <a:fillRect/>
        </a:stretch>
      </xdr:blipFill>
      <xdr:spPr>
        <a:xfrm>
          <a:off x="1958341" y="71125080"/>
          <a:ext cx="5234940" cy="2537461"/>
        </a:xfrm>
        <a:prstGeom prst="rect">
          <a:avLst/>
        </a:prstGeom>
      </xdr:spPr>
    </xdr:pic>
    <xdr:clientData/>
  </xdr:twoCellAnchor>
  <xdr:twoCellAnchor editAs="oneCell">
    <xdr:from>
      <xdr:col>2</xdr:col>
      <xdr:colOff>685800</xdr:colOff>
      <xdr:row>412</xdr:row>
      <xdr:rowOff>7620</xdr:rowOff>
    </xdr:from>
    <xdr:to>
      <xdr:col>6</xdr:col>
      <xdr:colOff>701039</xdr:colOff>
      <xdr:row>426</xdr:row>
      <xdr:rowOff>0</xdr:rowOff>
    </xdr:to>
    <xdr:pic>
      <xdr:nvPicPr>
        <xdr:cNvPr id="14" name="Picture 13" descr="5.31.jpg"/>
        <xdr:cNvPicPr>
          <a:picLocks noChangeAspect="1"/>
        </xdr:cNvPicPr>
      </xdr:nvPicPr>
      <xdr:blipFill>
        <a:blip xmlns:r="http://schemas.openxmlformats.org/officeDocument/2006/relationships" r:embed="rId8"/>
        <a:stretch>
          <a:fillRect/>
        </a:stretch>
      </xdr:blipFill>
      <xdr:spPr>
        <a:xfrm>
          <a:off x="1943100" y="78196440"/>
          <a:ext cx="5257799" cy="2552700"/>
        </a:xfrm>
        <a:prstGeom prst="rect">
          <a:avLst/>
        </a:prstGeom>
      </xdr:spPr>
    </xdr:pic>
    <xdr:clientData/>
  </xdr:twoCellAnchor>
  <xdr:twoCellAnchor editAs="oneCell">
    <xdr:from>
      <xdr:col>2</xdr:col>
      <xdr:colOff>655320</xdr:colOff>
      <xdr:row>499</xdr:row>
      <xdr:rowOff>152400</xdr:rowOff>
    </xdr:from>
    <xdr:to>
      <xdr:col>7</xdr:col>
      <xdr:colOff>7620</xdr:colOff>
      <xdr:row>514</xdr:row>
      <xdr:rowOff>45720</xdr:rowOff>
    </xdr:to>
    <xdr:pic>
      <xdr:nvPicPr>
        <xdr:cNvPr id="15" name="Picture 14" descr="Barrel (2).jpg"/>
        <xdr:cNvPicPr>
          <a:picLocks noChangeAspect="1"/>
        </xdr:cNvPicPr>
      </xdr:nvPicPr>
      <xdr:blipFill>
        <a:blip xmlns:r="http://schemas.openxmlformats.org/officeDocument/2006/relationships" r:embed="rId9" cstate="print"/>
        <a:stretch>
          <a:fillRect/>
        </a:stretch>
      </xdr:blipFill>
      <xdr:spPr>
        <a:xfrm>
          <a:off x="1912620" y="95973900"/>
          <a:ext cx="5311140" cy="2636520"/>
        </a:xfrm>
        <a:prstGeom prst="rect">
          <a:avLst/>
        </a:prstGeom>
      </xdr:spPr>
    </xdr:pic>
    <xdr:clientData/>
  </xdr:twoCellAnchor>
</xdr:wsDr>
</file>

<file path=xl/tables/table1.xml><?xml version="1.0" encoding="utf-8"?>
<table xmlns="http://schemas.openxmlformats.org/spreadsheetml/2006/main" id="1" name="Table1" displayName="Table1" ref="C12:F18" totalsRowShown="0" headerRowDxfId="59" dataDxfId="57" headerRowBorderDxfId="58" tableBorderDxfId="56" totalsRowBorderDxfId="55">
  <autoFilter ref="C12:F18"/>
  <tableColumns count="4">
    <tableColumn id="1" name="S. No." dataDxfId="54"/>
    <tableColumn id="2" name="Description" dataDxfId="53"/>
    <tableColumn id="3" name="Particulars" dataDxfId="52"/>
    <tableColumn id="4" name="Units" dataDxfId="51"/>
  </tableColumns>
  <tableStyleInfo name="TableStyleLight15" showFirstColumn="0" showLastColumn="0" showRowStripes="1" showColumnStripes="0"/>
</table>
</file>

<file path=xl/tables/table2.xml><?xml version="1.0" encoding="utf-8"?>
<table xmlns="http://schemas.openxmlformats.org/spreadsheetml/2006/main" id="2" name="Table2" displayName="Table2" ref="C23:F27" totalsRowShown="0" headerRowDxfId="50" dataDxfId="49">
  <autoFilter ref="C23:F27"/>
  <tableColumns count="4">
    <tableColumn id="1" name="S. No." dataDxfId="48"/>
    <tableColumn id="2" name="Description" dataDxfId="47"/>
    <tableColumn id="3" name="Particulars" dataDxfId="46"/>
    <tableColumn id="4" name="Units" dataDxfId="45"/>
  </tableColumns>
  <tableStyleInfo name="TableStyleLight15" showFirstColumn="0" showLastColumn="0" showRowStripes="1" showColumnStripes="0"/>
</table>
</file>

<file path=xl/tables/table3.xml><?xml version="1.0" encoding="utf-8"?>
<table xmlns="http://schemas.openxmlformats.org/spreadsheetml/2006/main" id="3" name="Table3" displayName="Table3" ref="D148:I149" totalsRowShown="0" headerRowDxfId="44" dataDxfId="43">
  <autoFilter ref="D148:I149"/>
  <tableColumns count="6">
    <tableColumn id="1" name="x (in metres)" dataDxfId="42"/>
    <tableColumn id="2" name="0" dataDxfId="41">
      <calculatedColumnFormula>(E142*E143*E144)/((E144*E142)-Table3[[#Headers],[0]]*(E142-E143))</calculatedColumnFormula>
    </tableColumn>
    <tableColumn id="3" name="0.25" dataDxfId="40">
      <calculatedColumnFormula>(E142*E143*E144)/((E144*E142)-Table3[[#Headers],[0.25]]*(E142-E143))</calculatedColumnFormula>
    </tableColumn>
    <tableColumn id="4" name="0.5" dataDxfId="39">
      <calculatedColumnFormula>(E142*E143*E144)/((E144*E142)-Table3[[#Headers],[0.5]]*(E142-E143))</calculatedColumnFormula>
    </tableColumn>
    <tableColumn id="5" name="0.75" dataDxfId="38">
      <calculatedColumnFormula>(E142*E143*E144)/((E144*E142)-Table3[[#Headers],[0.75]]*(E142-E143))</calculatedColumnFormula>
    </tableColumn>
    <tableColumn id="6" name="1" dataDxfId="37">
      <calculatedColumnFormula>(E142*E143*E144)/((E144*E142)-Table3[[#Headers],[1]]*(E142-E143))</calculatedColumnFormula>
    </tableColumn>
  </tableColumns>
  <tableStyleInfo name="TableStyleLight15" showFirstColumn="0" showLastColumn="0" showRowStripes="1" showColumnStripes="0"/>
</table>
</file>

<file path=xl/tables/table4.xml><?xml version="1.0" encoding="utf-8"?>
<table xmlns="http://schemas.openxmlformats.org/spreadsheetml/2006/main" id="4" name="Table4" displayName="Table4" ref="D187:H188" totalsRowShown="0" headerRowDxfId="36" dataDxfId="35">
  <autoFilter ref="D187:H188"/>
  <tableColumns count="5">
    <tableColumn id="1" name="x (in metres)" dataDxfId="34"/>
    <tableColumn id="2" name="0" dataDxfId="33">
      <calculatedColumnFormula>(E181*E182*E183)/((E183*E181)-Table4[[#Headers],[0]]*(E181-E182))</calculatedColumnFormula>
    </tableColumn>
    <tableColumn id="3" name="0.5" dataDxfId="32">
      <calculatedColumnFormula>(E181*E182*E183)/((E183*E181)-Table4[[#Headers],[0.5]]*(E181-E182))</calculatedColumnFormula>
    </tableColumn>
    <tableColumn id="4" name="1" dataDxfId="31">
      <calculatedColumnFormula>(E181*E182*E183)/((E183*E181)-Table4[[#Headers],[1]]*(E181-E182))</calculatedColumnFormula>
    </tableColumn>
    <tableColumn id="5" name="1.5" dataDxfId="30">
      <calculatedColumnFormula>(E181*E182*E183)/((E183*E181)-Table4[[#Headers],[1.5]]*(E181-E182))</calculatedColumnFormula>
    </tableColumn>
  </tableColumns>
  <tableStyleInfo name="TableStyleLight15" showFirstColumn="0" showLastColumn="0" showRowStripes="1" showColumnStripes="0"/>
</table>
</file>

<file path=xl/tables/table5.xml><?xml version="1.0" encoding="utf-8"?>
<table xmlns="http://schemas.openxmlformats.org/spreadsheetml/2006/main" id="5" name="Table26" displayName="Table26" ref="C240:F244" totalsRowShown="0" headerRowDxfId="29" dataDxfId="28">
  <autoFilter ref="C240:F244"/>
  <tableColumns count="4">
    <tableColumn id="1" name="S. No." dataDxfId="27"/>
    <tableColumn id="2" name="Description" dataDxfId="26"/>
    <tableColumn id="3" name="Particulars" dataDxfId="25"/>
    <tableColumn id="4" name="Units" dataDxfId="24"/>
  </tableColumns>
  <tableStyleInfo name="TableStyleLight15" showFirstColumn="0" showLastColumn="0" showRowStripes="1" showColumnStripes="0"/>
</table>
</file>

<file path=xl/tables/table6.xml><?xml version="1.0" encoding="utf-8"?>
<table xmlns="http://schemas.openxmlformats.org/spreadsheetml/2006/main" id="6" name="Table17" displayName="Table17" ref="C229:F235" totalsRowShown="0" headerRowDxfId="23" dataDxfId="22">
  <autoFilter ref="C229:F235"/>
  <tableColumns count="4">
    <tableColumn id="1" name="S. No." dataDxfId="21"/>
    <tableColumn id="2" name="Description" dataDxfId="20"/>
    <tableColumn id="3" name="Particulars" dataDxfId="19"/>
    <tableColumn id="4" name="Units" dataDxfId="18"/>
  </tableColumns>
  <tableStyleInfo name="TableStyleLight15" showFirstColumn="0" showLastColumn="0" showRowStripes="1" showColumnStripes="0"/>
</table>
</file>

<file path=xl/tables/table7.xml><?xml version="1.0" encoding="utf-8"?>
<table xmlns="http://schemas.openxmlformats.org/spreadsheetml/2006/main" id="7" name="Table38" displayName="Table38" ref="D372:J373" totalsRowShown="0" headerRowDxfId="17" dataDxfId="16">
  <autoFilter ref="D372:J373">
    <filterColumn colId="6"/>
  </autoFilter>
  <tableColumns count="7">
    <tableColumn id="1" name="Bx (in metres)" dataDxfId="15"/>
    <tableColumn id="2" name="1" dataDxfId="14">
      <calculatedColumnFormula>(E368*E366^(3/2))/(E366^(3/2)-E367^(3/2))*(1-(E367/Table38[[#Headers],[1]])^(3/2))</calculatedColumnFormula>
    </tableColumn>
    <tableColumn id="3" name="1.2" dataDxfId="13">
      <calculatedColumnFormula>(E368*E366^(3/2))/(E366^(3/2)-E367^(3/2))*(1-(E367/Table38[[#Headers],[1.2]])^(3/2))</calculatedColumnFormula>
    </tableColumn>
    <tableColumn id="4" name="1.4" dataDxfId="12">
      <calculatedColumnFormula>(E368*E366^(3/2))/(E366^(3/2)-E367^(3/2))*(1-(E367/Table38[[#Headers],[1.4]])^(3/2))</calculatedColumnFormula>
    </tableColumn>
    <tableColumn id="5" name="1.6" dataDxfId="11">
      <calculatedColumnFormula>(E368*E366^(3/2))/(E366^(3/2)-E367^(3/2))*(1-(E367/Table38[[#Headers],[1.6]])^(3/2))</calculatedColumnFormula>
    </tableColumn>
    <tableColumn id="6" name="1.8" dataDxfId="10">
      <calculatedColumnFormula>(E368*E366^(3/2))/(E366^(3/2)-E367^(3/2))*(1-(E367/Table38[[#Headers],[1.8]])^(3/2))</calculatedColumnFormula>
    </tableColumn>
    <tableColumn id="7" name="2" dataDxfId="9">
      <calculatedColumnFormula>(E368*E366^(3/2))/(E366^(3/2)-E367^(3/2))*(1-(E367/Table38[[#Headers],[2]])^(3/2))</calculatedColumnFormula>
    </tableColumn>
  </tableColumns>
  <tableStyleInfo name="TableStyleLight15" showFirstColumn="0" showLastColumn="0" showRowStripes="1" showColumnStripes="0"/>
</table>
</file>

<file path=xl/tables/table8.xml><?xml version="1.0" encoding="utf-8"?>
<table xmlns="http://schemas.openxmlformats.org/spreadsheetml/2006/main" id="8" name="Table389" displayName="Table389" ref="D410:J411" totalsRowShown="0" headerRowDxfId="8" dataDxfId="7">
  <autoFilter ref="D410:J411"/>
  <tableColumns count="7">
    <tableColumn id="1" name="Bx (in metres)" dataDxfId="6"/>
    <tableColumn id="2" name="1" dataDxfId="5">
      <calculatedColumnFormula>(E406*E404^(3/2))/(E404^(3/2)-E405^(3/2))*(1-(E405/Table389[[#Headers],[1]])^(3/2))</calculatedColumnFormula>
    </tableColumn>
    <tableColumn id="3" name="1.2" dataDxfId="4">
      <calculatedColumnFormula>(E406*E404^(3/2))/(E404^(3/2)-E405^(3/2))*(1-(E405/Table389[[#Headers],[1.2]])^(3/2))</calculatedColumnFormula>
    </tableColumn>
    <tableColumn id="4" name="1.4" dataDxfId="3">
      <calculatedColumnFormula>(E406*E404^(3/2))/(E404^(3/2)-E405^(3/2))*(1-(E405/Table389[[#Headers],[1.4]])^(3/2))</calculatedColumnFormula>
    </tableColumn>
    <tableColumn id="5" name="1.6" dataDxfId="2">
      <calculatedColumnFormula>(E406*E404^(3/2))/(E404^(3/2)-E405^(3/2))*(1-(E405/Table389[[#Headers],[1.6]])^(3/2))</calculatedColumnFormula>
    </tableColumn>
    <tableColumn id="6" name="1.8" dataDxfId="1">
      <calculatedColumnFormula>(E406*E404^(3/2))/(E404^(3/2)-E405^(3/2))*(1-(E405/Table389[[#Headers],[1.8]])^(3/2))</calculatedColumnFormula>
    </tableColumn>
    <tableColumn id="7" name="2" dataDxfId="0">
      <calculatedColumnFormula>(E406*E404^(3/2))/(E404^(3/2)-E405^(3/2))*(1-(E405/Table389[[#Headers],[2]])^(3/2))</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B3:N701"/>
  <sheetViews>
    <sheetView tabSelected="1" workbookViewId="0">
      <selection activeCell="B706" sqref="B706"/>
    </sheetView>
  </sheetViews>
  <sheetFormatPr defaultRowHeight="14.4"/>
  <cols>
    <col min="2" max="2" width="9.44140625" customWidth="1"/>
    <col min="3" max="3" width="10.109375" customWidth="1"/>
    <col min="4" max="4" width="42.44140625" customWidth="1"/>
    <col min="5" max="5" width="12.5546875" customWidth="1"/>
    <col min="6" max="6" width="11.33203125" customWidth="1"/>
    <col min="7" max="9" width="10.44140625" customWidth="1"/>
    <col min="10" max="11" width="9.44140625" customWidth="1"/>
  </cols>
  <sheetData>
    <row r="3" spans="2:6" ht="28.8">
      <c r="B3" s="1" t="s">
        <v>314</v>
      </c>
      <c r="C3" s="1"/>
      <c r="D3" s="1"/>
      <c r="E3" s="2"/>
      <c r="F3" s="2"/>
    </row>
    <row r="5" spans="2:6">
      <c r="D5" s="77" t="s">
        <v>304</v>
      </c>
      <c r="E5" s="77"/>
    </row>
    <row r="8" spans="2:6" ht="18">
      <c r="B8" s="3" t="s">
        <v>315</v>
      </c>
    </row>
    <row r="10" spans="2:6" ht="15.6">
      <c r="B10" s="4" t="s">
        <v>0</v>
      </c>
    </row>
    <row r="11" spans="2:6">
      <c r="C11" s="17"/>
      <c r="D11" s="17"/>
      <c r="E11" s="17"/>
      <c r="F11" s="17"/>
    </row>
    <row r="12" spans="2:6" ht="18" customHeight="1" thickBot="1">
      <c r="C12" s="37" t="s">
        <v>1</v>
      </c>
      <c r="D12" s="38" t="s">
        <v>2</v>
      </c>
      <c r="E12" s="38" t="s">
        <v>3</v>
      </c>
      <c r="F12" s="39" t="s">
        <v>4</v>
      </c>
    </row>
    <row r="13" spans="2:6">
      <c r="C13" s="40">
        <v>1</v>
      </c>
      <c r="D13" s="41" t="s">
        <v>5</v>
      </c>
      <c r="E13" s="42">
        <v>0.4</v>
      </c>
      <c r="F13" s="43" t="s">
        <v>11</v>
      </c>
    </row>
    <row r="14" spans="2:6">
      <c r="C14" s="44">
        <v>2</v>
      </c>
      <c r="D14" s="45" t="s">
        <v>6</v>
      </c>
      <c r="E14" s="46">
        <v>2</v>
      </c>
      <c r="F14" s="47" t="s">
        <v>12</v>
      </c>
    </row>
    <row r="15" spans="2:6">
      <c r="C15" s="44">
        <v>3</v>
      </c>
      <c r="D15" s="48" t="s">
        <v>7</v>
      </c>
      <c r="E15" s="46">
        <v>0.55000000000000004</v>
      </c>
      <c r="F15" s="47" t="s">
        <v>12</v>
      </c>
    </row>
    <row r="16" spans="2:6">
      <c r="C16" s="44">
        <v>4</v>
      </c>
      <c r="D16" s="45" t="s">
        <v>8</v>
      </c>
      <c r="E16" s="46">
        <v>55.5</v>
      </c>
      <c r="F16" s="47" t="s">
        <v>12</v>
      </c>
    </row>
    <row r="17" spans="2:10">
      <c r="C17" s="44">
        <v>5</v>
      </c>
      <c r="D17" s="49" t="s">
        <v>130</v>
      </c>
      <c r="E17" s="50">
        <v>1.5</v>
      </c>
      <c r="F17" s="47"/>
    </row>
    <row r="18" spans="2:10">
      <c r="C18" s="51">
        <v>6</v>
      </c>
      <c r="D18" s="52" t="s">
        <v>10</v>
      </c>
      <c r="E18" s="53">
        <v>1.6E-2</v>
      </c>
      <c r="F18" s="54"/>
    </row>
    <row r="21" spans="2:10" ht="15.6">
      <c r="B21" s="4" t="s">
        <v>13</v>
      </c>
    </row>
    <row r="23" spans="2:10" ht="17.399999999999999" customHeight="1">
      <c r="C23" s="55" t="s">
        <v>1</v>
      </c>
      <c r="D23" s="56" t="s">
        <v>2</v>
      </c>
      <c r="E23" s="56" t="s">
        <v>3</v>
      </c>
      <c r="F23" s="56" t="s">
        <v>4</v>
      </c>
    </row>
    <row r="24" spans="2:10">
      <c r="C24" s="55">
        <v>1</v>
      </c>
      <c r="D24" s="55" t="s">
        <v>14</v>
      </c>
      <c r="E24" s="55">
        <v>54.46</v>
      </c>
      <c r="F24" s="55" t="s">
        <v>12</v>
      </c>
    </row>
    <row r="25" spans="2:10">
      <c r="C25" s="55">
        <v>2</v>
      </c>
      <c r="D25" s="55" t="s">
        <v>15</v>
      </c>
      <c r="E25" s="55">
        <v>53.38</v>
      </c>
      <c r="F25" s="55" t="s">
        <v>12</v>
      </c>
    </row>
    <row r="26" spans="2:10">
      <c r="C26" s="55">
        <v>3</v>
      </c>
      <c r="D26" s="55" t="s">
        <v>16</v>
      </c>
      <c r="E26" s="55">
        <v>3.75</v>
      </c>
      <c r="F26" s="55" t="s">
        <v>12</v>
      </c>
    </row>
    <row r="27" spans="2:10">
      <c r="C27" s="55">
        <v>4</v>
      </c>
      <c r="D27" s="55" t="s">
        <v>17</v>
      </c>
      <c r="E27" s="57">
        <v>95</v>
      </c>
      <c r="F27" s="55" t="s">
        <v>11</v>
      </c>
    </row>
    <row r="30" spans="2:10" ht="18">
      <c r="B30" s="3" t="s">
        <v>316</v>
      </c>
    </row>
    <row r="31" spans="2:10">
      <c r="F31" s="10" t="s">
        <v>4</v>
      </c>
      <c r="G31" s="15" t="s">
        <v>21</v>
      </c>
      <c r="H31" s="15"/>
      <c r="J31" s="7"/>
    </row>
    <row r="32" spans="2:10">
      <c r="D32" s="8" t="s">
        <v>49</v>
      </c>
      <c r="E32" s="9">
        <f>4.8*SQRT(E27)</f>
        <v>46.784612855083019</v>
      </c>
      <c r="F32" s="10" t="s">
        <v>12</v>
      </c>
      <c r="G32" s="16" t="s">
        <v>280</v>
      </c>
      <c r="H32" s="16"/>
      <c r="I32" s="16"/>
      <c r="J32" s="16"/>
    </row>
    <row r="34" spans="2:8">
      <c r="D34" s="55" t="s">
        <v>50</v>
      </c>
      <c r="E34" s="57">
        <v>5</v>
      </c>
      <c r="F34" s="55" t="s">
        <v>12</v>
      </c>
    </row>
    <row r="35" spans="2:8">
      <c r="D35" s="55" t="s">
        <v>51</v>
      </c>
      <c r="E35" s="57">
        <v>1</v>
      </c>
      <c r="F35" s="55" t="s">
        <v>12</v>
      </c>
    </row>
    <row r="36" spans="2:8">
      <c r="D36" s="55" t="s">
        <v>52</v>
      </c>
      <c r="E36" s="55">
        <v>8</v>
      </c>
      <c r="F36" s="55"/>
    </row>
    <row r="37" spans="2:8">
      <c r="D37" s="55" t="s">
        <v>53</v>
      </c>
      <c r="E37" s="55">
        <v>7</v>
      </c>
      <c r="F37" s="55"/>
    </row>
    <row r="39" spans="2:8">
      <c r="D39" s="10" t="s">
        <v>54</v>
      </c>
      <c r="E39" s="9">
        <f>E36*E34</f>
        <v>40</v>
      </c>
      <c r="F39" s="10" t="s">
        <v>12</v>
      </c>
    </row>
    <row r="40" spans="2:8">
      <c r="D40" s="10" t="s">
        <v>55</v>
      </c>
      <c r="E40" s="9">
        <f>E37*E35</f>
        <v>7</v>
      </c>
      <c r="F40" s="10" t="s">
        <v>12</v>
      </c>
    </row>
    <row r="41" spans="2:8">
      <c r="D41" s="10" t="s">
        <v>56</v>
      </c>
      <c r="E41" s="9">
        <f>E39+E40</f>
        <v>47</v>
      </c>
      <c r="F41" s="10" t="s">
        <v>12</v>
      </c>
    </row>
    <row r="43" spans="2:8">
      <c r="E43" s="6"/>
    </row>
    <row r="44" spans="2:8" ht="18">
      <c r="B44" s="3" t="s">
        <v>318</v>
      </c>
    </row>
    <row r="45" spans="2:8">
      <c r="F45" s="10" t="s">
        <v>4</v>
      </c>
      <c r="G45" s="10"/>
      <c r="H45" s="10"/>
    </row>
    <row r="46" spans="2:8">
      <c r="D46" t="s">
        <v>57</v>
      </c>
      <c r="E46" s="29">
        <f>E14</f>
        <v>2</v>
      </c>
      <c r="F46" t="s">
        <v>12</v>
      </c>
    </row>
    <row r="47" spans="2:8">
      <c r="D47" s="55" t="s">
        <v>58</v>
      </c>
      <c r="E47" s="55">
        <v>1</v>
      </c>
      <c r="F47" s="55" t="s">
        <v>12</v>
      </c>
    </row>
    <row r="48" spans="2:8">
      <c r="D48" s="55" t="s">
        <v>59</v>
      </c>
      <c r="E48" s="58">
        <v>2</v>
      </c>
      <c r="F48" s="55"/>
    </row>
    <row r="49" spans="2:10">
      <c r="D49" s="55" t="s">
        <v>60</v>
      </c>
      <c r="E49" s="58">
        <v>3</v>
      </c>
      <c r="F49" s="55"/>
    </row>
    <row r="51" spans="2:10">
      <c r="D51" s="10" t="s">
        <v>61</v>
      </c>
      <c r="E51" s="10">
        <f>((E46-E47)/2)*E48</f>
        <v>1</v>
      </c>
      <c r="F51" s="10" t="s">
        <v>12</v>
      </c>
    </row>
    <row r="52" spans="2:10">
      <c r="D52" s="10" t="s">
        <v>148</v>
      </c>
      <c r="E52" s="10">
        <f>((E46-E47)/2)*E49</f>
        <v>1.5</v>
      </c>
      <c r="F52" s="10" t="s">
        <v>12</v>
      </c>
    </row>
    <row r="53" spans="2:10">
      <c r="J53" s="7"/>
    </row>
    <row r="54" spans="2:10">
      <c r="D54" s="10" t="s">
        <v>62</v>
      </c>
      <c r="E54" s="9">
        <f>E41</f>
        <v>47</v>
      </c>
      <c r="F54" s="10" t="s">
        <v>12</v>
      </c>
    </row>
    <row r="56" spans="2:10">
      <c r="D56" s="15" t="s">
        <v>129</v>
      </c>
      <c r="E56" s="15"/>
      <c r="F56" s="15"/>
      <c r="G56" s="11"/>
      <c r="H56" s="12"/>
    </row>
    <row r="57" spans="2:10">
      <c r="D57" s="15"/>
      <c r="E57" s="15"/>
      <c r="F57" s="15"/>
      <c r="G57" s="11"/>
      <c r="H57" s="12"/>
    </row>
    <row r="59" spans="2:10" ht="18">
      <c r="B59" s="3" t="s">
        <v>319</v>
      </c>
      <c r="E59" s="7"/>
    </row>
    <row r="60" spans="2:10">
      <c r="F60" s="10" t="s">
        <v>4</v>
      </c>
      <c r="G60" s="15" t="s">
        <v>21</v>
      </c>
      <c r="H60" s="15"/>
      <c r="I60" s="16"/>
      <c r="J60" s="16"/>
    </row>
    <row r="61" spans="2:10">
      <c r="D61" t="s">
        <v>131</v>
      </c>
      <c r="E61" s="28">
        <f>E17</f>
        <v>1.5</v>
      </c>
      <c r="G61" s="16"/>
      <c r="H61" s="16"/>
      <c r="I61" s="16"/>
      <c r="J61" s="16"/>
    </row>
    <row r="62" spans="2:10">
      <c r="G62" s="16"/>
      <c r="H62" s="16"/>
      <c r="I62" s="16"/>
      <c r="J62" s="16"/>
    </row>
    <row r="63" spans="2:10" ht="15.6">
      <c r="D63" s="25" t="s">
        <v>18</v>
      </c>
      <c r="G63" s="16"/>
      <c r="H63" s="16"/>
      <c r="I63" s="16"/>
      <c r="J63" s="16"/>
    </row>
    <row r="64" spans="2:10">
      <c r="G64" s="16"/>
      <c r="H64" s="16"/>
      <c r="I64" s="16"/>
      <c r="J64" s="16"/>
    </row>
    <row r="65" spans="4:10">
      <c r="D65" t="s">
        <v>132</v>
      </c>
      <c r="E65">
        <f>E46</f>
        <v>2</v>
      </c>
      <c r="F65" t="s">
        <v>12</v>
      </c>
      <c r="G65" s="16"/>
      <c r="H65" s="16"/>
      <c r="I65" s="16"/>
      <c r="J65" s="16"/>
    </row>
    <row r="66" spans="4:10" ht="16.2">
      <c r="D66" t="s">
        <v>133</v>
      </c>
      <c r="E66" s="21">
        <f>(E65+E61*E15)*E15</f>
        <v>1.5537500000000002</v>
      </c>
      <c r="F66" s="17" t="s">
        <v>67</v>
      </c>
      <c r="G66" s="16" t="s">
        <v>134</v>
      </c>
      <c r="H66" s="16"/>
      <c r="I66" s="16"/>
      <c r="J66" s="16"/>
    </row>
    <row r="67" spans="4:10" ht="15.6">
      <c r="D67" t="s">
        <v>68</v>
      </c>
      <c r="E67" s="21">
        <f>E13/E66</f>
        <v>0.25744167337087687</v>
      </c>
      <c r="F67" s="17" t="s">
        <v>19</v>
      </c>
      <c r="G67" s="16" t="s">
        <v>281</v>
      </c>
      <c r="H67" s="16"/>
      <c r="I67" s="16"/>
      <c r="J67" s="16"/>
    </row>
    <row r="68" spans="4:10" ht="16.8">
      <c r="D68" s="17" t="s">
        <v>63</v>
      </c>
      <c r="E68" s="22">
        <f>(E67*E67)/(2*9.81)</f>
        <v>3.3779926191639781E-3</v>
      </c>
      <c r="F68" s="17" t="s">
        <v>12</v>
      </c>
      <c r="G68" s="16" t="s">
        <v>282</v>
      </c>
      <c r="H68" s="16"/>
      <c r="I68" s="16"/>
      <c r="J68" s="16"/>
    </row>
    <row r="69" spans="4:10">
      <c r="D69" s="17" t="s">
        <v>64</v>
      </c>
      <c r="E69" s="21">
        <f>E16-E15</f>
        <v>54.95</v>
      </c>
      <c r="F69" s="17" t="s">
        <v>12</v>
      </c>
    </row>
    <row r="70" spans="4:10">
      <c r="D70" s="17" t="s">
        <v>65</v>
      </c>
      <c r="E70" s="21">
        <f>E69+E15</f>
        <v>55.5</v>
      </c>
      <c r="F70" s="17" t="s">
        <v>12</v>
      </c>
    </row>
    <row r="71" spans="4:10">
      <c r="D71" s="17" t="s">
        <v>66</v>
      </c>
      <c r="E71" s="22">
        <f>E70+E68</f>
        <v>55.503377992619164</v>
      </c>
      <c r="F71" s="17" t="s">
        <v>12</v>
      </c>
    </row>
    <row r="73" spans="4:10" ht="15.6">
      <c r="D73" s="25" t="s">
        <v>20</v>
      </c>
      <c r="E73" s="7"/>
    </row>
    <row r="75" spans="4:10">
      <c r="D75" t="s">
        <v>132</v>
      </c>
      <c r="E75" s="7">
        <f>E47</f>
        <v>1</v>
      </c>
      <c r="F75" t="s">
        <v>12</v>
      </c>
    </row>
    <row r="76" spans="4:10" ht="16.2">
      <c r="D76" t="s">
        <v>136</v>
      </c>
      <c r="E76" s="17">
        <f>E75*E15</f>
        <v>0.55000000000000004</v>
      </c>
      <c r="F76" s="17" t="s">
        <v>67</v>
      </c>
      <c r="G76" s="16" t="s">
        <v>135</v>
      </c>
      <c r="H76" s="16"/>
      <c r="I76" s="16"/>
    </row>
    <row r="77" spans="4:10" ht="15.6">
      <c r="D77" s="17" t="s">
        <v>77</v>
      </c>
      <c r="E77" s="21">
        <f>E13/E76</f>
        <v>0.72727272727272729</v>
      </c>
      <c r="F77" s="17" t="s">
        <v>19</v>
      </c>
      <c r="G77" s="16" t="s">
        <v>283</v>
      </c>
      <c r="H77" s="16"/>
      <c r="I77" s="16"/>
    </row>
    <row r="78" spans="4:10" ht="16.8">
      <c r="D78" s="17" t="s">
        <v>63</v>
      </c>
      <c r="E78" s="22">
        <f>(E77*E77)/(2*9.81)</f>
        <v>2.6958492346315532E-2</v>
      </c>
      <c r="F78" s="17" t="s">
        <v>12</v>
      </c>
      <c r="G78" s="16" t="s">
        <v>284</v>
      </c>
      <c r="H78" s="16"/>
      <c r="I78" s="16"/>
    </row>
    <row r="79" spans="4:10" ht="17.399999999999999" customHeight="1">
      <c r="D79" s="17" t="s">
        <v>69</v>
      </c>
      <c r="E79" s="22">
        <f>0.3*((E77*E77-E67*E67)/(2*9.81))</f>
        <v>7.0741499181454651E-3</v>
      </c>
      <c r="F79" s="17" t="s">
        <v>12</v>
      </c>
      <c r="G79" s="16" t="s">
        <v>285</v>
      </c>
      <c r="H79" s="16"/>
      <c r="I79" s="16"/>
    </row>
    <row r="80" spans="4:10">
      <c r="D80" s="17" t="s">
        <v>70</v>
      </c>
      <c r="E80" s="21">
        <f>E71+E79</f>
        <v>55.510452142537311</v>
      </c>
      <c r="F80" s="17" t="s">
        <v>12</v>
      </c>
    </row>
    <row r="81" spans="4:8">
      <c r="D81" s="17" t="s">
        <v>71</v>
      </c>
      <c r="E81" s="22">
        <f>E80-E78</f>
        <v>55.483493650190994</v>
      </c>
      <c r="F81" s="17" t="s">
        <v>12</v>
      </c>
    </row>
    <row r="82" spans="4:8">
      <c r="D82" s="17" t="s">
        <v>72</v>
      </c>
      <c r="E82" s="22">
        <f>E81-E15</f>
        <v>54.933493650190997</v>
      </c>
      <c r="F82" s="17" t="s">
        <v>12</v>
      </c>
    </row>
    <row r="84" spans="4:8" ht="15.6">
      <c r="D84" s="25" t="s">
        <v>22</v>
      </c>
    </row>
    <row r="86" spans="4:8">
      <c r="D86" t="s">
        <v>137</v>
      </c>
      <c r="E86">
        <f>E47</f>
        <v>1</v>
      </c>
      <c r="F86" t="s">
        <v>12</v>
      </c>
    </row>
    <row r="87" spans="4:8">
      <c r="D87" t="s">
        <v>73</v>
      </c>
      <c r="E87" s="14">
        <f>E18</f>
        <v>1.6E-2</v>
      </c>
    </row>
    <row r="88" spans="4:8">
      <c r="D88" t="s">
        <v>138</v>
      </c>
      <c r="E88" s="6">
        <f>E54</f>
        <v>47</v>
      </c>
      <c r="F88" t="s">
        <v>12</v>
      </c>
    </row>
    <row r="89" spans="4:8" ht="16.2">
      <c r="D89" t="s">
        <v>139</v>
      </c>
      <c r="E89" s="17">
        <f>E86*E15</f>
        <v>0.55000000000000004</v>
      </c>
      <c r="F89" t="s">
        <v>67</v>
      </c>
      <c r="G89" s="16" t="s">
        <v>135</v>
      </c>
      <c r="H89" s="16"/>
    </row>
    <row r="90" spans="4:8">
      <c r="D90" t="s">
        <v>140</v>
      </c>
      <c r="E90" s="17">
        <f>E86+2*E15</f>
        <v>2.1</v>
      </c>
      <c r="F90" s="17" t="s">
        <v>12</v>
      </c>
      <c r="G90" s="16" t="s">
        <v>141</v>
      </c>
      <c r="H90" s="16"/>
    </row>
    <row r="91" spans="4:8">
      <c r="D91" t="s">
        <v>142</v>
      </c>
      <c r="E91" s="21">
        <f>E89/E90</f>
        <v>0.26190476190476192</v>
      </c>
      <c r="F91" s="17" t="s">
        <v>12</v>
      </c>
      <c r="G91" s="16" t="s">
        <v>143</v>
      </c>
      <c r="H91" s="16"/>
    </row>
    <row r="92" spans="4:8" ht="15.6">
      <c r="D92" t="s">
        <v>144</v>
      </c>
      <c r="E92" s="21">
        <f>E13/E89</f>
        <v>0.72727272727272729</v>
      </c>
      <c r="F92" s="17" t="s">
        <v>19</v>
      </c>
      <c r="G92" s="16" t="s">
        <v>286</v>
      </c>
      <c r="H92" s="16"/>
    </row>
    <row r="93" spans="4:8" ht="18" customHeight="1">
      <c r="D93" s="17" t="s">
        <v>63</v>
      </c>
      <c r="E93" s="22">
        <f>(E92*E92)/(2*9.81)</f>
        <v>2.6958492346315532E-2</v>
      </c>
      <c r="F93" s="17" t="s">
        <v>12</v>
      </c>
      <c r="G93" s="16" t="s">
        <v>287</v>
      </c>
      <c r="H93" s="16"/>
    </row>
    <row r="94" spans="4:8" ht="18" customHeight="1">
      <c r="D94" t="s">
        <v>145</v>
      </c>
      <c r="E94" s="22">
        <f>(E87*E87*E92*E92*E88)/POWER(E91,4/3)</f>
        <v>3.7978799606617174E-2</v>
      </c>
      <c r="F94" s="17" t="s">
        <v>12</v>
      </c>
      <c r="G94" s="16" t="s">
        <v>288</v>
      </c>
      <c r="H94" s="16"/>
    </row>
    <row r="95" spans="4:8">
      <c r="D95" s="17" t="s">
        <v>74</v>
      </c>
      <c r="E95" s="22">
        <f>E80+E94</f>
        <v>55.548430942143931</v>
      </c>
      <c r="F95" s="17" t="s">
        <v>12</v>
      </c>
    </row>
    <row r="96" spans="4:8">
      <c r="D96" s="17" t="s">
        <v>75</v>
      </c>
      <c r="E96" s="22">
        <f>E95-E93</f>
        <v>55.521472449797614</v>
      </c>
      <c r="F96" s="17" t="s">
        <v>12</v>
      </c>
    </row>
    <row r="97" spans="4:9">
      <c r="D97" s="17" t="s">
        <v>76</v>
      </c>
      <c r="E97" s="22">
        <f>E96-E15</f>
        <v>54.971472449797616</v>
      </c>
      <c r="F97" s="17" t="s">
        <v>12</v>
      </c>
    </row>
    <row r="99" spans="4:9" ht="15.6">
      <c r="D99" s="25" t="s">
        <v>23</v>
      </c>
    </row>
    <row r="101" spans="4:9">
      <c r="D101" t="s">
        <v>137</v>
      </c>
      <c r="E101">
        <f>E46</f>
        <v>2</v>
      </c>
      <c r="F101" t="s">
        <v>12</v>
      </c>
    </row>
    <row r="102" spans="4:9">
      <c r="D102" t="s">
        <v>78</v>
      </c>
      <c r="E102" s="14">
        <f>E68</f>
        <v>3.3779926191639781E-3</v>
      </c>
      <c r="F102" t="s">
        <v>12</v>
      </c>
    </row>
    <row r="103" spans="4:9">
      <c r="D103" t="s">
        <v>79</v>
      </c>
      <c r="E103" s="14">
        <f>E93</f>
        <v>2.6958492346315532E-2</v>
      </c>
      <c r="F103" t="s">
        <v>12</v>
      </c>
    </row>
    <row r="104" spans="4:9" ht="16.8" customHeight="1">
      <c r="D104" s="17" t="s">
        <v>80</v>
      </c>
      <c r="E104" s="22">
        <f>0.2*(E103-E102)</f>
        <v>4.7160999454303118E-3</v>
      </c>
      <c r="F104" s="17" t="s">
        <v>12</v>
      </c>
      <c r="G104" s="16" t="s">
        <v>289</v>
      </c>
      <c r="H104" s="16"/>
      <c r="I104" s="16"/>
    </row>
    <row r="105" spans="4:9">
      <c r="D105" s="17" t="s">
        <v>81</v>
      </c>
      <c r="E105" s="22">
        <f>E95+E104</f>
        <v>55.553147042089364</v>
      </c>
      <c r="F105" s="17" t="s">
        <v>12</v>
      </c>
    </row>
    <row r="106" spans="4:9">
      <c r="D106" s="17" t="s">
        <v>82</v>
      </c>
      <c r="E106" s="22">
        <f>E105-E102</f>
        <v>55.5497690494702</v>
      </c>
      <c r="F106" s="17" t="s">
        <v>12</v>
      </c>
    </row>
    <row r="107" spans="4:9">
      <c r="D107" s="17" t="s">
        <v>83</v>
      </c>
      <c r="E107" s="22">
        <f>E106-E15</f>
        <v>54.999769049470203</v>
      </c>
      <c r="F107" s="17" t="s">
        <v>12</v>
      </c>
    </row>
    <row r="108" spans="4:9">
      <c r="D108" s="17"/>
      <c r="E108" s="22"/>
      <c r="F108" s="17"/>
    </row>
    <row r="109" spans="4:9">
      <c r="D109" s="17"/>
      <c r="E109" s="22"/>
      <c r="F109" s="17"/>
    </row>
    <row r="110" spans="4:9">
      <c r="D110" s="17"/>
      <c r="E110" s="22"/>
      <c r="F110" s="17"/>
    </row>
    <row r="111" spans="4:9">
      <c r="D111" s="17"/>
      <c r="E111" s="22"/>
      <c r="F111" s="17"/>
    </row>
    <row r="112" spans="4:9">
      <c r="D112" s="17"/>
      <c r="E112" s="22"/>
      <c r="F112" s="17"/>
    </row>
    <row r="113" spans="4:6">
      <c r="D113" s="17"/>
      <c r="E113" s="22"/>
      <c r="F113" s="17"/>
    </row>
    <row r="114" spans="4:6">
      <c r="D114" s="17"/>
      <c r="E114" s="22"/>
      <c r="F114" s="17"/>
    </row>
    <row r="115" spans="4:6">
      <c r="D115" s="17"/>
      <c r="E115" s="22"/>
      <c r="F115" s="17"/>
    </row>
    <row r="116" spans="4:6">
      <c r="D116" s="17"/>
      <c r="E116" s="22"/>
      <c r="F116" s="17"/>
    </row>
    <row r="117" spans="4:6">
      <c r="D117" s="17"/>
      <c r="E117" s="22"/>
      <c r="F117" s="17"/>
    </row>
    <row r="118" spans="4:6">
      <c r="D118" s="17"/>
      <c r="E118" s="22"/>
      <c r="F118" s="17"/>
    </row>
    <row r="119" spans="4:6">
      <c r="D119" s="17"/>
      <c r="E119" s="22"/>
      <c r="F119" s="17"/>
    </row>
    <row r="120" spans="4:6">
      <c r="D120" s="17"/>
      <c r="E120" s="22"/>
      <c r="F120" s="17"/>
    </row>
    <row r="121" spans="4:6">
      <c r="D121" s="17"/>
      <c r="E121" s="22"/>
      <c r="F121" s="17"/>
    </row>
    <row r="122" spans="4:6">
      <c r="D122" s="17"/>
      <c r="E122" s="22"/>
      <c r="F122" s="17"/>
    </row>
    <row r="123" spans="4:6">
      <c r="D123" s="17"/>
      <c r="E123" s="22"/>
      <c r="F123" s="17"/>
    </row>
    <row r="124" spans="4:6">
      <c r="D124" s="17"/>
      <c r="E124" s="22"/>
      <c r="F124" s="17"/>
    </row>
    <row r="125" spans="4:6">
      <c r="D125" s="17"/>
      <c r="E125" s="22"/>
      <c r="F125" s="17"/>
    </row>
    <row r="126" spans="4:6">
      <c r="D126" s="17"/>
      <c r="E126" s="22"/>
      <c r="F126" s="17"/>
    </row>
    <row r="127" spans="4:6">
      <c r="D127" s="15" t="s">
        <v>306</v>
      </c>
    </row>
    <row r="129" spans="2:6" ht="18">
      <c r="B129" s="3" t="s">
        <v>320</v>
      </c>
    </row>
    <row r="131" spans="2:6" ht="15.6">
      <c r="B131" s="4" t="s">
        <v>24</v>
      </c>
    </row>
    <row r="133" spans="2:6" ht="15.6">
      <c r="D133" s="15" t="s">
        <v>146</v>
      </c>
    </row>
    <row r="134" spans="2:6">
      <c r="D134" s="16" t="s">
        <v>25</v>
      </c>
      <c r="E134" s="16"/>
      <c r="F134" s="16"/>
    </row>
    <row r="135" spans="2:6">
      <c r="D135" s="16" t="s">
        <v>26</v>
      </c>
      <c r="E135" s="16"/>
      <c r="F135" s="16"/>
    </row>
    <row r="136" spans="2:6" ht="15.6">
      <c r="D136" s="16" t="s">
        <v>34</v>
      </c>
      <c r="E136" s="16"/>
      <c r="F136" s="16"/>
    </row>
    <row r="137" spans="2:6" ht="15.6">
      <c r="D137" s="16" t="s">
        <v>35</v>
      </c>
      <c r="E137" s="16"/>
      <c r="F137" s="16"/>
    </row>
    <row r="138" spans="2:6" ht="15.6">
      <c r="D138" s="16" t="s">
        <v>36</v>
      </c>
      <c r="E138" s="16"/>
      <c r="F138" s="16"/>
    </row>
    <row r="139" spans="2:6" ht="15.6">
      <c r="D139" s="16" t="s">
        <v>37</v>
      </c>
      <c r="E139" s="16"/>
      <c r="F139" s="16"/>
    </row>
    <row r="141" spans="2:6">
      <c r="D141" s="17" t="s">
        <v>27</v>
      </c>
      <c r="F141" s="10" t="s">
        <v>4</v>
      </c>
    </row>
    <row r="142" spans="2:6" ht="15.6">
      <c r="D142" t="s">
        <v>38</v>
      </c>
      <c r="E142">
        <f>E46</f>
        <v>2</v>
      </c>
      <c r="F142" t="s">
        <v>12</v>
      </c>
    </row>
    <row r="143" spans="2:6" ht="15.6">
      <c r="D143" t="s">
        <v>39</v>
      </c>
      <c r="E143">
        <f>E47</f>
        <v>1</v>
      </c>
      <c r="F143" t="s">
        <v>12</v>
      </c>
    </row>
    <row r="144" spans="2:6" ht="15.6">
      <c r="D144" t="s">
        <v>40</v>
      </c>
      <c r="E144">
        <f>E51</f>
        <v>1</v>
      </c>
      <c r="F144" t="s">
        <v>12</v>
      </c>
    </row>
    <row r="146" spans="4:9">
      <c r="D146" s="13" t="s">
        <v>159</v>
      </c>
      <c r="E146" s="13"/>
      <c r="F146" s="13"/>
    </row>
    <row r="148" spans="4:9">
      <c r="D148" s="59" t="s">
        <v>33</v>
      </c>
      <c r="E148" s="60" t="s">
        <v>28</v>
      </c>
      <c r="F148" s="60" t="s">
        <v>29</v>
      </c>
      <c r="G148" s="60" t="s">
        <v>30</v>
      </c>
      <c r="H148" s="60" t="s">
        <v>31</v>
      </c>
      <c r="I148" s="60" t="s">
        <v>32</v>
      </c>
    </row>
    <row r="149" spans="4:9" ht="15.6">
      <c r="D149" s="61" t="s">
        <v>41</v>
      </c>
      <c r="E149" s="61">
        <f>(E142*E143*E144)/((E144*E142)-Table3[[#Headers],[0]]*(E142-E143))</f>
        <v>1</v>
      </c>
      <c r="F149" s="62">
        <f>(E142*E143*E144)/((E144*E142)-Table3[[#Headers],[0.25]]*(E142-E143))</f>
        <v>1.1428571428571428</v>
      </c>
      <c r="G149" s="62">
        <f>(E142*E143*E144)/((E144*E142)-Table3[[#Headers],[0.5]]*(E142-E143))</f>
        <v>1.3333333333333333</v>
      </c>
      <c r="H149" s="62">
        <f>(E142*E143*E144)/((E144*E142)-Table3[[#Headers],[0.75]]*(E142-E143))</f>
        <v>1.6</v>
      </c>
      <c r="I149" s="61">
        <f>(E142*E143*E144)/((E144*E142)-Table3[[#Headers],[1]]*(E142-E143))</f>
        <v>2</v>
      </c>
    </row>
    <row r="167" spans="2:6">
      <c r="D167" t="s">
        <v>307</v>
      </c>
    </row>
    <row r="170" spans="2:6" ht="15.6">
      <c r="B170" s="4" t="s">
        <v>173</v>
      </c>
    </row>
    <row r="172" spans="2:6" ht="15.6">
      <c r="D172" s="15" t="s">
        <v>146</v>
      </c>
    </row>
    <row r="173" spans="2:6">
      <c r="D173" s="16" t="s">
        <v>25</v>
      </c>
      <c r="E173" s="16"/>
      <c r="F173" s="16"/>
    </row>
    <row r="174" spans="2:6">
      <c r="D174" s="16" t="s">
        <v>26</v>
      </c>
      <c r="E174" s="16"/>
      <c r="F174" s="16"/>
    </row>
    <row r="175" spans="2:6" ht="15.6">
      <c r="D175" s="16" t="s">
        <v>34</v>
      </c>
      <c r="E175" s="16"/>
      <c r="F175" s="16"/>
    </row>
    <row r="176" spans="2:6" ht="15.6">
      <c r="D176" s="16" t="s">
        <v>35</v>
      </c>
      <c r="E176" s="16"/>
      <c r="F176" s="16"/>
    </row>
    <row r="177" spans="4:8" ht="15.6">
      <c r="D177" s="16" t="s">
        <v>36</v>
      </c>
      <c r="E177" s="16"/>
      <c r="F177" s="16"/>
    </row>
    <row r="178" spans="4:8" ht="15.6">
      <c r="D178" s="16" t="s">
        <v>37</v>
      </c>
      <c r="E178" s="16"/>
      <c r="F178" s="16"/>
    </row>
    <row r="180" spans="4:8">
      <c r="D180" s="17" t="s">
        <v>27</v>
      </c>
      <c r="F180" s="10" t="s">
        <v>4</v>
      </c>
    </row>
    <row r="181" spans="4:8" ht="15.6">
      <c r="D181" t="s">
        <v>38</v>
      </c>
      <c r="E181">
        <f>E46</f>
        <v>2</v>
      </c>
      <c r="F181" t="s">
        <v>12</v>
      </c>
    </row>
    <row r="182" spans="4:8" ht="15.6">
      <c r="D182" t="s">
        <v>39</v>
      </c>
      <c r="E182">
        <f>E47</f>
        <v>1</v>
      </c>
      <c r="F182" t="s">
        <v>12</v>
      </c>
    </row>
    <row r="183" spans="4:8" ht="15.6">
      <c r="D183" t="s">
        <v>40</v>
      </c>
      <c r="E183">
        <f>E52</f>
        <v>1.5</v>
      </c>
      <c r="F183" t="s">
        <v>12</v>
      </c>
    </row>
    <row r="185" spans="4:8">
      <c r="D185" s="13" t="s">
        <v>160</v>
      </c>
      <c r="E185" s="13"/>
      <c r="F185" s="13"/>
    </row>
    <row r="187" spans="4:8">
      <c r="D187" s="59" t="s">
        <v>33</v>
      </c>
      <c r="E187" s="59" t="s">
        <v>28</v>
      </c>
      <c r="F187" s="59" t="s">
        <v>30</v>
      </c>
      <c r="G187" s="59" t="s">
        <v>32</v>
      </c>
      <c r="H187" s="59" t="s">
        <v>42</v>
      </c>
    </row>
    <row r="188" spans="4:8" ht="15.6">
      <c r="D188" s="61" t="s">
        <v>41</v>
      </c>
      <c r="E188" s="61">
        <f>(E181*E182*E183)/((E183*E181)-Table4[[#Headers],[0]]*(E181-E182))</f>
        <v>1</v>
      </c>
      <c r="F188" s="61">
        <f>(E181*E182*E183)/((E183*E181)-Table4[[#Headers],[0.5]]*(E181-E182))</f>
        <v>1.2</v>
      </c>
      <c r="G188" s="61">
        <f>(E181*E182*E183)/((E183*E181)-Table4[[#Headers],[1]]*(E181-E182))</f>
        <v>1.5</v>
      </c>
      <c r="H188" s="61">
        <f>(E181*E182*E183)/((E183*E181)-Table4[[#Headers],[1.5]]*(E181-E182))</f>
        <v>2</v>
      </c>
    </row>
    <row r="196" spans="2:6" ht="16.2" customHeight="1"/>
    <row r="204" spans="2:6">
      <c r="D204" t="s">
        <v>308</v>
      </c>
    </row>
    <row r="206" spans="2:6" ht="18">
      <c r="B206" s="3" t="s">
        <v>321</v>
      </c>
    </row>
    <row r="208" spans="2:6">
      <c r="D208" s="15" t="s">
        <v>43</v>
      </c>
      <c r="E208" s="15"/>
      <c r="F208" s="10"/>
    </row>
    <row r="209" spans="2:6">
      <c r="D209" s="15"/>
      <c r="E209" s="15"/>
      <c r="F209" s="10"/>
    </row>
    <row r="210" spans="2:6">
      <c r="D210" s="15"/>
      <c r="E210" s="10"/>
      <c r="F210" s="10" t="s">
        <v>4</v>
      </c>
    </row>
    <row r="211" spans="2:6">
      <c r="D211" s="55" t="s">
        <v>290</v>
      </c>
      <c r="E211" s="55">
        <v>0.15</v>
      </c>
      <c r="F211" s="55" t="s">
        <v>12</v>
      </c>
    </row>
    <row r="212" spans="2:6">
      <c r="D212" t="s">
        <v>45</v>
      </c>
      <c r="E212" s="6">
        <f>E15</f>
        <v>0.55000000000000004</v>
      </c>
      <c r="F212" t="s">
        <v>12</v>
      </c>
    </row>
    <row r="213" spans="2:6">
      <c r="D213" s="55" t="s">
        <v>48</v>
      </c>
      <c r="E213" s="55">
        <v>0.45</v>
      </c>
      <c r="F213" s="55" t="s">
        <v>12</v>
      </c>
    </row>
    <row r="214" spans="2:6" ht="15.6" customHeight="1">
      <c r="D214" t="s">
        <v>46</v>
      </c>
      <c r="E214" s="6">
        <f>E212+E213</f>
        <v>1</v>
      </c>
      <c r="F214" t="s">
        <v>12</v>
      </c>
    </row>
    <row r="216" spans="2:6">
      <c r="D216" s="15" t="s">
        <v>47</v>
      </c>
    </row>
    <row r="220" spans="2:6" ht="28.8">
      <c r="B220" s="1" t="s">
        <v>322</v>
      </c>
      <c r="C220" s="1"/>
      <c r="D220" s="1"/>
      <c r="E220" s="2"/>
      <c r="F220" s="2"/>
    </row>
    <row r="222" spans="2:6">
      <c r="D222" s="77" t="s">
        <v>304</v>
      </c>
      <c r="E222" s="77"/>
    </row>
    <row r="223" spans="2:6">
      <c r="D223" s="77"/>
      <c r="E223" s="77"/>
    </row>
    <row r="225" spans="2:7" ht="21">
      <c r="B225" s="23" t="s">
        <v>323</v>
      </c>
      <c r="C225" s="24"/>
      <c r="D225" s="24"/>
    </row>
    <row r="227" spans="2:7" ht="15.6">
      <c r="B227" s="4" t="s">
        <v>84</v>
      </c>
    </row>
    <row r="228" spans="2:7" ht="15.6">
      <c r="C228" s="5"/>
    </row>
    <row r="229" spans="2:7" ht="15" customHeight="1">
      <c r="B229" s="17"/>
      <c r="C229" s="63" t="s">
        <v>1</v>
      </c>
      <c r="D229" s="64" t="s">
        <v>2</v>
      </c>
      <c r="E229" s="64" t="s">
        <v>3</v>
      </c>
      <c r="F229" s="64" t="s">
        <v>4</v>
      </c>
      <c r="G229" s="17"/>
    </row>
    <row r="230" spans="2:7">
      <c r="B230" s="17"/>
      <c r="C230" s="64">
        <v>1</v>
      </c>
      <c r="D230" s="65" t="s">
        <v>5</v>
      </c>
      <c r="E230" s="66">
        <v>0.4</v>
      </c>
      <c r="F230" s="64" t="s">
        <v>11</v>
      </c>
      <c r="G230" s="17"/>
    </row>
    <row r="231" spans="2:7">
      <c r="B231" s="17"/>
      <c r="C231" s="64">
        <v>2</v>
      </c>
      <c r="D231" s="67" t="s">
        <v>6</v>
      </c>
      <c r="E231" s="66">
        <v>2</v>
      </c>
      <c r="F231" s="64" t="s">
        <v>12</v>
      </c>
      <c r="G231" s="17"/>
    </row>
    <row r="232" spans="2:7">
      <c r="B232" s="17"/>
      <c r="C232" s="64">
        <v>3</v>
      </c>
      <c r="D232" s="68" t="s">
        <v>7</v>
      </c>
      <c r="E232" s="66">
        <v>0.55000000000000004</v>
      </c>
      <c r="F232" s="64" t="s">
        <v>12</v>
      </c>
      <c r="G232" s="17"/>
    </row>
    <row r="233" spans="2:7">
      <c r="B233" s="17"/>
      <c r="C233" s="64">
        <v>4</v>
      </c>
      <c r="D233" s="68" t="s">
        <v>9</v>
      </c>
      <c r="E233" s="66">
        <v>54.11</v>
      </c>
      <c r="F233" s="64" t="s">
        <v>12</v>
      </c>
      <c r="G233" s="17"/>
    </row>
    <row r="234" spans="2:7">
      <c r="B234" s="17"/>
      <c r="C234" s="64">
        <v>5</v>
      </c>
      <c r="D234" s="69" t="s">
        <v>130</v>
      </c>
      <c r="E234" s="70">
        <v>1.5</v>
      </c>
      <c r="F234" s="64"/>
      <c r="G234" s="17"/>
    </row>
    <row r="235" spans="2:7">
      <c r="B235" s="17"/>
      <c r="C235" s="64">
        <v>6</v>
      </c>
      <c r="D235" s="71" t="s">
        <v>10</v>
      </c>
      <c r="E235" s="64">
        <v>1.6E-2</v>
      </c>
      <c r="F235" s="64"/>
      <c r="G235" s="17"/>
    </row>
    <row r="238" spans="2:7" ht="15.6">
      <c r="B238" s="4" t="s">
        <v>85</v>
      </c>
    </row>
    <row r="240" spans="2:7">
      <c r="C240" s="55" t="s">
        <v>1</v>
      </c>
      <c r="D240" s="56" t="s">
        <v>2</v>
      </c>
      <c r="E240" s="56" t="s">
        <v>3</v>
      </c>
      <c r="F240" s="56" t="s">
        <v>4</v>
      </c>
    </row>
    <row r="241" spans="2:10">
      <c r="C241" s="55">
        <v>1</v>
      </c>
      <c r="D241" s="55" t="s">
        <v>14</v>
      </c>
      <c r="E241" s="55">
        <v>54.46</v>
      </c>
      <c r="F241" s="55" t="s">
        <v>12</v>
      </c>
    </row>
    <row r="242" spans="2:10">
      <c r="C242" s="55">
        <v>2</v>
      </c>
      <c r="D242" s="55" t="s">
        <v>9</v>
      </c>
      <c r="E242" s="55">
        <v>50.75</v>
      </c>
      <c r="F242" s="55" t="s">
        <v>12</v>
      </c>
    </row>
    <row r="243" spans="2:10">
      <c r="C243" s="55">
        <v>3</v>
      </c>
      <c r="D243" s="55" t="s">
        <v>17</v>
      </c>
      <c r="E243" s="57">
        <v>95</v>
      </c>
      <c r="F243" s="55" t="s">
        <v>11</v>
      </c>
    </row>
    <row r="244" spans="2:10">
      <c r="C244" s="55">
        <v>4</v>
      </c>
      <c r="D244" s="55" t="s">
        <v>15</v>
      </c>
      <c r="E244" s="55">
        <v>53.38</v>
      </c>
      <c r="F244" s="55" t="s">
        <v>12</v>
      </c>
    </row>
    <row r="248" spans="2:10" ht="21">
      <c r="B248" s="23" t="s">
        <v>324</v>
      </c>
      <c r="C248" s="23"/>
      <c r="D248" s="23"/>
    </row>
    <row r="249" spans="2:10" ht="21">
      <c r="B249" s="23"/>
      <c r="C249" s="24"/>
      <c r="D249" s="24"/>
      <c r="F249" s="10" t="s">
        <v>4</v>
      </c>
      <c r="G249" s="15" t="s">
        <v>21</v>
      </c>
      <c r="H249" s="15"/>
      <c r="I249" s="16"/>
      <c r="J249" s="16"/>
    </row>
    <row r="250" spans="2:10">
      <c r="D250" s="8" t="s">
        <v>49</v>
      </c>
      <c r="E250" s="9">
        <f>4.8*SQRT(E243)</f>
        <v>46.784612855083019</v>
      </c>
      <c r="F250" s="10" t="s">
        <v>12</v>
      </c>
      <c r="G250" s="16" t="s">
        <v>280</v>
      </c>
      <c r="H250" s="16"/>
      <c r="I250" s="16"/>
      <c r="J250" s="16"/>
    </row>
    <row r="252" spans="2:10">
      <c r="D252" s="55" t="s">
        <v>50</v>
      </c>
      <c r="E252" s="57">
        <v>5</v>
      </c>
      <c r="F252" s="55" t="s">
        <v>12</v>
      </c>
    </row>
    <row r="253" spans="2:10">
      <c r="D253" s="55" t="s">
        <v>51</v>
      </c>
      <c r="E253" s="57">
        <v>0.9</v>
      </c>
      <c r="F253" s="55" t="s">
        <v>12</v>
      </c>
    </row>
    <row r="254" spans="2:10">
      <c r="D254" s="55" t="s">
        <v>52</v>
      </c>
      <c r="E254" s="55">
        <v>8</v>
      </c>
      <c r="F254" s="55" t="s">
        <v>12</v>
      </c>
    </row>
    <row r="255" spans="2:10">
      <c r="D255" s="55" t="s">
        <v>53</v>
      </c>
      <c r="E255" s="55">
        <v>7</v>
      </c>
      <c r="F255" s="55" t="s">
        <v>12</v>
      </c>
    </row>
    <row r="257" spans="2:10">
      <c r="D257" s="10" t="s">
        <v>54</v>
      </c>
      <c r="E257" s="9">
        <f>E254*E252</f>
        <v>40</v>
      </c>
      <c r="F257" s="10" t="s">
        <v>12</v>
      </c>
    </row>
    <row r="258" spans="2:10">
      <c r="D258" s="10" t="s">
        <v>55</v>
      </c>
      <c r="E258" s="9">
        <f>E255*E253</f>
        <v>6.3</v>
      </c>
      <c r="F258" s="10" t="s">
        <v>12</v>
      </c>
    </row>
    <row r="259" spans="2:10">
      <c r="D259" s="10" t="s">
        <v>56</v>
      </c>
      <c r="E259" s="9">
        <f>E257+E258</f>
        <v>46.3</v>
      </c>
      <c r="F259" s="10" t="s">
        <v>12</v>
      </c>
    </row>
    <row r="260" spans="2:10">
      <c r="D260" s="10"/>
      <c r="E260" s="9"/>
      <c r="F260" s="10"/>
    </row>
    <row r="261" spans="2:10">
      <c r="D261" s="55" t="s">
        <v>87</v>
      </c>
      <c r="E261" s="55">
        <v>1.2</v>
      </c>
      <c r="F261" s="55" t="s">
        <v>19</v>
      </c>
    </row>
    <row r="262" spans="2:10">
      <c r="D262" t="s">
        <v>147</v>
      </c>
      <c r="E262" s="6">
        <f>E252</f>
        <v>5</v>
      </c>
      <c r="F262" t="s">
        <v>12</v>
      </c>
    </row>
    <row r="263" spans="2:10">
      <c r="D263" t="s">
        <v>86</v>
      </c>
      <c r="E263" s="6">
        <f>E243/(E257*E261)</f>
        <v>1.9791666666666667</v>
      </c>
      <c r="F263" t="s">
        <v>12</v>
      </c>
    </row>
    <row r="266" spans="2:10" ht="21">
      <c r="B266" s="23" t="s">
        <v>325</v>
      </c>
      <c r="C266" s="23"/>
      <c r="D266" s="23"/>
      <c r="J266" s="7"/>
    </row>
    <row r="267" spans="2:10" ht="21">
      <c r="B267" s="23"/>
      <c r="C267" s="23"/>
      <c r="D267" s="23"/>
      <c r="F267" s="10" t="s">
        <v>4</v>
      </c>
      <c r="G267" s="10"/>
      <c r="H267" s="10"/>
      <c r="J267" s="7"/>
    </row>
    <row r="268" spans="2:10">
      <c r="D268" t="s">
        <v>57</v>
      </c>
      <c r="E268" s="30">
        <f>E231</f>
        <v>2</v>
      </c>
      <c r="F268" s="17" t="s">
        <v>12</v>
      </c>
    </row>
    <row r="269" spans="2:10">
      <c r="D269" s="55" t="s">
        <v>58</v>
      </c>
      <c r="E269" s="64">
        <v>1</v>
      </c>
      <c r="F269" s="64" t="s">
        <v>12</v>
      </c>
    </row>
    <row r="270" spans="2:10">
      <c r="D270" s="55" t="s">
        <v>59</v>
      </c>
      <c r="E270" s="72">
        <v>2</v>
      </c>
      <c r="F270" s="55" t="s">
        <v>12</v>
      </c>
    </row>
    <row r="271" spans="2:10">
      <c r="D271" s="55" t="s">
        <v>60</v>
      </c>
      <c r="E271" s="72">
        <v>3</v>
      </c>
      <c r="F271" s="55" t="s">
        <v>12</v>
      </c>
    </row>
    <row r="273" spans="2:10">
      <c r="D273" s="10" t="s">
        <v>61</v>
      </c>
      <c r="E273" s="10">
        <f>((E268-E269)/2)*E270</f>
        <v>1</v>
      </c>
      <c r="F273" s="10" t="s">
        <v>12</v>
      </c>
    </row>
    <row r="274" spans="2:10">
      <c r="D274" s="10" t="s">
        <v>148</v>
      </c>
      <c r="E274" s="10">
        <f>((E268-E269)/2)*E271</f>
        <v>1.5</v>
      </c>
      <c r="F274" s="10" t="s">
        <v>12</v>
      </c>
    </row>
    <row r="275" spans="2:10">
      <c r="D275" s="10"/>
      <c r="E275" s="10"/>
      <c r="F275" s="10"/>
    </row>
    <row r="276" spans="2:10">
      <c r="D276" s="10" t="s">
        <v>62</v>
      </c>
      <c r="E276" s="9">
        <f>E259</f>
        <v>46.3</v>
      </c>
      <c r="F276" s="10" t="s">
        <v>12</v>
      </c>
    </row>
    <row r="278" spans="2:10">
      <c r="D278" s="15" t="s">
        <v>129</v>
      </c>
      <c r="E278" s="15"/>
      <c r="F278" s="15"/>
    </row>
    <row r="280" spans="2:10">
      <c r="E280" s="7"/>
    </row>
    <row r="281" spans="2:10" ht="21">
      <c r="B281" s="23" t="s">
        <v>326</v>
      </c>
      <c r="C281" s="23"/>
      <c r="D281" s="23"/>
    </row>
    <row r="282" spans="2:10" ht="18">
      <c r="B282" s="3"/>
      <c r="F282" s="10" t="s">
        <v>4</v>
      </c>
      <c r="G282" s="15" t="s">
        <v>21</v>
      </c>
      <c r="H282" s="15"/>
    </row>
    <row r="283" spans="2:10" ht="18.600000000000001" customHeight="1">
      <c r="D283" t="s">
        <v>149</v>
      </c>
      <c r="E283" s="27">
        <f>E234</f>
        <v>1.5</v>
      </c>
    </row>
    <row r="285" spans="2:10" ht="15.6">
      <c r="D285" s="25" t="s">
        <v>18</v>
      </c>
    </row>
    <row r="287" spans="2:10">
      <c r="D287" t="s">
        <v>137</v>
      </c>
      <c r="E287" s="17">
        <f>E268</f>
        <v>2</v>
      </c>
      <c r="F287" s="17" t="s">
        <v>12</v>
      </c>
    </row>
    <row r="288" spans="2:10" ht="16.2">
      <c r="D288" t="s">
        <v>150</v>
      </c>
      <c r="E288" s="21">
        <f>(E287+E283*E232)*E232</f>
        <v>1.5537500000000002</v>
      </c>
      <c r="F288" s="17" t="s">
        <v>67</v>
      </c>
      <c r="G288" s="16" t="s">
        <v>134</v>
      </c>
      <c r="H288" s="16"/>
      <c r="I288" s="16"/>
      <c r="J288" s="16"/>
    </row>
    <row r="289" spans="4:10" ht="15.6">
      <c r="D289" t="s">
        <v>88</v>
      </c>
      <c r="E289" s="21">
        <f>E230/E288</f>
        <v>0.25744167337087687</v>
      </c>
      <c r="F289" s="17" t="s">
        <v>19</v>
      </c>
      <c r="G289" s="16" t="s">
        <v>281</v>
      </c>
      <c r="H289" s="16"/>
      <c r="I289" s="16"/>
      <c r="J289" s="16"/>
    </row>
    <row r="290" spans="4:10" ht="16.8">
      <c r="D290" t="s">
        <v>63</v>
      </c>
      <c r="E290" s="22">
        <f>(E289*E289)/(2*9.81)</f>
        <v>3.3779926191639781E-3</v>
      </c>
      <c r="F290" s="17" t="s">
        <v>12</v>
      </c>
      <c r="G290" s="16" t="s">
        <v>282</v>
      </c>
      <c r="H290" s="16"/>
      <c r="I290" s="16"/>
      <c r="J290" s="16"/>
    </row>
    <row r="291" spans="4:10">
      <c r="D291" t="s">
        <v>64</v>
      </c>
      <c r="E291" s="21">
        <f>E233</f>
        <v>54.11</v>
      </c>
      <c r="F291" s="17" t="s">
        <v>12</v>
      </c>
    </row>
    <row r="292" spans="4:10">
      <c r="D292" t="s">
        <v>65</v>
      </c>
      <c r="E292" s="21">
        <f>E291+E232</f>
        <v>54.66</v>
      </c>
      <c r="F292" s="17" t="s">
        <v>12</v>
      </c>
    </row>
    <row r="293" spans="4:10">
      <c r="D293" t="s">
        <v>66</v>
      </c>
      <c r="E293" s="22">
        <f>E292+E290</f>
        <v>54.663377992619161</v>
      </c>
      <c r="F293" s="17" t="s">
        <v>12</v>
      </c>
    </row>
    <row r="295" spans="4:10" ht="15.6">
      <c r="D295" s="25" t="s">
        <v>20</v>
      </c>
      <c r="E295" s="7"/>
    </row>
    <row r="296" spans="4:10">
      <c r="D296" s="13"/>
      <c r="E296" s="7"/>
    </row>
    <row r="297" spans="4:10">
      <c r="D297" t="s">
        <v>137</v>
      </c>
      <c r="E297" s="20">
        <f>E269</f>
        <v>1</v>
      </c>
      <c r="F297" s="17" t="s">
        <v>12</v>
      </c>
    </row>
    <row r="298" spans="4:10" ht="16.2">
      <c r="D298" t="s">
        <v>151</v>
      </c>
      <c r="E298" s="17">
        <f>E297*E232</f>
        <v>0.55000000000000004</v>
      </c>
      <c r="F298" t="s">
        <v>67</v>
      </c>
      <c r="G298" s="16" t="s">
        <v>135</v>
      </c>
      <c r="H298" s="16"/>
      <c r="I298" s="16"/>
    </row>
    <row r="299" spans="4:10" ht="15.6">
      <c r="D299" t="s">
        <v>89</v>
      </c>
      <c r="E299" s="21">
        <f>E230/E298</f>
        <v>0.72727272727272729</v>
      </c>
      <c r="F299" s="17" t="s">
        <v>19</v>
      </c>
      <c r="G299" s="16" t="s">
        <v>283</v>
      </c>
      <c r="H299" s="16"/>
      <c r="I299" s="16"/>
    </row>
    <row r="300" spans="4:10" ht="16.8">
      <c r="D300" t="s">
        <v>63</v>
      </c>
      <c r="E300" s="22">
        <f>(E299*E299)/(2*9.81)</f>
        <v>2.6958492346315532E-2</v>
      </c>
      <c r="F300" s="17" t="s">
        <v>12</v>
      </c>
      <c r="G300" s="16" t="s">
        <v>284</v>
      </c>
      <c r="H300" s="16"/>
      <c r="I300" s="16"/>
    </row>
    <row r="301" spans="4:10" ht="16.8">
      <c r="D301" t="s">
        <v>69</v>
      </c>
      <c r="E301" s="22">
        <f>0.3*((E299*E299-E289*E289)/(2*9.81))</f>
        <v>7.0741499181454651E-3</v>
      </c>
      <c r="F301" s="17" t="s">
        <v>12</v>
      </c>
      <c r="G301" s="16" t="s">
        <v>285</v>
      </c>
      <c r="H301" s="16"/>
      <c r="I301" s="16"/>
    </row>
    <row r="302" spans="4:10">
      <c r="D302" t="s">
        <v>70</v>
      </c>
      <c r="E302" s="21">
        <f>E293+E301</f>
        <v>54.670452142537307</v>
      </c>
      <c r="F302" s="17" t="s">
        <v>12</v>
      </c>
    </row>
    <row r="303" spans="4:10">
      <c r="D303" t="s">
        <v>71</v>
      </c>
      <c r="E303" s="22">
        <f>E302-E300</f>
        <v>54.64349365019099</v>
      </c>
      <c r="F303" s="17" t="s">
        <v>12</v>
      </c>
    </row>
    <row r="304" spans="4:10">
      <c r="D304" t="s">
        <v>72</v>
      </c>
      <c r="E304" s="22">
        <f>E303-E232</f>
        <v>54.093493650190993</v>
      </c>
      <c r="F304" s="17" t="s">
        <v>12</v>
      </c>
    </row>
    <row r="305" spans="5:6">
      <c r="E305" s="22"/>
      <c r="F305" s="17"/>
    </row>
    <row r="306" spans="5:6">
      <c r="E306" s="22"/>
      <c r="F306" s="17"/>
    </row>
    <row r="307" spans="5:6">
      <c r="E307" s="22"/>
      <c r="F307" s="17"/>
    </row>
    <row r="308" spans="5:6">
      <c r="E308" s="22"/>
      <c r="F308" s="17"/>
    </row>
    <row r="309" spans="5:6">
      <c r="E309" s="22"/>
      <c r="F309" s="17"/>
    </row>
    <row r="310" spans="5:6">
      <c r="E310" s="22"/>
      <c r="F310" s="17"/>
    </row>
    <row r="311" spans="5:6">
      <c r="E311" s="22"/>
      <c r="F311" s="17"/>
    </row>
    <row r="312" spans="5:6">
      <c r="E312" s="22"/>
      <c r="F312" s="17"/>
    </row>
    <row r="313" spans="5:6">
      <c r="E313" s="22"/>
      <c r="F313" s="17"/>
    </row>
    <row r="314" spans="5:6">
      <c r="E314" s="22"/>
      <c r="F314" s="17"/>
    </row>
    <row r="315" spans="5:6">
      <c r="E315" s="22"/>
      <c r="F315" s="17"/>
    </row>
    <row r="316" spans="5:6">
      <c r="E316" s="22"/>
      <c r="F316" s="17"/>
    </row>
    <row r="317" spans="5:6">
      <c r="E317" s="22"/>
      <c r="F317" s="17"/>
    </row>
    <row r="318" spans="5:6">
      <c r="E318" s="22"/>
      <c r="F318" s="17"/>
    </row>
    <row r="319" spans="5:6">
      <c r="E319" s="22"/>
      <c r="F319" s="17"/>
    </row>
    <row r="320" spans="5:6">
      <c r="E320" s="22"/>
      <c r="F320" s="17"/>
    </row>
    <row r="321" spans="4:8">
      <c r="E321" s="22"/>
      <c r="F321" s="17"/>
    </row>
    <row r="322" spans="4:8">
      <c r="E322" s="22"/>
      <c r="F322" s="17"/>
    </row>
    <row r="323" spans="4:8">
      <c r="E323" s="22"/>
      <c r="F323" s="17"/>
    </row>
    <row r="324" spans="4:8">
      <c r="D324" t="s">
        <v>317</v>
      </c>
      <c r="E324" s="22"/>
      <c r="F324" s="17"/>
    </row>
    <row r="325" spans="4:8">
      <c r="E325" s="22"/>
      <c r="F325" s="17"/>
    </row>
    <row r="327" spans="4:8" ht="15.6">
      <c r="D327" s="25" t="s">
        <v>90</v>
      </c>
      <c r="E327" s="6"/>
    </row>
    <row r="329" spans="4:8">
      <c r="D329" t="s">
        <v>137</v>
      </c>
      <c r="E329">
        <f>E269</f>
        <v>1</v>
      </c>
      <c r="F329" t="s">
        <v>12</v>
      </c>
    </row>
    <row r="330" spans="4:8">
      <c r="D330" t="s">
        <v>73</v>
      </c>
      <c r="E330">
        <f>E235</f>
        <v>1.6E-2</v>
      </c>
    </row>
    <row r="331" spans="4:8">
      <c r="D331" t="s">
        <v>138</v>
      </c>
      <c r="E331" s="6">
        <f>E276</f>
        <v>46.3</v>
      </c>
      <c r="F331" t="s">
        <v>12</v>
      </c>
    </row>
    <row r="332" spans="4:8" ht="16.2">
      <c r="D332" t="s">
        <v>139</v>
      </c>
      <c r="E332">
        <f>E329*E232</f>
        <v>0.55000000000000004</v>
      </c>
      <c r="F332" t="s">
        <v>67</v>
      </c>
      <c r="G332" s="16" t="s">
        <v>135</v>
      </c>
      <c r="H332" s="16"/>
    </row>
    <row r="333" spans="4:8">
      <c r="D333" t="s">
        <v>140</v>
      </c>
      <c r="E333">
        <f>E329+2*E232</f>
        <v>2.1</v>
      </c>
      <c r="F333" s="17" t="s">
        <v>12</v>
      </c>
      <c r="G333" s="16" t="s">
        <v>141</v>
      </c>
      <c r="H333" s="16"/>
    </row>
    <row r="334" spans="4:8">
      <c r="D334" t="s">
        <v>142</v>
      </c>
      <c r="E334" s="6">
        <f>E332/E333</f>
        <v>0.26190476190476192</v>
      </c>
      <c r="F334" s="17" t="s">
        <v>12</v>
      </c>
      <c r="G334" s="16" t="s">
        <v>143</v>
      </c>
      <c r="H334" s="16"/>
    </row>
    <row r="335" spans="4:8" ht="15.6">
      <c r="D335" t="s">
        <v>144</v>
      </c>
      <c r="E335" s="6">
        <f>E230/E332</f>
        <v>0.72727272727272729</v>
      </c>
      <c r="F335" s="17" t="s">
        <v>19</v>
      </c>
      <c r="G335" s="16" t="s">
        <v>286</v>
      </c>
      <c r="H335" s="16"/>
    </row>
    <row r="336" spans="4:8" ht="16.8">
      <c r="D336" s="17" t="s">
        <v>63</v>
      </c>
      <c r="E336" s="14">
        <f>(E335*E335)/(2*9.81)</f>
        <v>2.6958492346315532E-2</v>
      </c>
      <c r="F336" s="17" t="s">
        <v>12</v>
      </c>
      <c r="G336" s="16" t="s">
        <v>287</v>
      </c>
      <c r="H336" s="16"/>
    </row>
    <row r="337" spans="2:9" ht="16.8">
      <c r="D337" t="s">
        <v>145</v>
      </c>
      <c r="E337" s="14">
        <f>(E330*E330*E335*E335*E331)/POWER(E334,4/3)</f>
        <v>3.741315791034841E-2</v>
      </c>
      <c r="F337" s="17" t="s">
        <v>12</v>
      </c>
      <c r="G337" s="16" t="s">
        <v>288</v>
      </c>
      <c r="H337" s="16"/>
    </row>
    <row r="338" spans="2:9">
      <c r="D338" s="17" t="s">
        <v>91</v>
      </c>
      <c r="E338" s="22">
        <f>E302+E337</f>
        <v>54.707865300447658</v>
      </c>
      <c r="F338" t="s">
        <v>12</v>
      </c>
    </row>
    <row r="339" spans="2:9">
      <c r="D339" s="17" t="s">
        <v>92</v>
      </c>
      <c r="E339" s="22">
        <f>E338-E336</f>
        <v>54.680906808101341</v>
      </c>
      <c r="F339" t="s">
        <v>12</v>
      </c>
    </row>
    <row r="340" spans="2:9">
      <c r="D340" s="17" t="s">
        <v>93</v>
      </c>
      <c r="E340" s="21">
        <f>E339-E232</f>
        <v>54.130906808101344</v>
      </c>
      <c r="F340" t="s">
        <v>12</v>
      </c>
    </row>
    <row r="341" spans="2:9">
      <c r="E341" s="6"/>
    </row>
    <row r="342" spans="2:9" ht="15.6">
      <c r="D342" s="25" t="s">
        <v>23</v>
      </c>
    </row>
    <row r="344" spans="2:9">
      <c r="D344" t="s">
        <v>137</v>
      </c>
      <c r="E344" s="29">
        <f>E268</f>
        <v>2</v>
      </c>
    </row>
    <row r="345" spans="2:9">
      <c r="D345" t="s">
        <v>78</v>
      </c>
      <c r="E345" s="14">
        <f>E290</f>
        <v>3.3779926191639781E-3</v>
      </c>
      <c r="F345" t="s">
        <v>12</v>
      </c>
    </row>
    <row r="346" spans="2:9">
      <c r="D346" t="s">
        <v>79</v>
      </c>
      <c r="E346" s="14">
        <f>E336</f>
        <v>2.6958492346315532E-2</v>
      </c>
      <c r="F346" t="s">
        <v>12</v>
      </c>
    </row>
    <row r="347" spans="2:9" ht="16.8">
      <c r="D347" s="17" t="s">
        <v>80</v>
      </c>
      <c r="E347" s="31">
        <f>0.2*(E346-E345)</f>
        <v>4.7160999454303118E-3</v>
      </c>
      <c r="F347" t="s">
        <v>12</v>
      </c>
      <c r="G347" s="16" t="s">
        <v>289</v>
      </c>
      <c r="H347" s="16"/>
      <c r="I347" s="16"/>
    </row>
    <row r="348" spans="2:9">
      <c r="D348" s="17" t="s">
        <v>94</v>
      </c>
      <c r="E348" s="22">
        <f>E338+E347</f>
        <v>54.712581400393091</v>
      </c>
      <c r="F348" t="s">
        <v>12</v>
      </c>
    </row>
    <row r="349" spans="2:9">
      <c r="D349" t="s">
        <v>152</v>
      </c>
      <c r="E349" s="22">
        <f>E348-E345</f>
        <v>54.709203407773927</v>
      </c>
      <c r="F349" t="s">
        <v>12</v>
      </c>
    </row>
    <row r="350" spans="2:9">
      <c r="D350" s="17" t="s">
        <v>95</v>
      </c>
      <c r="E350" s="22">
        <f>E349-E232</f>
        <v>54.15920340777393</v>
      </c>
      <c r="F350" t="s">
        <v>12</v>
      </c>
    </row>
    <row r="351" spans="2:9">
      <c r="D351" s="17"/>
      <c r="E351" s="22"/>
    </row>
    <row r="352" spans="2:9" ht="21">
      <c r="B352" s="23" t="s">
        <v>327</v>
      </c>
    </row>
    <row r="354" spans="2:9" ht="15.6">
      <c r="B354" s="4" t="s">
        <v>153</v>
      </c>
    </row>
    <row r="357" spans="2:9" ht="16.8">
      <c r="D357" s="15" t="s">
        <v>163</v>
      </c>
      <c r="I357" s="15"/>
    </row>
    <row r="358" spans="2:9">
      <c r="D358" s="16" t="s">
        <v>25</v>
      </c>
      <c r="E358" s="16"/>
      <c r="F358" s="16"/>
    </row>
    <row r="359" spans="2:9">
      <c r="D359" s="16" t="s">
        <v>154</v>
      </c>
      <c r="E359" s="16"/>
      <c r="F359" s="16"/>
    </row>
    <row r="360" spans="2:9" ht="15.6">
      <c r="D360" s="16" t="s">
        <v>155</v>
      </c>
      <c r="E360" s="16"/>
      <c r="F360" s="16"/>
    </row>
    <row r="361" spans="2:9" ht="15.6">
      <c r="D361" s="16" t="s">
        <v>35</v>
      </c>
      <c r="E361" s="16"/>
      <c r="F361" s="16"/>
    </row>
    <row r="362" spans="2:9" ht="15.6">
      <c r="D362" s="16" t="s">
        <v>169</v>
      </c>
      <c r="E362" s="16"/>
      <c r="F362" s="16"/>
    </row>
    <row r="363" spans="2:9">
      <c r="D363" s="16" t="s">
        <v>156</v>
      </c>
      <c r="E363" s="16"/>
      <c r="F363" s="16"/>
    </row>
    <row r="365" spans="2:9">
      <c r="D365" s="17" t="s">
        <v>27</v>
      </c>
      <c r="F365" s="10" t="s">
        <v>4</v>
      </c>
    </row>
    <row r="366" spans="2:9" ht="15.6">
      <c r="D366" t="s">
        <v>157</v>
      </c>
      <c r="E366" s="29">
        <f>E268</f>
        <v>2</v>
      </c>
      <c r="F366" t="s">
        <v>12</v>
      </c>
    </row>
    <row r="367" spans="2:9" ht="16.2" customHeight="1">
      <c r="D367" t="s">
        <v>39</v>
      </c>
      <c r="E367">
        <f>E269</f>
        <v>1</v>
      </c>
      <c r="F367" t="s">
        <v>12</v>
      </c>
    </row>
    <row r="368" spans="2:9">
      <c r="D368" t="s">
        <v>158</v>
      </c>
      <c r="E368">
        <f>E274</f>
        <v>1.5</v>
      </c>
      <c r="F368" t="s">
        <v>12</v>
      </c>
    </row>
    <row r="370" spans="4:10">
      <c r="D370" s="13" t="s">
        <v>170</v>
      </c>
      <c r="E370" s="13"/>
      <c r="F370" s="13"/>
    </row>
    <row r="372" spans="4:10">
      <c r="D372" s="59" t="s">
        <v>164</v>
      </c>
      <c r="E372" s="60" t="s">
        <v>32</v>
      </c>
      <c r="F372" s="60" t="s">
        <v>165</v>
      </c>
      <c r="G372" s="60" t="s">
        <v>166</v>
      </c>
      <c r="H372" s="60" t="s">
        <v>167</v>
      </c>
      <c r="I372" s="60" t="s">
        <v>168</v>
      </c>
      <c r="J372" s="60" t="s">
        <v>161</v>
      </c>
    </row>
    <row r="373" spans="4:10">
      <c r="D373" s="61" t="s">
        <v>162</v>
      </c>
      <c r="E373" s="73">
        <f>(E368*E366^(3/2))/(E366^(3/2)-E367^(3/2))*(1-(E367/Table38[[#Headers],[1]])^(3/2))</f>
        <v>0</v>
      </c>
      <c r="F373" s="62">
        <f>(E368*E366^(3/2))/(E366^(3/2)-E367^(3/2))*(1-(E367/Table38[[#Headers],[1.2]])^(3/2))</f>
        <v>0.55520646764671466</v>
      </c>
      <c r="G373" s="62">
        <f>(E368*E366^(3/2))/(E366^(3/2)-E367^(3/2))*(1-(E367/Table38[[#Headers],[1.4]])^(3/2))</f>
        <v>0.91960817114506299</v>
      </c>
      <c r="H373" s="62">
        <f>(E368*E366^(3/2))/(E366^(3/2)-E367^(3/2))*(1-(E367/Table38[[#Headers],[1.6]])^(3/2))</f>
        <v>1.1738651921996457</v>
      </c>
      <c r="I373" s="62">
        <f>(E368*E366^(3/2))/(E366^(3/2)-E367^(3/2))*(1-(E367/Table38[[#Headers],[1.8]])^(3/2))</f>
        <v>1.3595399735434266</v>
      </c>
      <c r="J373" s="74">
        <f>(E368*E366^(3/2))/(E366^(3/2)-E367^(3/2))*(1-(E367/Table38[[#Headers],[2]])^(3/2))</f>
        <v>1.5</v>
      </c>
    </row>
    <row r="390" spans="2:6">
      <c r="D390" t="s">
        <v>309</v>
      </c>
    </row>
    <row r="392" spans="2:6" ht="15.6">
      <c r="B392" s="4" t="s">
        <v>172</v>
      </c>
    </row>
    <row r="395" spans="2:6" ht="16.8">
      <c r="D395" s="15" t="s">
        <v>163</v>
      </c>
    </row>
    <row r="396" spans="2:6">
      <c r="D396" s="16" t="s">
        <v>25</v>
      </c>
      <c r="E396" s="16"/>
      <c r="F396" s="16"/>
    </row>
    <row r="397" spans="2:6">
      <c r="D397" s="16" t="s">
        <v>154</v>
      </c>
      <c r="E397" s="16"/>
      <c r="F397" s="16"/>
    </row>
    <row r="398" spans="2:6" ht="15.6">
      <c r="D398" s="16" t="s">
        <v>155</v>
      </c>
      <c r="E398" s="16"/>
      <c r="F398" s="16"/>
    </row>
    <row r="399" spans="2:6" ht="15.6">
      <c r="D399" s="16" t="s">
        <v>35</v>
      </c>
      <c r="E399" s="16"/>
      <c r="F399" s="16"/>
    </row>
    <row r="400" spans="2:6" ht="15.6">
      <c r="D400" s="16" t="s">
        <v>169</v>
      </c>
      <c r="E400" s="16"/>
      <c r="F400" s="16"/>
    </row>
    <row r="401" spans="4:10">
      <c r="D401" s="16" t="s">
        <v>156</v>
      </c>
      <c r="E401" s="16"/>
      <c r="F401" s="16"/>
    </row>
    <row r="403" spans="4:10">
      <c r="D403" s="17" t="s">
        <v>27</v>
      </c>
      <c r="F403" s="10" t="s">
        <v>4</v>
      </c>
    </row>
    <row r="404" spans="4:10" ht="15.6">
      <c r="D404" t="s">
        <v>157</v>
      </c>
      <c r="E404" s="29">
        <f>E268</f>
        <v>2</v>
      </c>
      <c r="F404" t="s">
        <v>12</v>
      </c>
    </row>
    <row r="405" spans="4:10" ht="15.6">
      <c r="D405" t="s">
        <v>39</v>
      </c>
      <c r="E405">
        <f>E269</f>
        <v>1</v>
      </c>
      <c r="F405" t="s">
        <v>12</v>
      </c>
    </row>
    <row r="406" spans="4:10">
      <c r="D406" t="s">
        <v>158</v>
      </c>
      <c r="E406">
        <f>E273</f>
        <v>1</v>
      </c>
      <c r="F406" t="s">
        <v>12</v>
      </c>
    </row>
    <row r="408" spans="4:10">
      <c r="D408" s="13" t="s">
        <v>171</v>
      </c>
      <c r="E408" s="13"/>
      <c r="F408" s="13"/>
    </row>
    <row r="410" spans="4:10">
      <c r="D410" s="59" t="s">
        <v>164</v>
      </c>
      <c r="E410" s="60" t="s">
        <v>32</v>
      </c>
      <c r="F410" s="60" t="s">
        <v>165</v>
      </c>
      <c r="G410" s="60" t="s">
        <v>166</v>
      </c>
      <c r="H410" s="60" t="s">
        <v>167</v>
      </c>
      <c r="I410" s="60" t="s">
        <v>168</v>
      </c>
      <c r="J410" s="60" t="s">
        <v>161</v>
      </c>
    </row>
    <row r="411" spans="4:10">
      <c r="D411" s="61" t="s">
        <v>162</v>
      </c>
      <c r="E411" s="73">
        <f>(E406*E404^(3/2))/(E404^(3/2)-E405^(3/2))*(1-(E405/Table389[[#Headers],[1]])^(3/2))</f>
        <v>0</v>
      </c>
      <c r="F411" s="62">
        <f>(E406*E404^(3/2))/(E404^(3/2)-E405^(3/2))*(1-(E405/Table389[[#Headers],[1.2]])^(3/2))</f>
        <v>0.37013764509780978</v>
      </c>
      <c r="G411" s="62">
        <f>(E406*E404^(3/2))/(E404^(3/2)-E405^(3/2))*(1-(E405/Table389[[#Headers],[1.4]])^(3/2))</f>
        <v>0.6130721140967087</v>
      </c>
      <c r="H411" s="62">
        <f>(E406*E404^(3/2))/(E404^(3/2)-E405^(3/2))*(1-(E405/Table389[[#Headers],[1.6]])^(3/2))</f>
        <v>0.78257679479976383</v>
      </c>
      <c r="I411" s="62">
        <f>(E406*E404^(3/2))/(E404^(3/2)-E405^(3/2))*(1-(E405/Table389[[#Headers],[1.8]])^(3/2))</f>
        <v>0.90635998236228432</v>
      </c>
      <c r="J411" s="73">
        <f>(E406*E404^(3/2))/(E404^(3/2)-E405^(3/2))*(1-(E405/Table389[[#Headers],[2]])^(3/2))</f>
        <v>1</v>
      </c>
    </row>
    <row r="412" spans="4:10">
      <c r="D412" s="18"/>
      <c r="E412" s="32"/>
      <c r="F412" s="19"/>
      <c r="G412" s="19"/>
      <c r="H412" s="19"/>
      <c r="I412" s="19"/>
      <c r="J412" s="32"/>
    </row>
    <row r="413" spans="4:10">
      <c r="D413" s="18"/>
      <c r="E413" s="32"/>
      <c r="F413" s="19"/>
      <c r="G413" s="19"/>
      <c r="H413" s="19"/>
      <c r="I413" s="19"/>
      <c r="J413" s="32"/>
    </row>
    <row r="414" spans="4:10">
      <c r="D414" s="18"/>
      <c r="E414" s="32"/>
      <c r="F414" s="19"/>
      <c r="G414" s="19"/>
      <c r="H414" s="19"/>
      <c r="I414" s="19"/>
      <c r="J414" s="32"/>
    </row>
    <row r="415" spans="4:10">
      <c r="D415" s="18"/>
      <c r="E415" s="32"/>
      <c r="F415" s="19"/>
      <c r="G415" s="19"/>
      <c r="H415" s="19"/>
      <c r="I415" s="19"/>
      <c r="J415" s="32"/>
    </row>
    <row r="416" spans="4:10">
      <c r="D416" s="18"/>
      <c r="E416" s="32"/>
      <c r="F416" s="19"/>
      <c r="G416" s="19"/>
      <c r="H416" s="19"/>
      <c r="I416" s="19"/>
      <c r="J416" s="32"/>
    </row>
    <row r="417" spans="4:10">
      <c r="D417" s="18"/>
      <c r="E417" s="32"/>
      <c r="F417" s="19"/>
      <c r="G417" s="19"/>
      <c r="H417" s="19"/>
      <c r="I417" s="19"/>
      <c r="J417" s="32"/>
    </row>
    <row r="418" spans="4:10">
      <c r="D418" s="18"/>
      <c r="E418" s="32"/>
      <c r="F418" s="19"/>
      <c r="G418" s="19"/>
      <c r="H418" s="19"/>
      <c r="I418" s="19"/>
      <c r="J418" s="32"/>
    </row>
    <row r="419" spans="4:10">
      <c r="D419" s="18"/>
      <c r="E419" s="32"/>
      <c r="F419" s="19"/>
      <c r="G419" s="19"/>
      <c r="H419" s="19"/>
      <c r="I419" s="19"/>
      <c r="J419" s="32"/>
    </row>
    <row r="420" spans="4:10">
      <c r="D420" s="18"/>
      <c r="E420" s="32"/>
      <c r="F420" s="19"/>
      <c r="G420" s="19"/>
      <c r="H420" s="19"/>
      <c r="I420" s="19"/>
      <c r="J420" s="32"/>
    </row>
    <row r="421" spans="4:10">
      <c r="D421" s="18"/>
      <c r="E421" s="32"/>
      <c r="F421" s="19"/>
      <c r="G421" s="19"/>
      <c r="H421" s="19"/>
      <c r="I421" s="19"/>
      <c r="J421" s="32"/>
    </row>
    <row r="422" spans="4:10">
      <c r="D422" s="18"/>
      <c r="E422" s="32"/>
      <c r="F422" s="19"/>
      <c r="G422" s="19"/>
      <c r="H422" s="19"/>
      <c r="I422" s="19"/>
      <c r="J422" s="32"/>
    </row>
    <row r="423" spans="4:10">
      <c r="D423" s="18"/>
      <c r="E423" s="32"/>
      <c r="F423" s="19"/>
      <c r="G423" s="19"/>
      <c r="H423" s="19"/>
      <c r="I423" s="19"/>
      <c r="J423" s="32"/>
    </row>
    <row r="424" spans="4:10">
      <c r="D424" s="18"/>
      <c r="E424" s="32"/>
      <c r="F424" s="19"/>
      <c r="G424" s="19"/>
      <c r="H424" s="19"/>
      <c r="I424" s="19"/>
      <c r="J424" s="32"/>
    </row>
    <row r="425" spans="4:10">
      <c r="D425" s="18"/>
      <c r="E425" s="32"/>
      <c r="F425" s="19"/>
      <c r="G425" s="19"/>
      <c r="H425" s="19"/>
      <c r="I425" s="19"/>
      <c r="J425" s="32"/>
    </row>
    <row r="426" spans="4:10">
      <c r="D426" s="18"/>
      <c r="E426" s="32"/>
      <c r="F426" s="19"/>
      <c r="G426" s="19"/>
      <c r="H426" s="19"/>
      <c r="I426" s="19"/>
      <c r="J426" s="32"/>
    </row>
    <row r="427" spans="4:10">
      <c r="D427" s="18"/>
      <c r="E427" s="32"/>
      <c r="F427" s="19"/>
      <c r="G427" s="19"/>
      <c r="H427" s="19"/>
      <c r="I427" s="19"/>
      <c r="J427" s="32"/>
    </row>
    <row r="428" spans="4:10">
      <c r="D428" s="78" t="s">
        <v>310</v>
      </c>
      <c r="E428" s="32"/>
      <c r="F428" s="19"/>
      <c r="G428" s="19"/>
      <c r="H428" s="19"/>
      <c r="I428" s="19"/>
      <c r="J428" s="32"/>
    </row>
    <row r="429" spans="4:10">
      <c r="D429" s="18"/>
      <c r="E429" s="32"/>
      <c r="F429" s="19"/>
      <c r="G429" s="19"/>
      <c r="H429" s="19"/>
      <c r="I429" s="19"/>
      <c r="J429" s="32"/>
    </row>
    <row r="430" spans="4:10">
      <c r="D430" s="18"/>
      <c r="E430" s="32"/>
      <c r="F430" s="19"/>
      <c r="G430" s="19"/>
      <c r="H430" s="19"/>
      <c r="I430" s="19"/>
      <c r="J430" s="32"/>
    </row>
    <row r="431" spans="4:10">
      <c r="D431" s="18"/>
      <c r="E431" s="32"/>
      <c r="F431" s="19"/>
      <c r="G431" s="19"/>
      <c r="H431" s="19"/>
      <c r="I431" s="19"/>
      <c r="J431" s="32"/>
    </row>
    <row r="432" spans="4:10">
      <c r="D432" s="18"/>
      <c r="E432" s="32"/>
      <c r="F432" s="19"/>
      <c r="G432" s="19"/>
      <c r="H432" s="19"/>
      <c r="I432" s="19"/>
      <c r="J432" s="32"/>
    </row>
    <row r="433" spans="2:8" ht="21">
      <c r="B433" s="23" t="s">
        <v>328</v>
      </c>
      <c r="C433" s="23"/>
    </row>
    <row r="434" spans="2:8" ht="21">
      <c r="D434" s="23"/>
    </row>
    <row r="436" spans="2:8">
      <c r="D436" s="15" t="s">
        <v>186</v>
      </c>
      <c r="E436" s="15"/>
      <c r="F436" s="10"/>
    </row>
    <row r="437" spans="2:8">
      <c r="C437" s="15"/>
      <c r="D437" s="15"/>
      <c r="E437" s="15"/>
      <c r="F437" s="10"/>
    </row>
    <row r="438" spans="2:8">
      <c r="D438" s="15"/>
      <c r="E438" s="10"/>
      <c r="F438" s="10" t="s">
        <v>4</v>
      </c>
    </row>
    <row r="439" spans="2:8">
      <c r="D439" s="55" t="s">
        <v>44</v>
      </c>
      <c r="E439" s="55">
        <v>0.15</v>
      </c>
      <c r="F439" s="55" t="s">
        <v>12</v>
      </c>
    </row>
    <row r="440" spans="2:8">
      <c r="D440" t="s">
        <v>174</v>
      </c>
      <c r="E440" s="6">
        <f>E232</f>
        <v>0.55000000000000004</v>
      </c>
      <c r="F440" t="s">
        <v>12</v>
      </c>
    </row>
    <row r="441" spans="2:8">
      <c r="D441" s="55" t="s">
        <v>175</v>
      </c>
      <c r="E441" s="55">
        <v>0.45</v>
      </c>
      <c r="F441" s="55" t="s">
        <v>12</v>
      </c>
    </row>
    <row r="442" spans="2:8">
      <c r="D442" t="s">
        <v>176</v>
      </c>
      <c r="E442" s="6">
        <f>E440+E441</f>
        <v>1</v>
      </c>
      <c r="F442" t="s">
        <v>12</v>
      </c>
    </row>
    <row r="444" spans="2:8">
      <c r="D444" s="15" t="s">
        <v>47</v>
      </c>
    </row>
    <row r="445" spans="2:8">
      <c r="D445" s="15"/>
    </row>
    <row r="446" spans="2:8" ht="21">
      <c r="B446" s="23" t="s">
        <v>329</v>
      </c>
      <c r="C446" s="23"/>
    </row>
    <row r="447" spans="2:8" ht="21">
      <c r="D447" s="23"/>
    </row>
    <row r="448" spans="2:8">
      <c r="F448" s="10" t="s">
        <v>4</v>
      </c>
      <c r="G448" s="15" t="s">
        <v>96</v>
      </c>
      <c r="H448" s="16"/>
    </row>
    <row r="449" spans="2:12" ht="30">
      <c r="D449" s="56" t="s">
        <v>181</v>
      </c>
      <c r="E449" s="55">
        <v>0.505</v>
      </c>
      <c r="F449" s="55"/>
    </row>
    <row r="450" spans="2:12">
      <c r="D450" t="s">
        <v>178</v>
      </c>
      <c r="E450">
        <f>E243/(E262*E263)</f>
        <v>9.6</v>
      </c>
      <c r="F450" t="s">
        <v>12</v>
      </c>
    </row>
    <row r="451" spans="2:12">
      <c r="D451" t="s">
        <v>97</v>
      </c>
      <c r="E451">
        <f>E439</f>
        <v>0.15</v>
      </c>
      <c r="F451" t="s">
        <v>12</v>
      </c>
    </row>
    <row r="452" spans="2:12">
      <c r="D452" t="s">
        <v>98</v>
      </c>
      <c r="E452" s="29">
        <f>E450+2*E451</f>
        <v>9.9</v>
      </c>
      <c r="F452" t="s">
        <v>12</v>
      </c>
    </row>
    <row r="453" spans="2:12">
      <c r="D453" t="s">
        <v>177</v>
      </c>
      <c r="E453">
        <f>E261</f>
        <v>1.2</v>
      </c>
      <c r="F453" t="s">
        <v>19</v>
      </c>
    </row>
    <row r="454" spans="2:12" ht="16.2">
      <c r="D454" t="s">
        <v>99</v>
      </c>
      <c r="E454" s="6">
        <f>E262*E263</f>
        <v>9.8958333333333339</v>
      </c>
      <c r="F454" s="6" t="s">
        <v>67</v>
      </c>
    </row>
    <row r="455" spans="2:12">
      <c r="D455" t="s">
        <v>179</v>
      </c>
      <c r="E455" s="6">
        <f>2*(E262+E263)</f>
        <v>13.958333333333334</v>
      </c>
      <c r="F455" t="s">
        <v>12</v>
      </c>
    </row>
    <row r="456" spans="2:12">
      <c r="D456" t="s">
        <v>183</v>
      </c>
      <c r="E456" s="27">
        <f>E454/E455</f>
        <v>0.70895522388059706</v>
      </c>
      <c r="F456" t="s">
        <v>12</v>
      </c>
      <c r="G456" s="16" t="s">
        <v>143</v>
      </c>
      <c r="H456" s="16"/>
      <c r="I456" s="16"/>
      <c r="J456" s="16"/>
      <c r="K456" s="16"/>
      <c r="L456" s="16"/>
    </row>
    <row r="457" spans="2:12" ht="30">
      <c r="D457" s="7" t="s">
        <v>180</v>
      </c>
      <c r="E457" s="14">
        <f>0.00316*(1+(0.03/E456))</f>
        <v>3.2937178947368426E-3</v>
      </c>
      <c r="G457" s="16" t="s">
        <v>291</v>
      </c>
      <c r="H457" s="16"/>
      <c r="I457" s="16"/>
      <c r="J457" s="16"/>
      <c r="K457" s="16"/>
      <c r="L457" s="16"/>
    </row>
    <row r="458" spans="2:12" ht="16.8">
      <c r="D458" s="36" t="s">
        <v>100</v>
      </c>
      <c r="E458" s="35">
        <f>(1+E449+E457*(E452/E456))*((E453*E453)/(2*9.81))</f>
        <v>0.11383443450248797</v>
      </c>
      <c r="F458" s="26" t="s">
        <v>12</v>
      </c>
      <c r="G458" s="16" t="s">
        <v>292</v>
      </c>
      <c r="H458" s="16"/>
      <c r="I458" s="16"/>
      <c r="J458" s="16"/>
      <c r="K458" s="16"/>
      <c r="L458" s="16"/>
    </row>
    <row r="459" spans="2:12">
      <c r="D459" t="s">
        <v>101</v>
      </c>
      <c r="E459">
        <f>E241</f>
        <v>54.46</v>
      </c>
      <c r="F459" t="s">
        <v>12</v>
      </c>
    </row>
    <row r="460" spans="2:12">
      <c r="D460" t="s">
        <v>102</v>
      </c>
      <c r="E460" s="6">
        <f>E459+E458</f>
        <v>54.573834434502487</v>
      </c>
      <c r="F460" t="s">
        <v>12</v>
      </c>
    </row>
    <row r="462" spans="2:12" ht="21">
      <c r="B462" s="23" t="s">
        <v>330</v>
      </c>
    </row>
    <row r="463" spans="2:12" ht="16.8" customHeight="1"/>
    <row r="464" spans="2:12" ht="15.6" customHeight="1">
      <c r="F464" s="10" t="s">
        <v>4</v>
      </c>
      <c r="G464" s="15" t="s">
        <v>96</v>
      </c>
      <c r="H464" s="16"/>
      <c r="I464" s="16"/>
    </row>
    <row r="465" spans="2:9" ht="16.8">
      <c r="D465" t="s">
        <v>103</v>
      </c>
      <c r="E465" s="14">
        <f>(E449*E453*E453)/(2*9.81)</f>
        <v>3.7064220183486235E-2</v>
      </c>
      <c r="F465" t="s">
        <v>12</v>
      </c>
      <c r="G465" s="16" t="s">
        <v>293</v>
      </c>
      <c r="H465" s="16"/>
      <c r="I465" s="16"/>
    </row>
    <row r="466" spans="2:9">
      <c r="D466" t="s">
        <v>104</v>
      </c>
      <c r="E466" s="6">
        <f>E460-E465</f>
        <v>54.536770214318999</v>
      </c>
      <c r="F466" t="s">
        <v>12</v>
      </c>
    </row>
    <row r="467" spans="2:9">
      <c r="D467" s="55" t="s">
        <v>182</v>
      </c>
      <c r="E467" s="57">
        <v>0.3</v>
      </c>
      <c r="F467" s="55" t="s">
        <v>12</v>
      </c>
    </row>
    <row r="468" spans="2:9">
      <c r="D468" t="s">
        <v>105</v>
      </c>
      <c r="E468" s="6">
        <f>E233-E467</f>
        <v>53.81</v>
      </c>
      <c r="F468" t="s">
        <v>12</v>
      </c>
    </row>
    <row r="469" spans="2:9">
      <c r="D469" t="s">
        <v>184</v>
      </c>
      <c r="E469" s="6">
        <f>E466-E468</f>
        <v>0.72677021431899647</v>
      </c>
      <c r="F469" t="s">
        <v>12</v>
      </c>
    </row>
    <row r="470" spans="2:9" ht="16.2">
      <c r="D470" t="s">
        <v>185</v>
      </c>
      <c r="E470" s="6">
        <f>E469*9.81</f>
        <v>7.1296158024693561</v>
      </c>
      <c r="F470" t="s">
        <v>109</v>
      </c>
    </row>
    <row r="472" spans="2:9">
      <c r="D472" s="15" t="s">
        <v>187</v>
      </c>
    </row>
    <row r="473" spans="2:9">
      <c r="D473" s="15"/>
    </row>
    <row r="474" spans="2:9" ht="16.2">
      <c r="D474" s="64" t="s">
        <v>106</v>
      </c>
      <c r="E474" s="55">
        <v>24</v>
      </c>
      <c r="F474" s="55" t="s">
        <v>107</v>
      </c>
    </row>
    <row r="475" spans="2:9" ht="16.2" customHeight="1">
      <c r="D475" s="17" t="s">
        <v>108</v>
      </c>
      <c r="E475">
        <f>E474*E467</f>
        <v>7.1999999999999993</v>
      </c>
      <c r="F475" t="s">
        <v>109</v>
      </c>
    </row>
    <row r="476" spans="2:9" ht="16.2" customHeight="1"/>
    <row r="477" spans="2:9" ht="16.2" customHeight="1">
      <c r="D477" s="15" t="s">
        <v>188</v>
      </c>
      <c r="E477" s="15"/>
      <c r="F477" s="15"/>
      <c r="G477" s="15"/>
      <c r="H477" s="15"/>
      <c r="I477" s="15"/>
    </row>
    <row r="478" spans="2:9" ht="18" customHeight="1">
      <c r="D478" s="15"/>
      <c r="E478" s="15"/>
      <c r="F478" s="15"/>
      <c r="G478" s="15"/>
      <c r="H478" s="15"/>
      <c r="I478" s="15"/>
    </row>
    <row r="479" spans="2:9" ht="21">
      <c r="B479" s="23" t="s">
        <v>331</v>
      </c>
    </row>
    <row r="480" spans="2:9" ht="21">
      <c r="D480" s="23"/>
    </row>
    <row r="481" spans="4:14" ht="16.8" customHeight="1">
      <c r="F481" s="10" t="s">
        <v>4</v>
      </c>
    </row>
    <row r="482" spans="4:14">
      <c r="D482" t="s">
        <v>110</v>
      </c>
      <c r="E482" s="6">
        <f>E468-E263</f>
        <v>51.830833333333338</v>
      </c>
      <c r="F482" t="s">
        <v>12</v>
      </c>
    </row>
    <row r="483" spans="4:14">
      <c r="D483" s="55" t="s">
        <v>111</v>
      </c>
      <c r="E483" s="55">
        <v>1.25</v>
      </c>
      <c r="F483" s="55" t="s">
        <v>12</v>
      </c>
    </row>
    <row r="484" spans="4:14">
      <c r="D484" t="s">
        <v>112</v>
      </c>
      <c r="E484" s="6">
        <f>E482-E483</f>
        <v>50.580833333333338</v>
      </c>
      <c r="F484" t="s">
        <v>12</v>
      </c>
    </row>
    <row r="485" spans="4:14">
      <c r="D485" t="s">
        <v>113</v>
      </c>
      <c r="E485">
        <f>E242</f>
        <v>50.75</v>
      </c>
      <c r="F485" t="s">
        <v>12</v>
      </c>
    </row>
    <row r="487" spans="4:14">
      <c r="D487" s="15" t="s">
        <v>190</v>
      </c>
    </row>
    <row r="488" spans="4:14">
      <c r="D488" s="7" t="s">
        <v>114</v>
      </c>
      <c r="E488" s="6">
        <f>E485-E484</f>
        <v>0.16916666666666202</v>
      </c>
      <c r="F488" t="s">
        <v>12</v>
      </c>
    </row>
    <row r="489" spans="4:14" ht="16.8" customHeight="1">
      <c r="D489" s="7"/>
      <c r="N489" s="15"/>
    </row>
    <row r="490" spans="4:14" ht="16.2" customHeight="1">
      <c r="D490" s="15" t="s">
        <v>189</v>
      </c>
      <c r="E490" s="15"/>
      <c r="F490" s="15"/>
    </row>
    <row r="491" spans="4:14">
      <c r="D491" t="s">
        <v>115</v>
      </c>
      <c r="E491" s="6">
        <f>E233+E232</f>
        <v>54.66</v>
      </c>
      <c r="F491" t="s">
        <v>12</v>
      </c>
    </row>
    <row r="492" spans="4:14">
      <c r="D492" t="s">
        <v>116</v>
      </c>
      <c r="E492" s="6">
        <f>E491-E485</f>
        <v>3.9099999999999966</v>
      </c>
      <c r="F492" t="s">
        <v>12</v>
      </c>
    </row>
    <row r="494" spans="4:14">
      <c r="D494" s="15" t="s">
        <v>191</v>
      </c>
      <c r="F494" s="15"/>
      <c r="G494" s="15"/>
      <c r="H494" s="15"/>
      <c r="I494" s="15"/>
      <c r="J494" s="15"/>
      <c r="K494" s="15"/>
      <c r="L494" s="15"/>
      <c r="M494" s="15"/>
    </row>
    <row r="496" spans="4:14" ht="28.8">
      <c r="D496" s="33" t="s">
        <v>192</v>
      </c>
      <c r="E496">
        <f>E273</f>
        <v>1</v>
      </c>
      <c r="F496" t="s">
        <v>12</v>
      </c>
    </row>
    <row r="497" spans="4:6">
      <c r="D497" t="s">
        <v>117</v>
      </c>
      <c r="E497">
        <f>E262/2</f>
        <v>2.5</v>
      </c>
      <c r="F497" t="s">
        <v>12</v>
      </c>
    </row>
    <row r="498" spans="4:6" ht="28.8">
      <c r="D498" s="7" t="s">
        <v>118</v>
      </c>
      <c r="E498">
        <f>(E269/2)+((E268-E269)/2)</f>
        <v>1</v>
      </c>
      <c r="F498" t="s">
        <v>12</v>
      </c>
    </row>
    <row r="499" spans="4:6">
      <c r="D499" s="7"/>
    </row>
    <row r="500" spans="4:6">
      <c r="D500" s="7"/>
    </row>
    <row r="501" spans="4:6">
      <c r="D501" s="7"/>
    </row>
    <row r="502" spans="4:6">
      <c r="D502" s="7"/>
    </row>
    <row r="503" spans="4:6">
      <c r="D503" s="7"/>
    </row>
    <row r="504" spans="4:6">
      <c r="D504" s="7"/>
    </row>
    <row r="505" spans="4:6">
      <c r="D505" s="7"/>
    </row>
    <row r="506" spans="4:6">
      <c r="D506" s="7"/>
    </row>
    <row r="507" spans="4:6">
      <c r="D507" s="7"/>
    </row>
    <row r="508" spans="4:6">
      <c r="D508" s="7"/>
    </row>
    <row r="509" spans="4:6">
      <c r="D509" s="7"/>
    </row>
    <row r="510" spans="4:6">
      <c r="D510" s="7"/>
    </row>
    <row r="511" spans="4:6">
      <c r="D511" s="7"/>
    </row>
    <row r="512" spans="4:6">
      <c r="D512" s="7"/>
    </row>
    <row r="513" spans="4:6">
      <c r="D513" s="7"/>
    </row>
    <row r="514" spans="4:6">
      <c r="D514" s="7"/>
    </row>
    <row r="515" spans="4:6">
      <c r="D515" s="7"/>
    </row>
    <row r="517" spans="4:6">
      <c r="D517" s="7"/>
    </row>
    <row r="518" spans="4:6">
      <c r="D518" t="s">
        <v>311</v>
      </c>
    </row>
    <row r="519" spans="4:6">
      <c r="D519" s="7"/>
    </row>
    <row r="520" spans="4:6">
      <c r="D520" s="7"/>
    </row>
    <row r="521" spans="4:6">
      <c r="D521" t="s">
        <v>119</v>
      </c>
      <c r="E521">
        <f>E496+E497+E498</f>
        <v>4.5</v>
      </c>
      <c r="F521" t="s">
        <v>12</v>
      </c>
    </row>
    <row r="522" spans="4:6">
      <c r="D522" t="s">
        <v>120</v>
      </c>
      <c r="E522">
        <f>E496+E497</f>
        <v>3.5</v>
      </c>
      <c r="F522" t="s">
        <v>12</v>
      </c>
    </row>
    <row r="523" spans="4:6">
      <c r="D523" t="s">
        <v>121</v>
      </c>
      <c r="E523" s="6">
        <f>E492*(1-E522/E521)</f>
        <v>0.86888888888888804</v>
      </c>
      <c r="F523" t="s">
        <v>12</v>
      </c>
    </row>
    <row r="524" spans="4:6">
      <c r="D524" t="s">
        <v>126</v>
      </c>
      <c r="E524" s="6">
        <f>E488+E523</f>
        <v>1.03805555555555</v>
      </c>
      <c r="F524" t="s">
        <v>12</v>
      </c>
    </row>
    <row r="525" spans="4:6">
      <c r="D525" s="55" t="s">
        <v>122</v>
      </c>
      <c r="E525" s="55">
        <v>2.25</v>
      </c>
      <c r="F525" s="55"/>
    </row>
    <row r="526" spans="4:6">
      <c r="D526" t="s">
        <v>123</v>
      </c>
      <c r="E526" s="27">
        <f>E524/E525</f>
        <v>0.46135802469135556</v>
      </c>
      <c r="F526" t="s">
        <v>12</v>
      </c>
    </row>
    <row r="527" spans="4:6">
      <c r="D527" t="s">
        <v>124</v>
      </c>
      <c r="E527" s="6">
        <f>E482-E526</f>
        <v>51.369475308641981</v>
      </c>
      <c r="F527" t="s">
        <v>12</v>
      </c>
    </row>
    <row r="528" spans="4:6">
      <c r="E528" s="6"/>
    </row>
    <row r="529" spans="2:12">
      <c r="D529" s="15" t="s">
        <v>125</v>
      </c>
      <c r="E529" s="15"/>
      <c r="F529" s="15"/>
    </row>
    <row r="531" spans="2:12">
      <c r="D531" t="s">
        <v>126</v>
      </c>
      <c r="E531" s="6">
        <f>E523+0</f>
        <v>0.86888888888888804</v>
      </c>
      <c r="F531" t="s">
        <v>12</v>
      </c>
    </row>
    <row r="532" spans="2:12">
      <c r="D532" s="7" t="s">
        <v>127</v>
      </c>
      <c r="E532" s="6">
        <f>E526*E525</f>
        <v>1.03805555555555</v>
      </c>
      <c r="F532" t="s">
        <v>12</v>
      </c>
    </row>
    <row r="534" spans="2:12">
      <c r="D534" s="15" t="s">
        <v>128</v>
      </c>
      <c r="E534" s="15"/>
      <c r="F534" s="15"/>
      <c r="G534" s="15"/>
      <c r="H534" s="15"/>
    </row>
    <row r="538" spans="2:12" ht="21">
      <c r="B538" s="23" t="s">
        <v>332</v>
      </c>
    </row>
    <row r="540" spans="2:12" ht="21">
      <c r="D540" s="23"/>
      <c r="L540" t="s">
        <v>305</v>
      </c>
    </row>
    <row r="541" spans="2:12">
      <c r="F541" s="10" t="s">
        <v>4</v>
      </c>
      <c r="G541" s="15" t="s">
        <v>96</v>
      </c>
      <c r="H541" s="16"/>
    </row>
    <row r="542" spans="2:12" ht="16.2">
      <c r="D542" t="s">
        <v>193</v>
      </c>
      <c r="E542">
        <f>10*E232</f>
        <v>5.5</v>
      </c>
      <c r="F542" t="s">
        <v>109</v>
      </c>
    </row>
    <row r="543" spans="2:12" ht="16.2">
      <c r="D543" t="s">
        <v>194</v>
      </c>
      <c r="E543">
        <f>25*E467</f>
        <v>7.5</v>
      </c>
      <c r="F543" t="s">
        <v>109</v>
      </c>
    </row>
    <row r="544" spans="2:12" ht="28.8">
      <c r="D544" s="7" t="s">
        <v>195</v>
      </c>
      <c r="E544">
        <f>E542+E543</f>
        <v>13</v>
      </c>
      <c r="F544" t="s">
        <v>109</v>
      </c>
    </row>
    <row r="545" spans="4:8">
      <c r="D545" t="s">
        <v>196</v>
      </c>
      <c r="E545">
        <f>E269</f>
        <v>1</v>
      </c>
      <c r="F545" t="s">
        <v>12</v>
      </c>
    </row>
    <row r="546" spans="4:8">
      <c r="D546" s="55" t="s">
        <v>251</v>
      </c>
      <c r="E546" s="55">
        <v>0.15</v>
      </c>
      <c r="F546" s="55" t="s">
        <v>12</v>
      </c>
    </row>
    <row r="547" spans="4:8">
      <c r="D547" s="55" t="s">
        <v>197</v>
      </c>
      <c r="E547" s="55">
        <v>0.15</v>
      </c>
      <c r="F547" s="55" t="s">
        <v>12</v>
      </c>
    </row>
    <row r="548" spans="4:8">
      <c r="D548" t="s">
        <v>198</v>
      </c>
      <c r="E548">
        <f>E545+(E546/2)+(E546/2)</f>
        <v>1.1499999999999999</v>
      </c>
      <c r="F548" t="s">
        <v>12</v>
      </c>
    </row>
    <row r="549" spans="4:8">
      <c r="D549" s="55" t="s">
        <v>203</v>
      </c>
      <c r="E549" s="55">
        <v>1</v>
      </c>
      <c r="F549" s="55" t="s">
        <v>12</v>
      </c>
    </row>
    <row r="550" spans="4:8">
      <c r="D550" t="s">
        <v>199</v>
      </c>
      <c r="E550" s="29">
        <f>((E544*E548*E548)/10)*10^5</f>
        <v>171925</v>
      </c>
      <c r="F550" t="s">
        <v>200</v>
      </c>
    </row>
    <row r="551" spans="4:8">
      <c r="D551" t="s">
        <v>201</v>
      </c>
      <c r="E551" s="6">
        <f>((E526*E548*E548)/10)*10^5</f>
        <v>6101.4598765431774</v>
      </c>
      <c r="F551" t="s">
        <v>200</v>
      </c>
    </row>
    <row r="552" spans="4:8">
      <c r="D552" t="s">
        <v>202</v>
      </c>
      <c r="E552">
        <f>((E544*E548*E549)/2)*10^3</f>
        <v>7475</v>
      </c>
      <c r="F552" t="s">
        <v>204</v>
      </c>
    </row>
    <row r="553" spans="4:8">
      <c r="D553" s="55" t="s">
        <v>205</v>
      </c>
      <c r="E553" s="75" t="s">
        <v>206</v>
      </c>
      <c r="F553" s="55"/>
    </row>
    <row r="554" spans="4:8" ht="16.8">
      <c r="D554" s="55" t="s">
        <v>207</v>
      </c>
      <c r="E554" s="55">
        <v>5</v>
      </c>
      <c r="F554" s="55" t="s">
        <v>208</v>
      </c>
    </row>
    <row r="555" spans="4:8" ht="16.8">
      <c r="D555" s="55" t="s">
        <v>209</v>
      </c>
      <c r="E555" s="55">
        <v>140</v>
      </c>
      <c r="F555" s="55" t="s">
        <v>208</v>
      </c>
      <c r="H555" s="10"/>
    </row>
    <row r="556" spans="4:8" ht="15.6">
      <c r="D556" t="s">
        <v>210</v>
      </c>
      <c r="E556" s="6">
        <f>280/(3*E554)</f>
        <v>18.666666666666668</v>
      </c>
      <c r="G556" s="16" t="s">
        <v>294</v>
      </c>
      <c r="H556" s="16"/>
    </row>
    <row r="557" spans="4:8" ht="15.6">
      <c r="D557" t="s">
        <v>211</v>
      </c>
      <c r="E557">
        <f>(E556*E554)/(E556*E554+E555)</f>
        <v>0.4</v>
      </c>
      <c r="G557" s="16" t="s">
        <v>295</v>
      </c>
      <c r="H557" s="16"/>
    </row>
    <row r="558" spans="4:8">
      <c r="D558" t="s">
        <v>212</v>
      </c>
      <c r="E558" s="6">
        <f>1-(E557/3)</f>
        <v>0.8666666666666667</v>
      </c>
      <c r="G558" s="16" t="s">
        <v>213</v>
      </c>
      <c r="H558" s="16"/>
    </row>
    <row r="559" spans="4:8" ht="15.6">
      <c r="D559" t="s">
        <v>214</v>
      </c>
      <c r="E559" s="29">
        <f>0.5*E557*E554*E558*100</f>
        <v>86.666666666666671</v>
      </c>
      <c r="G559" s="16" t="s">
        <v>296</v>
      </c>
      <c r="H559" s="16"/>
    </row>
    <row r="560" spans="4:8" ht="15.6">
      <c r="D560" t="s">
        <v>215</v>
      </c>
      <c r="E560" s="27">
        <f>SQRT((1.5*E550)/(E559*E549*100))*10</f>
        <v>54.549289637904536</v>
      </c>
      <c r="F560" t="s">
        <v>216</v>
      </c>
      <c r="G560" s="16" t="s">
        <v>297</v>
      </c>
      <c r="H560" s="16"/>
    </row>
    <row r="561" spans="4:9">
      <c r="D561" s="55" t="s">
        <v>217</v>
      </c>
      <c r="E561" s="55">
        <v>15</v>
      </c>
      <c r="F561" s="55" t="s">
        <v>218</v>
      </c>
    </row>
    <row r="562" spans="4:9">
      <c r="D562" s="55" t="s">
        <v>219</v>
      </c>
      <c r="E562" s="55">
        <v>12</v>
      </c>
      <c r="F562" s="55" t="s">
        <v>216</v>
      </c>
    </row>
    <row r="563" spans="4:9">
      <c r="D563" s="55" t="s">
        <v>220</v>
      </c>
      <c r="E563" s="55">
        <v>25</v>
      </c>
      <c r="F563" s="55" t="s">
        <v>216</v>
      </c>
    </row>
    <row r="564" spans="4:9">
      <c r="D564" t="s">
        <v>215</v>
      </c>
      <c r="E564">
        <f>(E561*10)-E563-(E562/2)</f>
        <v>119</v>
      </c>
      <c r="F564" t="s">
        <v>216</v>
      </c>
    </row>
    <row r="566" spans="4:9">
      <c r="D566" s="15" t="s">
        <v>226</v>
      </c>
    </row>
    <row r="567" spans="4:9">
      <c r="D567" s="15"/>
    </row>
    <row r="568" spans="4:9" ht="16.8">
      <c r="D568" s="56" t="s">
        <v>222</v>
      </c>
      <c r="E568" s="55">
        <v>415</v>
      </c>
      <c r="F568" s="55" t="s">
        <v>208</v>
      </c>
    </row>
    <row r="569" spans="4:9" ht="16.8">
      <c r="D569" s="76" t="s">
        <v>223</v>
      </c>
      <c r="E569" s="55">
        <v>15</v>
      </c>
      <c r="F569" s="55" t="s">
        <v>208</v>
      </c>
    </row>
    <row r="570" spans="4:9" ht="16.8">
      <c r="D570" s="34" t="s">
        <v>221</v>
      </c>
      <c r="E570" s="6">
        <f>0.5*(((E549*1000*E564*E569)/E568)-SQRT(((E549*1000*E564*E569)/E568)^2-((4*1.5*E550*10*E549*1000*E569)/(0.87*E568^2))))</f>
        <v>60.884599029156107</v>
      </c>
      <c r="F570" t="s">
        <v>224</v>
      </c>
      <c r="G570" s="16" t="s">
        <v>298</v>
      </c>
      <c r="H570" s="16"/>
      <c r="I570" s="16"/>
    </row>
    <row r="572" spans="4:9">
      <c r="D572" s="15" t="s">
        <v>225</v>
      </c>
      <c r="E572" s="15"/>
    </row>
    <row r="573" spans="4:9" ht="16.2">
      <c r="D573" t="s">
        <v>227</v>
      </c>
      <c r="E573">
        <f>(0.3/100)*E549*1000*E561*10</f>
        <v>450</v>
      </c>
      <c r="F573" t="s">
        <v>224</v>
      </c>
    </row>
    <row r="574" spans="4:9">
      <c r="D574" t="s">
        <v>232</v>
      </c>
      <c r="E574" s="27">
        <f>(3.14*E562*E562*1000)/(4*E573)</f>
        <v>251.19999999999996</v>
      </c>
      <c r="F574" t="s">
        <v>216</v>
      </c>
    </row>
    <row r="576" spans="4:9">
      <c r="D576" s="15" t="s">
        <v>269</v>
      </c>
    </row>
    <row r="578" spans="4:10">
      <c r="D578" s="55" t="s">
        <v>229</v>
      </c>
      <c r="E578" s="55">
        <v>10</v>
      </c>
      <c r="F578" s="55" t="s">
        <v>216</v>
      </c>
    </row>
    <row r="579" spans="4:10">
      <c r="D579" t="s">
        <v>215</v>
      </c>
      <c r="E579">
        <f>(E561*10)-E563-(E578/2)</f>
        <v>120</v>
      </c>
      <c r="F579" t="s">
        <v>216</v>
      </c>
    </row>
    <row r="580" spans="4:10" ht="16.8">
      <c r="D580" s="34" t="s">
        <v>228</v>
      </c>
      <c r="E580" s="6">
        <f>0.5*(((E549*1000*E579*E569)/E568)-SQRT(((E549*1000*E579*E569)/E568)^2-((4*1.5*E551*10*E549*1000*E569)/(0.87*E568*E568))))</f>
        <v>2.1134310840707258</v>
      </c>
      <c r="F580" t="s">
        <v>224</v>
      </c>
      <c r="G580" s="16" t="s">
        <v>298</v>
      </c>
      <c r="H580" s="16"/>
      <c r="I580" s="16"/>
    </row>
    <row r="582" spans="4:10">
      <c r="D582" s="15" t="s">
        <v>230</v>
      </c>
      <c r="E582" s="15"/>
    </row>
    <row r="583" spans="4:10" ht="16.2">
      <c r="D583" t="s">
        <v>231</v>
      </c>
      <c r="E583">
        <f>(0.15/100)*E549*1000*E561*10</f>
        <v>225</v>
      </c>
      <c r="F583" t="s">
        <v>224</v>
      </c>
      <c r="J583" s="15"/>
    </row>
    <row r="584" spans="4:10">
      <c r="D584" t="s">
        <v>233</v>
      </c>
      <c r="E584" s="6">
        <f>(3.14*E578*E578*1000)/(4*E583)</f>
        <v>348.88888888888891</v>
      </c>
      <c r="F584" t="s">
        <v>216</v>
      </c>
    </row>
    <row r="586" spans="4:10">
      <c r="D586" s="15" t="s">
        <v>268</v>
      </c>
    </row>
    <row r="588" spans="4:10">
      <c r="D588" s="15" t="s">
        <v>234</v>
      </c>
      <c r="E588" s="15"/>
    </row>
    <row r="589" spans="4:10" ht="16.2">
      <c r="D589" t="s">
        <v>235</v>
      </c>
      <c r="E589">
        <f>(0.15/100)*E549*1000*E561*10</f>
        <v>225</v>
      </c>
      <c r="F589" t="s">
        <v>224</v>
      </c>
    </row>
    <row r="590" spans="4:10" ht="28.8">
      <c r="D590" s="56" t="s">
        <v>277</v>
      </c>
      <c r="E590" s="64">
        <v>8</v>
      </c>
      <c r="F590" s="55" t="s">
        <v>216</v>
      </c>
    </row>
    <row r="591" spans="4:10">
      <c r="D591" t="s">
        <v>236</v>
      </c>
      <c r="E591" s="6">
        <f>(3.14*E590*E590*1000)/(4*E589)</f>
        <v>223.28888888888889</v>
      </c>
      <c r="F591" t="s">
        <v>216</v>
      </c>
    </row>
    <row r="593" spans="4:6">
      <c r="D593" s="15" t="s">
        <v>267</v>
      </c>
    </row>
    <row r="595" spans="4:6">
      <c r="D595" s="15" t="s">
        <v>237</v>
      </c>
      <c r="E595" s="15"/>
      <c r="F595" s="15"/>
    </row>
    <row r="596" spans="4:6">
      <c r="D596" s="15"/>
      <c r="E596" s="15"/>
      <c r="F596" s="15"/>
    </row>
    <row r="597" spans="4:6">
      <c r="D597" s="15"/>
      <c r="E597" s="15"/>
      <c r="F597" s="15"/>
    </row>
    <row r="598" spans="4:6">
      <c r="D598" s="15"/>
      <c r="E598" s="15"/>
      <c r="F598" s="15"/>
    </row>
    <row r="599" spans="4:6">
      <c r="D599" s="15"/>
      <c r="E599" s="15"/>
      <c r="F599" s="15"/>
    </row>
    <row r="600" spans="4:6">
      <c r="D600" s="15"/>
      <c r="E600" s="15"/>
      <c r="F600" s="15"/>
    </row>
    <row r="601" spans="4:6">
      <c r="D601" s="15"/>
      <c r="E601" s="15"/>
      <c r="F601" s="15"/>
    </row>
    <row r="602" spans="4:6">
      <c r="D602" s="15"/>
      <c r="E602" s="15"/>
      <c r="F602" s="15"/>
    </row>
    <row r="603" spans="4:6">
      <c r="D603" s="15"/>
      <c r="E603" s="15"/>
      <c r="F603" s="15"/>
    </row>
    <row r="604" spans="4:6">
      <c r="D604" s="15"/>
      <c r="E604" s="15"/>
      <c r="F604" s="15"/>
    </row>
    <row r="605" spans="4:6">
      <c r="D605" s="15"/>
      <c r="E605" s="15"/>
      <c r="F605" s="15"/>
    </row>
    <row r="606" spans="4:6">
      <c r="D606" s="15"/>
      <c r="E606" s="15"/>
      <c r="F606" s="15"/>
    </row>
    <row r="607" spans="4:6">
      <c r="D607" s="15"/>
      <c r="E607" s="15"/>
      <c r="F607" s="15"/>
    </row>
    <row r="608" spans="4:6">
      <c r="D608" s="15"/>
      <c r="E608" s="15"/>
      <c r="F608" s="15"/>
    </row>
    <row r="609" spans="2:8">
      <c r="D609" s="15"/>
      <c r="E609" s="15"/>
      <c r="F609" s="15"/>
    </row>
    <row r="610" spans="2:8">
      <c r="D610" s="15"/>
      <c r="E610" s="15"/>
      <c r="F610" s="15"/>
    </row>
    <row r="611" spans="2:8">
      <c r="D611" s="15"/>
      <c r="E611" s="15"/>
      <c r="F611" s="15"/>
    </row>
    <row r="612" spans="2:8">
      <c r="D612" s="15"/>
      <c r="E612" s="15"/>
      <c r="F612" s="15"/>
    </row>
    <row r="613" spans="2:8">
      <c r="D613" s="15"/>
      <c r="E613" s="15"/>
      <c r="F613" s="15"/>
    </row>
    <row r="614" spans="2:8">
      <c r="D614" s="15"/>
      <c r="E614" s="15"/>
      <c r="F614" s="15"/>
    </row>
    <row r="615" spans="2:8">
      <c r="D615" s="15"/>
      <c r="E615" s="15"/>
      <c r="F615" s="15"/>
    </row>
    <row r="616" spans="2:8">
      <c r="D616" s="15"/>
      <c r="E616" s="15"/>
      <c r="F616" s="15"/>
    </row>
    <row r="617" spans="2:8">
      <c r="D617" s="15"/>
      <c r="E617" s="15"/>
      <c r="F617" s="15"/>
    </row>
    <row r="618" spans="2:8">
      <c r="D618" t="s">
        <v>312</v>
      </c>
      <c r="E618" s="15"/>
      <c r="F618" s="15"/>
    </row>
    <row r="619" spans="2:8">
      <c r="D619" s="15"/>
      <c r="E619" s="15"/>
      <c r="F619" s="15"/>
    </row>
    <row r="620" spans="2:8">
      <c r="D620" s="15"/>
      <c r="E620" s="15"/>
      <c r="F620" s="15"/>
    </row>
    <row r="621" spans="2:8" ht="21">
      <c r="B621" s="23" t="s">
        <v>333</v>
      </c>
    </row>
    <row r="622" spans="2:8">
      <c r="G622" s="15"/>
      <c r="H622" s="16"/>
    </row>
    <row r="623" spans="2:8">
      <c r="D623" s="15" t="s">
        <v>299</v>
      </c>
      <c r="G623" s="15"/>
      <c r="H623" s="16"/>
    </row>
    <row r="624" spans="2:8">
      <c r="D624" s="15"/>
      <c r="G624" s="15"/>
      <c r="H624" s="16"/>
    </row>
    <row r="625" spans="4:9">
      <c r="F625" s="10" t="s">
        <v>4</v>
      </c>
      <c r="G625" s="15" t="s">
        <v>96</v>
      </c>
      <c r="H625" s="16"/>
    </row>
    <row r="626" spans="4:9">
      <c r="D626" t="s">
        <v>238</v>
      </c>
      <c r="E626" s="6">
        <f>E492</f>
        <v>3.9099999999999966</v>
      </c>
      <c r="F626" t="s">
        <v>12</v>
      </c>
    </row>
    <row r="627" spans="4:9">
      <c r="D627" t="s">
        <v>239</v>
      </c>
      <c r="E627" s="6">
        <f>E523</f>
        <v>0.86888888888888804</v>
      </c>
      <c r="F627" t="s">
        <v>12</v>
      </c>
    </row>
    <row r="629" spans="4:9">
      <c r="D629" s="15" t="s">
        <v>240</v>
      </c>
    </row>
    <row r="630" spans="4:9">
      <c r="D630" t="s">
        <v>241</v>
      </c>
      <c r="E630" s="6">
        <f>E627</f>
        <v>0.86888888888888804</v>
      </c>
      <c r="F630" t="s">
        <v>12</v>
      </c>
    </row>
    <row r="631" spans="4:9">
      <c r="D631" t="s">
        <v>242</v>
      </c>
      <c r="E631" s="14">
        <f>E630/E525</f>
        <v>0.38617283950617248</v>
      </c>
      <c r="F631" t="s">
        <v>12</v>
      </c>
    </row>
    <row r="633" spans="4:9">
      <c r="D633" s="15" t="s">
        <v>243</v>
      </c>
      <c r="I633" s="15"/>
    </row>
    <row r="635" spans="4:9">
      <c r="D635" s="15" t="s">
        <v>244</v>
      </c>
      <c r="E635" s="15"/>
      <c r="F635" s="15"/>
      <c r="G635" s="15"/>
      <c r="H635" s="15"/>
    </row>
    <row r="637" spans="4:9">
      <c r="D637" t="s">
        <v>245</v>
      </c>
      <c r="E637" s="6">
        <f>E252</f>
        <v>5</v>
      </c>
      <c r="F637" t="s">
        <v>12</v>
      </c>
    </row>
    <row r="638" spans="4:9">
      <c r="D638" t="s">
        <v>246</v>
      </c>
      <c r="E638" s="6">
        <f>E637+(E253/2)+(E253/2)</f>
        <v>5.9</v>
      </c>
      <c r="F638" t="s">
        <v>12</v>
      </c>
    </row>
    <row r="639" spans="4:9">
      <c r="D639" s="55" t="s">
        <v>247</v>
      </c>
      <c r="E639" s="55">
        <v>0.5</v>
      </c>
      <c r="F639" s="55" t="s">
        <v>12</v>
      </c>
    </row>
    <row r="640" spans="4:9">
      <c r="D640" t="s">
        <v>248</v>
      </c>
      <c r="E640" s="6">
        <f>E637+E639</f>
        <v>5.5</v>
      </c>
      <c r="F640" t="s">
        <v>12</v>
      </c>
    </row>
    <row r="642" spans="4:9">
      <c r="D642" s="15" t="s">
        <v>250</v>
      </c>
    </row>
    <row r="643" spans="4:9">
      <c r="D643" t="s">
        <v>249</v>
      </c>
      <c r="E643" s="27">
        <f>E548*E546*25</f>
        <v>4.3125</v>
      </c>
      <c r="F643" t="s">
        <v>252</v>
      </c>
    </row>
    <row r="644" spans="4:9">
      <c r="D644" t="s">
        <v>253</v>
      </c>
      <c r="E644">
        <f>(E232+E441)*E547*25</f>
        <v>3.75</v>
      </c>
      <c r="F644" t="s">
        <v>252</v>
      </c>
    </row>
    <row r="645" spans="4:9">
      <c r="D645" t="s">
        <v>254</v>
      </c>
      <c r="E645" s="27">
        <f>E232*E545*9.81</f>
        <v>5.3955000000000011</v>
      </c>
      <c r="F645" t="s">
        <v>252</v>
      </c>
    </row>
    <row r="646" spans="4:9">
      <c r="D646" t="s">
        <v>255</v>
      </c>
      <c r="E646" s="6">
        <f>E253*E548*25</f>
        <v>25.874999999999996</v>
      </c>
      <c r="F646" t="s">
        <v>252</v>
      </c>
    </row>
    <row r="647" spans="4:9">
      <c r="D647" t="s">
        <v>256</v>
      </c>
      <c r="E647" s="6">
        <f>E643+E644+E645+E646</f>
        <v>39.332999999999998</v>
      </c>
      <c r="F647" t="s">
        <v>257</v>
      </c>
      <c r="I647" s="15"/>
    </row>
    <row r="648" spans="4:9">
      <c r="I648" s="15"/>
    </row>
    <row r="649" spans="4:9" ht="16.2">
      <c r="D649" s="15" t="s">
        <v>258</v>
      </c>
      <c r="E649" s="15"/>
      <c r="F649" s="15"/>
      <c r="G649" s="15"/>
      <c r="H649" s="15"/>
    </row>
    <row r="650" spans="4:9" ht="16.2">
      <c r="D650" s="15" t="s">
        <v>259</v>
      </c>
      <c r="E650" s="15"/>
      <c r="F650" s="15"/>
      <c r="G650" s="15"/>
      <c r="H650" s="15"/>
    </row>
    <row r="652" spans="4:9">
      <c r="D652" t="s">
        <v>260</v>
      </c>
      <c r="E652" s="6">
        <f>(E647*E640*E640)/10</f>
        <v>118.98232499999999</v>
      </c>
      <c r="F652" t="s">
        <v>261</v>
      </c>
    </row>
    <row r="653" spans="4:9">
      <c r="D653" t="s">
        <v>262</v>
      </c>
      <c r="E653" s="6">
        <f>(E647*E640*E640)/20</f>
        <v>59.491162499999994</v>
      </c>
      <c r="F653" t="s">
        <v>261</v>
      </c>
    </row>
    <row r="654" spans="4:9">
      <c r="D654" t="s">
        <v>205</v>
      </c>
      <c r="E654" s="11" t="str">
        <f>E553</f>
        <v>M15</v>
      </c>
    </row>
    <row r="655" spans="4:9">
      <c r="D655" t="s">
        <v>214</v>
      </c>
      <c r="E655" s="29">
        <f>E559</f>
        <v>86.666666666666671</v>
      </c>
    </row>
    <row r="656" spans="4:9" ht="15.6">
      <c r="D656" t="s">
        <v>263</v>
      </c>
      <c r="E656" s="6">
        <f>SQRT((1.5*E652*10^5)/(E655*E549*100))*10</f>
        <v>453.79615149908943</v>
      </c>
      <c r="F656" t="s">
        <v>216</v>
      </c>
      <c r="G656" s="16" t="s">
        <v>297</v>
      </c>
    </row>
    <row r="657" spans="4:9">
      <c r="D657" s="55" t="s">
        <v>272</v>
      </c>
      <c r="E657" s="55">
        <v>12</v>
      </c>
      <c r="F657" s="55" t="s">
        <v>216</v>
      </c>
    </row>
    <row r="658" spans="4:9">
      <c r="D658" t="s">
        <v>264</v>
      </c>
      <c r="E658">
        <f>E563</f>
        <v>25</v>
      </c>
      <c r="F658" t="s">
        <v>216</v>
      </c>
    </row>
    <row r="659" spans="4:9">
      <c r="D659" t="s">
        <v>215</v>
      </c>
      <c r="E659">
        <f>(E639*1000)-E658-(E657/2)</f>
        <v>469</v>
      </c>
      <c r="F659" t="s">
        <v>216</v>
      </c>
    </row>
    <row r="661" spans="4:9">
      <c r="D661" s="15" t="s">
        <v>265</v>
      </c>
      <c r="I661" s="16"/>
    </row>
    <row r="663" spans="4:9" ht="16.8">
      <c r="D663" t="s">
        <v>270</v>
      </c>
      <c r="E663" s="6">
        <f>0.5*(((E549*1000*E659*E569)/E568)-SQRT(((E549*1000*E659*E569)/E568)^2-((4*1.5*E652*10^6*E549*1000*E569)/(0.87*E568*E568))))</f>
        <v>1129.2016971467237</v>
      </c>
      <c r="F663" t="s">
        <v>224</v>
      </c>
      <c r="G663" s="16" t="s">
        <v>298</v>
      </c>
      <c r="H663" s="16"/>
    </row>
    <row r="664" spans="4:9">
      <c r="D664" t="s">
        <v>232</v>
      </c>
      <c r="E664" s="6">
        <f>(3.14*E657*E657*1000)/(4*E663)</f>
        <v>100.10611946973725</v>
      </c>
      <c r="F664" t="s">
        <v>216</v>
      </c>
    </row>
    <row r="666" spans="4:9">
      <c r="D666" s="15" t="s">
        <v>266</v>
      </c>
      <c r="E666" s="15"/>
      <c r="F666" s="15"/>
      <c r="G666" s="15"/>
      <c r="I666" s="16"/>
    </row>
    <row r="668" spans="4:9" ht="16.8">
      <c r="D668" t="s">
        <v>271</v>
      </c>
      <c r="E668" s="6">
        <f>0.5*(((E549*1000*E659*E569)/E568)-SQRT(((E549*1000*E659*E569)/E568)^2-((4*1.5*E653*10^6*E549*1000*E569)/(0.87*E568*E568))))</f>
        <v>544.47968355481771</v>
      </c>
      <c r="F668" t="s">
        <v>224</v>
      </c>
      <c r="G668" s="16" t="s">
        <v>298</v>
      </c>
      <c r="H668" s="16"/>
    </row>
    <row r="669" spans="4:9">
      <c r="D669" s="55" t="s">
        <v>272</v>
      </c>
      <c r="E669" s="55">
        <v>10</v>
      </c>
      <c r="F669" s="55" t="s">
        <v>216</v>
      </c>
    </row>
    <row r="670" spans="4:9">
      <c r="D670" t="s">
        <v>273</v>
      </c>
      <c r="E670" s="6">
        <f>(3.14*E669*E669*1000)/(4*E668)</f>
        <v>144.17434180002181</v>
      </c>
      <c r="F670" t="s">
        <v>216</v>
      </c>
    </row>
    <row r="672" spans="4:9">
      <c r="D672" s="15" t="s">
        <v>274</v>
      </c>
      <c r="E672" s="15"/>
      <c r="F672" s="15"/>
      <c r="G672" s="15"/>
    </row>
    <row r="674" spans="4:6">
      <c r="D674" s="15" t="s">
        <v>275</v>
      </c>
      <c r="E674" s="15"/>
    </row>
    <row r="675" spans="4:6" ht="16.2">
      <c r="D675" t="s">
        <v>276</v>
      </c>
      <c r="E675">
        <f>(0.15/100)*E639*1000*E549*1000</f>
        <v>750</v>
      </c>
      <c r="F675" t="s">
        <v>224</v>
      </c>
    </row>
    <row r="676" spans="4:6" ht="28.8">
      <c r="D676" s="56" t="s">
        <v>277</v>
      </c>
      <c r="E676" s="55">
        <v>8</v>
      </c>
      <c r="F676" s="55" t="s">
        <v>216</v>
      </c>
    </row>
    <row r="677" spans="4:6">
      <c r="D677" t="s">
        <v>278</v>
      </c>
      <c r="E677" s="6">
        <f>(3.14*E676*E676*1000)/(4*E675)</f>
        <v>66.986666666666665</v>
      </c>
      <c r="F677" t="s">
        <v>216</v>
      </c>
    </row>
    <row r="679" spans="4:6">
      <c r="D679" s="15" t="s">
        <v>279</v>
      </c>
    </row>
    <row r="681" spans="4:6">
      <c r="D681" s="15" t="s">
        <v>300</v>
      </c>
    </row>
    <row r="682" spans="4:6">
      <c r="D682" s="15" t="s">
        <v>301</v>
      </c>
    </row>
    <row r="683" spans="4:6">
      <c r="D683" s="15" t="s">
        <v>302</v>
      </c>
    </row>
    <row r="684" spans="4:6">
      <c r="D684" s="15" t="s">
        <v>303</v>
      </c>
    </row>
    <row r="701" spans="4:4">
      <c r="D701" t="s">
        <v>313</v>
      </c>
    </row>
  </sheetData>
  <pageMargins left="0.7" right="0.7" top="0.75" bottom="0.75" header="0.3" footer="0.3"/>
  <pageSetup orientation="portrait" r:id="rId1"/>
  <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dc:creator>
  <cp:lastModifiedBy>asus</cp:lastModifiedBy>
  <dcterms:created xsi:type="dcterms:W3CDTF">2020-10-16T14:40:28Z</dcterms:created>
  <dcterms:modified xsi:type="dcterms:W3CDTF">2021-01-04T07:38:23Z</dcterms:modified>
</cp:coreProperties>
</file>