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E20F6DEB-E497-44FB-9157-14C75EA08D8A}"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66" i="12" l="1"/>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83" i="1"/>
  <c r="B84" i="1"/>
  <c r="B85" i="1"/>
  <c r="B86" i="1"/>
  <c r="B61" i="1"/>
  <c r="B87" i="1"/>
  <c r="B88" i="1"/>
  <c r="B89" i="1"/>
  <c r="B90" i="1"/>
  <c r="B91" i="1"/>
  <c r="B92" i="1"/>
  <c r="B93" i="1"/>
  <c r="B94" i="1"/>
  <c r="B95" i="1"/>
  <c r="B57" i="1"/>
  <c r="B96" i="1"/>
  <c r="B64" i="1"/>
  <c r="B63" i="1"/>
  <c r="B60" i="1"/>
  <c r="B56" i="1"/>
  <c r="B62" i="1"/>
  <c r="B66" i="1"/>
  <c r="B70" i="1"/>
  <c r="B97" i="1"/>
  <c r="B69" i="1"/>
  <c r="B77" i="1"/>
  <c r="B98" i="1"/>
  <c r="B74" i="1"/>
  <c r="B73" i="1"/>
  <c r="B99" i="1"/>
  <c r="B100" i="1"/>
  <c r="B101" i="1"/>
  <c r="B102" i="1"/>
  <c r="B103" i="1"/>
  <c r="B104" i="1"/>
  <c r="B105" i="1"/>
  <c r="B106" i="1"/>
  <c r="B107" i="1"/>
  <c r="B59" i="1"/>
  <c r="B58" i="1"/>
  <c r="B108" i="1"/>
  <c r="B109" i="1"/>
  <c r="B110" i="1"/>
  <c r="B111" i="1"/>
  <c r="B55" i="1"/>
  <c r="B112" i="1"/>
  <c r="B113" i="1"/>
  <c r="B114" i="1"/>
  <c r="B81" i="1"/>
  <c r="B75" i="1"/>
  <c r="B115" i="1"/>
  <c r="B116" i="1"/>
  <c r="B117" i="1"/>
  <c r="B118" i="1"/>
  <c r="B119" i="1"/>
  <c r="B120" i="1"/>
  <c r="B121" i="1"/>
  <c r="B122" i="1"/>
  <c r="B123" i="1"/>
  <c r="B124" i="1"/>
  <c r="B125" i="1"/>
  <c r="B126" i="1"/>
  <c r="B127" i="1"/>
  <c r="B128" i="1"/>
  <c r="B79" i="1"/>
  <c r="B129" i="1"/>
  <c r="B71" i="1"/>
  <c r="B67" i="1"/>
  <c r="B130" i="1"/>
  <c r="B131" i="1"/>
  <c r="B132" i="1"/>
  <c r="B133" i="1"/>
  <c r="B134" i="1"/>
  <c r="B135" i="1"/>
  <c r="B136" i="1"/>
  <c r="B137" i="1"/>
  <c r="B138" i="1"/>
  <c r="B139" i="1"/>
  <c r="B140" i="1"/>
  <c r="B72"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80" i="1"/>
  <c r="B200" i="1"/>
  <c r="B201" i="1"/>
  <c r="B78" i="1"/>
  <c r="B202" i="1"/>
  <c r="B65" i="1"/>
  <c r="B203" i="1"/>
  <c r="B204" i="1"/>
  <c r="B76" i="1"/>
  <c r="B205" i="1"/>
  <c r="B206" i="1"/>
  <c r="B207" i="1"/>
  <c r="B208"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D7" i="3" s="1"/>
  <c r="C8" i="3"/>
  <c r="D8" i="3" s="1"/>
  <c r="C9" i="3"/>
  <c r="D9" i="3" s="1"/>
  <c r="E9" i="3" s="1"/>
  <c r="C31" i="3"/>
  <c r="D31" i="3" s="1"/>
  <c r="E31" i="3" s="1"/>
  <c r="C30" i="3"/>
  <c r="D30" i="3" s="1"/>
  <c r="E30" i="3" s="1"/>
  <c r="C10" i="3"/>
  <c r="D10" i="3" s="1"/>
  <c r="C11" i="3"/>
  <c r="D11" i="3" s="1"/>
  <c r="C12" i="3"/>
  <c r="D12" i="3" s="1"/>
  <c r="E12" i="3" s="1"/>
  <c r="C33" i="3"/>
  <c r="D33" i="3" s="1"/>
  <c r="C13" i="3"/>
  <c r="D13" i="3" s="1"/>
  <c r="C14" i="3"/>
  <c r="D14" i="3" s="1"/>
  <c r="E14" i="3" s="1"/>
  <c r="C15" i="3"/>
  <c r="D15" i="3" s="1"/>
  <c r="E15" i="3" s="1"/>
  <c r="C16" i="3"/>
  <c r="D16" i="3" s="1"/>
  <c r="E16" i="3" s="1"/>
  <c r="C17" i="3"/>
  <c r="D17" i="3" s="1"/>
  <c r="C18" i="3"/>
  <c r="C32" i="3"/>
  <c r="D32" i="3" s="1"/>
  <c r="E32" i="3" s="1"/>
  <c r="C19" i="3"/>
  <c r="D19" i="3" s="1"/>
  <c r="C34" i="3"/>
  <c r="D34" i="3" s="1"/>
  <c r="C20" i="3"/>
  <c r="D20" i="3" s="1"/>
  <c r="E20" i="3" s="1"/>
  <c r="C21" i="3"/>
  <c r="D21" i="3" s="1"/>
  <c r="E21" i="3" s="1"/>
  <c r="C22" i="3"/>
  <c r="D22" i="3" s="1"/>
  <c r="C23" i="3"/>
  <c r="D23" i="3" s="1"/>
  <c r="C24" i="3"/>
  <c r="D24" i="3" s="1"/>
  <c r="E24" i="3" s="1"/>
  <c r="C25" i="3"/>
  <c r="D25" i="3" s="1"/>
  <c r="E25" i="3" s="1"/>
  <c r="C26" i="3"/>
  <c r="D26" i="3" s="1"/>
  <c r="C27" i="3"/>
  <c r="D27" i="3" s="1"/>
  <c r="C28" i="3"/>
  <c r="D28" i="3" s="1"/>
  <c r="E28" i="3" s="1"/>
  <c r="C29" i="3"/>
  <c r="D29" i="3" s="1"/>
  <c r="E29"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47" i="2"/>
  <c r="D47" i="2" s="1"/>
  <c r="E47" i="2" s="1"/>
  <c r="C26" i="2"/>
  <c r="D26" i="2" s="1"/>
  <c r="E26" i="2" s="1"/>
  <c r="C27" i="2"/>
  <c r="D27" i="2" s="1"/>
  <c r="C58" i="2"/>
  <c r="D58" i="2" s="1"/>
  <c r="C59" i="2"/>
  <c r="D59" i="2" s="1"/>
  <c r="C28" i="2"/>
  <c r="D28" i="2" s="1"/>
  <c r="E28" i="2" s="1"/>
  <c r="C29" i="2"/>
  <c r="D29" i="2" s="1"/>
  <c r="E29" i="2" s="1"/>
  <c r="C30" i="2"/>
  <c r="D30" i="2" s="1"/>
  <c r="C31" i="2"/>
  <c r="D31" i="2" s="1"/>
  <c r="E31" i="2" s="1"/>
  <c r="C32" i="2"/>
  <c r="D32" i="2" s="1"/>
  <c r="E32" i="2" s="1"/>
  <c r="C49" i="2"/>
  <c r="D49" i="2" s="1"/>
  <c r="C33" i="2"/>
  <c r="D33" i="2" s="1"/>
  <c r="C34" i="2"/>
  <c r="D34" i="2" s="1"/>
  <c r="C60" i="2"/>
  <c r="D60" i="2" s="1"/>
  <c r="E60" i="2" s="1"/>
  <c r="C48" i="2"/>
  <c r="D48" i="2" s="1"/>
  <c r="E48" i="2" s="1"/>
  <c r="C35" i="2"/>
  <c r="D35" i="2" s="1"/>
  <c r="C36" i="2"/>
  <c r="D36" i="2" s="1"/>
  <c r="E36" i="2" s="1"/>
  <c r="C37" i="2"/>
  <c r="D37" i="2" s="1"/>
  <c r="E37" i="2" s="1"/>
  <c r="C38" i="2"/>
  <c r="D38" i="2" s="1"/>
  <c r="C39" i="2"/>
  <c r="D39" i="2" s="1"/>
  <c r="C40" i="2"/>
  <c r="D40" i="2" s="1"/>
  <c r="C50" i="2"/>
  <c r="D50" i="2" s="1"/>
  <c r="E50" i="2" s="1"/>
  <c r="C41" i="2"/>
  <c r="D41" i="2" s="1"/>
  <c r="E41" i="2" s="1"/>
  <c r="C51" i="2"/>
  <c r="D51" i="2" s="1"/>
  <c r="C52" i="2"/>
  <c r="D52" i="2" s="1"/>
  <c r="E52" i="2" s="1"/>
  <c r="C53" i="2"/>
  <c r="D53" i="2" s="1"/>
  <c r="E53" i="2" s="1"/>
  <c r="C42" i="2"/>
  <c r="D42" i="2" s="1"/>
  <c r="C57" i="2"/>
  <c r="D57" i="2" s="1"/>
  <c r="C43" i="2"/>
  <c r="D43" i="2" s="1"/>
  <c r="C54" i="2"/>
  <c r="D54" i="2" s="1"/>
  <c r="E54" i="2" s="1"/>
  <c r="C44" i="2"/>
  <c r="D44" i="2" s="1"/>
  <c r="E44" i="2" s="1"/>
  <c r="C45" i="2"/>
  <c r="D45" i="2" s="1"/>
  <c r="C46" i="2"/>
  <c r="D46" i="2" s="1"/>
  <c r="E46"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87" i="4"/>
  <c r="D87" i="4" s="1"/>
  <c r="E87" i="4" s="1"/>
  <c r="C33" i="4"/>
  <c r="D33" i="4" s="1"/>
  <c r="E33" i="4" s="1"/>
  <c r="C34" i="4"/>
  <c r="D34" i="4" s="1"/>
  <c r="C35" i="4"/>
  <c r="D35" i="4" s="1"/>
  <c r="E35" i="4" s="1"/>
  <c r="C36" i="4"/>
  <c r="D36" i="4" s="1"/>
  <c r="C37" i="4"/>
  <c r="D37" i="4" s="1"/>
  <c r="C91" i="4"/>
  <c r="D91" i="4" s="1"/>
  <c r="C92" i="4"/>
  <c r="C38" i="4"/>
  <c r="D38" i="4" s="1"/>
  <c r="E38" i="4" s="1"/>
  <c r="C39" i="4"/>
  <c r="D39" i="4" s="1"/>
  <c r="E39" i="4" s="1"/>
  <c r="C40" i="4"/>
  <c r="D40" i="4" s="1"/>
  <c r="C88" i="4"/>
  <c r="D88" i="4" s="1"/>
  <c r="E88" i="4" s="1"/>
  <c r="C89" i="4"/>
  <c r="C41" i="4"/>
  <c r="D41" i="4" s="1"/>
  <c r="C93" i="4"/>
  <c r="D93" i="4" s="1"/>
  <c r="C98" i="4"/>
  <c r="D98" i="4" s="1"/>
  <c r="C99" i="4"/>
  <c r="D99" i="4" s="1"/>
  <c r="E99" i="4" s="1"/>
  <c r="C42" i="4"/>
  <c r="D42" i="4" s="1"/>
  <c r="E42" i="4" s="1"/>
  <c r="C96" i="4"/>
  <c r="D96" i="4" s="1"/>
  <c r="C94" i="4"/>
  <c r="D94" i="4" s="1"/>
  <c r="E94" i="4" s="1"/>
  <c r="C95" i="4"/>
  <c r="D95" i="4" s="1"/>
  <c r="E95" i="4" s="1"/>
  <c r="C97" i="4"/>
  <c r="D97" i="4" s="1"/>
  <c r="C43" i="4"/>
  <c r="D43" i="4" s="1"/>
  <c r="C44" i="4"/>
  <c r="D44" i="4" s="1"/>
  <c r="C45" i="4"/>
  <c r="D45" i="4" s="1"/>
  <c r="E45" i="4" s="1"/>
  <c r="C46" i="4"/>
  <c r="D46" i="4" s="1"/>
  <c r="E46" i="4" s="1"/>
  <c r="C47" i="4"/>
  <c r="D47" i="4" s="1"/>
  <c r="C48" i="4"/>
  <c r="D48" i="4" s="1"/>
  <c r="C49" i="4"/>
  <c r="D49" i="4" s="1"/>
  <c r="E49" i="4" s="1"/>
  <c r="C50" i="4"/>
  <c r="D50" i="4" s="1"/>
  <c r="E50" i="4" s="1"/>
  <c r="C90" i="4"/>
  <c r="D90" i="4" s="1"/>
  <c r="C51" i="4"/>
  <c r="D51" i="4" s="1"/>
  <c r="C52" i="4"/>
  <c r="D52" i="4" s="1"/>
  <c r="E52" i="4" s="1"/>
  <c r="C86" i="4"/>
  <c r="D86" i="4" s="1"/>
  <c r="E86" i="4" s="1"/>
  <c r="C53" i="4"/>
  <c r="D53" i="4" s="1"/>
  <c r="C54" i="4"/>
  <c r="D54" i="4" s="1"/>
  <c r="C55" i="4"/>
  <c r="C56" i="4"/>
  <c r="D56" i="4" s="1"/>
  <c r="C57" i="4"/>
  <c r="D57" i="4" s="1"/>
  <c r="C58" i="4"/>
  <c r="D58" i="4" s="1"/>
  <c r="C59" i="4"/>
  <c r="D59" i="4" s="1"/>
  <c r="E59" i="4" s="1"/>
  <c r="C60" i="4"/>
  <c r="D60" i="4" s="1"/>
  <c r="E60" i="4" s="1"/>
  <c r="C61" i="4"/>
  <c r="D61" i="4" s="1"/>
  <c r="C62" i="4"/>
  <c r="D62" i="4" s="1"/>
  <c r="C63" i="4"/>
  <c r="D63" i="4" s="1"/>
  <c r="C64" i="4"/>
  <c r="D64" i="4" s="1"/>
  <c r="E64" i="4" s="1"/>
  <c r="C65" i="4"/>
  <c r="D65" i="4" s="1"/>
  <c r="C66" i="4"/>
  <c r="C67" i="4"/>
  <c r="D67" i="4" s="1"/>
  <c r="E67" i="4" s="1"/>
  <c r="C68" i="4"/>
  <c r="D68" i="4" s="1"/>
  <c r="E68" i="4" s="1"/>
  <c r="C69" i="4"/>
  <c r="D69" i="4" s="1"/>
  <c r="C70" i="4"/>
  <c r="D70" i="4" s="1"/>
  <c r="C71" i="4"/>
  <c r="C72" i="4"/>
  <c r="D72" i="4" s="1"/>
  <c r="E72" i="4" s="1"/>
  <c r="C73" i="4"/>
  <c r="D73" i="4" s="1"/>
  <c r="C74" i="4"/>
  <c r="D74" i="4" s="1"/>
  <c r="C75" i="4"/>
  <c r="D75" i="4" s="1"/>
  <c r="E75" i="4" s="1"/>
  <c r="C76" i="4"/>
  <c r="D76" i="4" s="1"/>
  <c r="E76" i="4" s="1"/>
  <c r="C77" i="4"/>
  <c r="D77" i="4" s="1"/>
  <c r="C78" i="4"/>
  <c r="D78" i="4" s="1"/>
  <c r="C79" i="4"/>
  <c r="D79" i="4" s="1"/>
  <c r="C80" i="4"/>
  <c r="D80" i="4" s="1"/>
  <c r="C81" i="4"/>
  <c r="D81" i="4" s="1"/>
  <c r="C82" i="4"/>
  <c r="C83" i="4"/>
  <c r="D83" i="4" s="1"/>
  <c r="E83" i="4" s="1"/>
  <c r="C84" i="4"/>
  <c r="D84" i="4" s="1"/>
  <c r="E84" i="4" s="1"/>
  <c r="C85" i="4"/>
  <c r="D85"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X212" i="10" l="1"/>
  <c r="D226" i="1"/>
  <c r="E226" i="1" s="1"/>
  <c r="P226" i="1"/>
  <c r="C226" i="1"/>
  <c r="H225" i="1"/>
  <c r="C225" i="1"/>
  <c r="D225" i="1"/>
  <c r="E225" i="1" s="1"/>
  <c r="D2" i="3"/>
  <c r="E36" i="4"/>
  <c r="D2" i="4"/>
  <c r="E117" i="4"/>
  <c r="D109" i="4"/>
  <c r="E109" i="4" s="1"/>
  <c r="D71" i="4"/>
  <c r="E71" i="4" s="1"/>
  <c r="D55" i="4"/>
  <c r="E55" i="4" s="1"/>
  <c r="D89" i="4"/>
  <c r="E89" i="4" s="1"/>
  <c r="E13" i="2"/>
  <c r="E17" i="3"/>
  <c r="E121" i="4"/>
  <c r="E108" i="4"/>
  <c r="E79" i="4"/>
  <c r="E70" i="4"/>
  <c r="E63" i="4"/>
  <c r="E54" i="4"/>
  <c r="E11" i="3"/>
  <c r="E112" i="4"/>
  <c r="E74" i="4"/>
  <c r="E58" i="4"/>
  <c r="E98" i="4"/>
  <c r="E32" i="4"/>
  <c r="E62" i="2"/>
  <c r="E37" i="3"/>
  <c r="E116" i="4"/>
  <c r="E48" i="4"/>
  <c r="E10" i="3"/>
  <c r="E24" i="4"/>
  <c r="E120" i="4"/>
  <c r="D82" i="4"/>
  <c r="E82" i="4" s="1"/>
  <c r="E78" i="4"/>
  <c r="D66" i="4"/>
  <c r="E66" i="4" s="1"/>
  <c r="E62" i="4"/>
  <c r="D92" i="4"/>
  <c r="E92" i="4" s="1"/>
  <c r="D19" i="2"/>
  <c r="D3" i="2" s="1"/>
  <c r="E23" i="3"/>
  <c r="D18" i="3"/>
  <c r="E18" i="3" s="1"/>
  <c r="D2" i="2"/>
  <c r="E22" i="3"/>
  <c r="E41" i="3"/>
  <c r="E27" i="3"/>
  <c r="E34" i="3"/>
  <c r="E13" i="3"/>
  <c r="E8" i="3"/>
  <c r="E26" i="3"/>
  <c r="E19" i="3"/>
  <c r="E33" i="3"/>
  <c r="E7" i="3"/>
  <c r="E40" i="3"/>
  <c r="D35" i="3"/>
  <c r="E57" i="2"/>
  <c r="E39" i="2"/>
  <c r="E33" i="2"/>
  <c r="E58" i="2"/>
  <c r="E21" i="2"/>
  <c r="E55" i="2"/>
  <c r="E63" i="2"/>
  <c r="E42" i="2"/>
  <c r="E38" i="2"/>
  <c r="E49" i="2"/>
  <c r="E27" i="2"/>
  <c r="E20" i="2"/>
  <c r="E14" i="2"/>
  <c r="E51" i="2"/>
  <c r="E35" i="2"/>
  <c r="E30" i="2"/>
  <c r="E25" i="2"/>
  <c r="E11" i="2"/>
  <c r="E45" i="2"/>
  <c r="E64" i="2"/>
  <c r="E43" i="2"/>
  <c r="E40" i="2"/>
  <c r="E34" i="2"/>
  <c r="E59" i="2"/>
  <c r="E22" i="2"/>
  <c r="E56" i="2"/>
  <c r="E8" i="2"/>
  <c r="E7" i="2"/>
  <c r="E119" i="4"/>
  <c r="E111" i="4"/>
  <c r="E81" i="4"/>
  <c r="E73" i="4"/>
  <c r="E65" i="4"/>
  <c r="E57" i="4"/>
  <c r="E90" i="4"/>
  <c r="E43" i="4"/>
  <c r="E93" i="4"/>
  <c r="E91" i="4"/>
  <c r="E31" i="4"/>
  <c r="D26" i="4"/>
  <c r="E26" i="4" s="1"/>
  <c r="E23" i="4"/>
  <c r="D18" i="4"/>
  <c r="E18" i="4" s="1"/>
  <c r="E15" i="4"/>
  <c r="D10" i="4"/>
  <c r="E10" i="4" s="1"/>
  <c r="E7" i="4"/>
  <c r="D103" i="4"/>
  <c r="E103" i="4" s="1"/>
  <c r="E102" i="4"/>
  <c r="E80" i="4"/>
  <c r="E56" i="4"/>
  <c r="E97" i="4"/>
  <c r="E41" i="4"/>
  <c r="E37" i="4"/>
  <c r="E30" i="4"/>
  <c r="E22" i="4"/>
  <c r="E14" i="4"/>
  <c r="E107" i="4"/>
  <c r="E115" i="4"/>
  <c r="E85" i="4"/>
  <c r="E77" i="4"/>
  <c r="E69" i="4"/>
  <c r="E61" i="4"/>
  <c r="E53" i="4"/>
  <c r="E47" i="4"/>
  <c r="E96" i="4"/>
  <c r="E40" i="4"/>
  <c r="E34" i="4"/>
  <c r="E27" i="4"/>
  <c r="E19" i="4"/>
  <c r="E104" i="4"/>
  <c r="E123" i="4"/>
  <c r="E51" i="4"/>
  <c r="E44" i="4"/>
  <c r="E16" i="4"/>
  <c r="E8" i="4"/>
  <c r="E101" i="4"/>
  <c r="E13" i="4"/>
  <c r="E106" i="4"/>
  <c r="D100" i="4"/>
  <c r="AM16" i="12"/>
  <c r="AM17" i="12"/>
  <c r="AM18" i="12"/>
  <c r="AM8" i="12"/>
  <c r="AM9" i="12"/>
  <c r="AM10" i="12"/>
  <c r="AM11" i="12"/>
  <c r="AM12" i="12"/>
  <c r="AM13" i="12"/>
  <c r="AM14" i="12"/>
  <c r="AM15" i="12"/>
  <c r="N15" i="1" a="1"/>
  <c r="N15" i="1" s="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86" i="1" a="1"/>
  <c r="N86" i="1" s="1"/>
  <c r="M15" i="1" a="1"/>
  <c r="M15" i="1" s="1"/>
  <c r="AM4" i="12"/>
  <c r="AM5" i="12"/>
  <c r="AM6" i="12"/>
  <c r="AM7" i="12"/>
  <c r="E3" i="2" l="1"/>
  <c r="F3" i="2"/>
  <c r="E19" i="2"/>
  <c r="D4" i="2" s="1"/>
  <c r="E100" i="4"/>
  <c r="D4" i="4" s="1"/>
  <c r="D3" i="4"/>
  <c r="E35" i="3"/>
  <c r="D4" i="3" s="1"/>
  <c r="D3" i="3"/>
  <c r="E2" i="2"/>
  <c r="F2" i="2"/>
  <c r="AM2" i="12"/>
  <c r="AM3" i="12"/>
  <c r="E4" i="2" l="1"/>
  <c r="F4" i="2"/>
  <c r="M123" i="1" a="1"/>
  <c r="M123" i="1" s="1"/>
  <c r="M126" i="1" a="1"/>
  <c r="M126"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84" i="1" l="1" a="1"/>
  <c r="M84" i="1" s="1"/>
  <c r="M85" i="1" a="1"/>
  <c r="M85" i="1" s="1"/>
  <c r="M86" i="1" a="1"/>
  <c r="M86" i="1" s="1"/>
  <c r="M33" i="1" a="1"/>
  <c r="M33" i="1" s="1"/>
  <c r="M34" i="1" a="1"/>
  <c r="M34" i="1" s="1"/>
  <c r="M27" i="1" a="1"/>
  <c r="M27" i="1" s="1"/>
  <c r="M61" i="1" a="1"/>
  <c r="M61" i="1" s="1"/>
  <c r="M87" i="1" a="1"/>
  <c r="M87" i="1" s="1"/>
  <c r="M88" i="1" a="1"/>
  <c r="M88" i="1" s="1"/>
  <c r="M89" i="1" a="1"/>
  <c r="M89" i="1" s="1"/>
  <c r="M90" i="1" a="1"/>
  <c r="M90" i="1" s="1"/>
  <c r="M91" i="1" a="1"/>
  <c r="M91" i="1" s="1"/>
  <c r="M92" i="1" a="1"/>
  <c r="M92" i="1" s="1"/>
  <c r="M93" i="1" a="1"/>
  <c r="M93" i="1" s="1"/>
  <c r="M25" i="1" a="1"/>
  <c r="M25" i="1" s="1"/>
  <c r="M94" i="1" a="1"/>
  <c r="M94" i="1" s="1"/>
  <c r="M54" i="1" a="1"/>
  <c r="M54" i="1" s="1"/>
  <c r="M95" i="1" a="1"/>
  <c r="M95" i="1" s="1"/>
  <c r="M57" i="1" a="1"/>
  <c r="M57" i="1" s="1"/>
  <c r="M96" i="1" a="1"/>
  <c r="M96"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97" i="1" a="1"/>
  <c r="M97" i="1" s="1"/>
  <c r="M69" i="1" a="1"/>
  <c r="M69" i="1" s="1"/>
  <c r="M77" i="1" a="1"/>
  <c r="M77" i="1" s="1"/>
  <c r="M51" i="1" a="1"/>
  <c r="M51" i="1" s="1"/>
  <c r="M52" i="1" a="1"/>
  <c r="M52" i="1" s="1"/>
  <c r="M98" i="1" a="1"/>
  <c r="M98" i="1" s="1"/>
  <c r="M74" i="1" a="1"/>
  <c r="M74" i="1" s="1"/>
  <c r="M73" i="1" a="1"/>
  <c r="M73" i="1" s="1"/>
  <c r="M16" i="1" a="1"/>
  <c r="M16" i="1" s="1"/>
  <c r="M99" i="1" a="1"/>
  <c r="M99" i="1" s="1"/>
  <c r="M100" i="1" a="1"/>
  <c r="M100" i="1" s="1"/>
  <c r="M101" i="1" a="1"/>
  <c r="M101" i="1" s="1"/>
  <c r="M102" i="1" a="1"/>
  <c r="M102" i="1" s="1"/>
  <c r="M103" i="1" a="1"/>
  <c r="M103" i="1" s="1"/>
  <c r="M104" i="1" a="1"/>
  <c r="M104" i="1" s="1"/>
  <c r="M105" i="1" a="1"/>
  <c r="M105" i="1" s="1"/>
  <c r="M106" i="1" a="1"/>
  <c r="M106" i="1" s="1"/>
  <c r="M107" i="1" a="1"/>
  <c r="M107" i="1" s="1"/>
  <c r="M40" i="1" a="1"/>
  <c r="M40" i="1" s="1"/>
  <c r="M42" i="1" a="1"/>
  <c r="M42" i="1" s="1"/>
  <c r="M43" i="1" a="1"/>
  <c r="M43" i="1" s="1"/>
  <c r="M44" i="1" a="1"/>
  <c r="M44" i="1" s="1"/>
  <c r="M45" i="1" a="1"/>
  <c r="M45" i="1" s="1"/>
  <c r="M46" i="1" a="1"/>
  <c r="M46" i="1" s="1"/>
  <c r="M59" i="1" a="1"/>
  <c r="M59" i="1" s="1"/>
  <c r="M58" i="1" a="1"/>
  <c r="M58" i="1" s="1"/>
  <c r="M108" i="1" a="1"/>
  <c r="M108" i="1" s="1"/>
  <c r="M109" i="1" a="1"/>
  <c r="M109" i="1" s="1"/>
  <c r="M110" i="1" a="1"/>
  <c r="M110" i="1" s="1"/>
  <c r="M111" i="1" a="1"/>
  <c r="M111" i="1" s="1"/>
  <c r="M55" i="1" a="1"/>
  <c r="M55" i="1" s="1"/>
  <c r="M49" i="1" a="1"/>
  <c r="M49" i="1" s="1"/>
  <c r="M50" i="1" a="1"/>
  <c r="M50" i="1" s="1"/>
  <c r="M112" i="1" a="1"/>
  <c r="M112" i="1" s="1"/>
  <c r="M113" i="1" a="1"/>
  <c r="M113" i="1" s="1"/>
  <c r="M114" i="1" a="1"/>
  <c r="M114" i="1" s="1"/>
  <c r="M81" i="1" a="1"/>
  <c r="M81" i="1" s="1"/>
  <c r="M75" i="1" a="1"/>
  <c r="M75" i="1" s="1"/>
  <c r="M115" i="1" a="1"/>
  <c r="M115" i="1" s="1"/>
  <c r="M116" i="1" a="1"/>
  <c r="M116" i="1" s="1"/>
  <c r="M117" i="1" a="1"/>
  <c r="M117" i="1" s="1"/>
  <c r="M118" i="1" a="1"/>
  <c r="M118" i="1" s="1"/>
  <c r="M119" i="1" a="1"/>
  <c r="M119" i="1" s="1"/>
  <c r="M120" i="1" a="1"/>
  <c r="M120" i="1" s="1"/>
  <c r="M17" i="1" a="1"/>
  <c r="M17" i="1" s="1"/>
  <c r="M121" i="1" a="1"/>
  <c r="M121" i="1" s="1"/>
  <c r="M122" i="1" a="1"/>
  <c r="M122" i="1" s="1"/>
  <c r="M124" i="1" a="1"/>
  <c r="M124" i="1" s="1"/>
  <c r="M125" i="1" a="1"/>
  <c r="M125" i="1" s="1"/>
  <c r="M127" i="1" a="1"/>
  <c r="M127" i="1" s="1"/>
  <c r="M128" i="1" a="1"/>
  <c r="M128" i="1" s="1"/>
  <c r="M79" i="1" a="1"/>
  <c r="M79" i="1" s="1"/>
  <c r="M129" i="1" a="1"/>
  <c r="M129" i="1" s="1"/>
  <c r="M71" i="1" a="1"/>
  <c r="M71" i="1" s="1"/>
  <c r="M67" i="1" a="1"/>
  <c r="M67" i="1" s="1"/>
  <c r="V67" i="1" s="1"/>
  <c r="M130" i="1" a="1"/>
  <c r="M130" i="1" s="1"/>
  <c r="M131" i="1" a="1"/>
  <c r="M131" i="1" s="1"/>
  <c r="M132" i="1" a="1"/>
  <c r="M132" i="1" s="1"/>
  <c r="M133" i="1" a="1"/>
  <c r="M133" i="1" s="1"/>
  <c r="M134" i="1" a="1"/>
  <c r="M134" i="1" s="1"/>
  <c r="M135" i="1" a="1"/>
  <c r="M135" i="1" s="1"/>
  <c r="M136" i="1" a="1"/>
  <c r="M136" i="1" s="1"/>
  <c r="M137" i="1" a="1"/>
  <c r="M137" i="1" s="1"/>
  <c r="M138" i="1" a="1"/>
  <c r="M138" i="1" s="1"/>
  <c r="M47" i="1" a="1"/>
  <c r="M47" i="1" s="1"/>
  <c r="M48" i="1" a="1"/>
  <c r="M48" i="1" s="1"/>
  <c r="M139" i="1" a="1"/>
  <c r="M139" i="1" s="1"/>
  <c r="M140" i="1" a="1"/>
  <c r="M140" i="1" s="1"/>
  <c r="M72" i="1" a="1"/>
  <c r="M72" i="1" s="1"/>
  <c r="M36" i="1" a="1"/>
  <c r="M36" i="1" s="1"/>
  <c r="M141" i="1" a="1"/>
  <c r="M141" i="1" s="1"/>
  <c r="M142" i="1" a="1"/>
  <c r="M142" i="1" s="1"/>
  <c r="M143" i="1" a="1"/>
  <c r="M143" i="1" s="1"/>
  <c r="M144" i="1" a="1"/>
  <c r="M144" i="1" s="1"/>
  <c r="M145" i="1" a="1"/>
  <c r="M145" i="1" s="1"/>
  <c r="M146" i="1" a="1"/>
  <c r="M146" i="1" s="1"/>
  <c r="M147" i="1" a="1"/>
  <c r="M147" i="1" s="1"/>
  <c r="M31" i="1" a="1"/>
  <c r="M31" i="1" s="1"/>
  <c r="M148" i="1" a="1"/>
  <c r="M148" i="1" s="1"/>
  <c r="M149" i="1" a="1"/>
  <c r="M149" i="1" s="1"/>
  <c r="M28" i="1" a="1"/>
  <c r="M28"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26" i="1" a="1"/>
  <c r="M26" i="1" s="1"/>
  <c r="M162" i="1" a="1"/>
  <c r="M162" i="1" s="1"/>
  <c r="M163" i="1" a="1"/>
  <c r="M163" i="1" s="1"/>
  <c r="M164" i="1" a="1"/>
  <c r="M164" i="1" s="1"/>
  <c r="M38" i="1" a="1"/>
  <c r="M38" i="1" s="1"/>
  <c r="M165" i="1" a="1"/>
  <c r="M165" i="1" s="1"/>
  <c r="M166" i="1" a="1"/>
  <c r="M166" i="1" s="1"/>
  <c r="M167" i="1" a="1"/>
  <c r="M167" i="1" s="1"/>
  <c r="M18" i="1" a="1"/>
  <c r="M18"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37" i="1" a="1"/>
  <c r="M37" i="1" s="1"/>
  <c r="M178" i="1" a="1"/>
  <c r="M178" i="1" s="1"/>
  <c r="M179" i="1" a="1"/>
  <c r="M179" i="1" s="1"/>
  <c r="M180" i="1" a="1"/>
  <c r="M180" i="1" s="1"/>
  <c r="M24" i="1" a="1"/>
  <c r="M24" i="1" s="1"/>
  <c r="M181" i="1" a="1"/>
  <c r="M181" i="1" s="1"/>
  <c r="M182" i="1" a="1"/>
  <c r="M182" i="1" s="1"/>
  <c r="M183" i="1" a="1"/>
  <c r="M183" i="1" s="1"/>
  <c r="M184" i="1" a="1"/>
  <c r="M184" i="1" s="1"/>
  <c r="M185" i="1" a="1"/>
  <c r="M185" i="1" s="1"/>
  <c r="M186" i="1" a="1"/>
  <c r="M186" i="1" s="1"/>
  <c r="M187" i="1" a="1"/>
  <c r="M187" i="1" s="1"/>
  <c r="M188" i="1" a="1"/>
  <c r="M188" i="1" s="1"/>
  <c r="M22" i="1" a="1"/>
  <c r="M22"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80" i="1" a="1"/>
  <c r="M80" i="1" s="1"/>
  <c r="M200" i="1" a="1"/>
  <c r="M200" i="1" s="1"/>
  <c r="M201" i="1" a="1"/>
  <c r="M201" i="1" s="1"/>
  <c r="M41" i="1" a="1"/>
  <c r="M41" i="1" s="1"/>
  <c r="M78" i="1" a="1"/>
  <c r="M78" i="1" s="1"/>
  <c r="M202" i="1" a="1"/>
  <c r="M202" i="1" s="1"/>
  <c r="M65" i="1" a="1"/>
  <c r="M65" i="1" s="1"/>
  <c r="M203" i="1" a="1"/>
  <c r="M203" i="1" s="1"/>
  <c r="M204" i="1" a="1"/>
  <c r="M204" i="1" s="1"/>
  <c r="M76" i="1" a="1"/>
  <c r="M76" i="1" s="1"/>
  <c r="M205" i="1" a="1"/>
  <c r="M205" i="1" s="1"/>
  <c r="M206" i="1" a="1"/>
  <c r="M206" i="1" s="1"/>
  <c r="M207" i="1" a="1"/>
  <c r="M207" i="1" s="1"/>
  <c r="M208" i="1" a="1"/>
  <c r="M208"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83" i="1" a="1"/>
  <c r="M83" i="1" s="1"/>
  <c r="N84" i="1" a="1"/>
  <c r="N84" i="1" s="1"/>
  <c r="N85" i="1" a="1"/>
  <c r="N85" i="1" s="1"/>
  <c r="N33" i="1" a="1"/>
  <c r="N33" i="1" s="1"/>
  <c r="N34" i="1" a="1"/>
  <c r="N34" i="1" s="1"/>
  <c r="N27" i="1" a="1"/>
  <c r="N27" i="1" s="1"/>
  <c r="N61" i="1" a="1"/>
  <c r="N61" i="1" s="1"/>
  <c r="N87" i="1" a="1"/>
  <c r="N87" i="1" s="1"/>
  <c r="N88" i="1" a="1"/>
  <c r="N88" i="1" s="1"/>
  <c r="N89" i="1" a="1"/>
  <c r="N89" i="1" s="1"/>
  <c r="N90" i="1" a="1"/>
  <c r="N90" i="1" s="1"/>
  <c r="N91" i="1" a="1"/>
  <c r="N91" i="1" s="1"/>
  <c r="N92" i="1" a="1"/>
  <c r="N92" i="1" s="1"/>
  <c r="N93" i="1" a="1"/>
  <c r="N93" i="1" s="1"/>
  <c r="N25" i="1" a="1"/>
  <c r="N25" i="1" s="1"/>
  <c r="N94" i="1" a="1"/>
  <c r="N94" i="1" s="1"/>
  <c r="N54" i="1" a="1"/>
  <c r="N54" i="1" s="1"/>
  <c r="N95" i="1" a="1"/>
  <c r="N95" i="1" s="1"/>
  <c r="N57" i="1" a="1"/>
  <c r="N57" i="1" s="1"/>
  <c r="N96" i="1" a="1"/>
  <c r="N96"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97" i="1" a="1"/>
  <c r="N97" i="1" s="1"/>
  <c r="N69" i="1" a="1"/>
  <c r="N69" i="1" s="1"/>
  <c r="N77" i="1" a="1"/>
  <c r="N77" i="1" s="1"/>
  <c r="N51" i="1" a="1"/>
  <c r="N51" i="1" s="1"/>
  <c r="N52" i="1" a="1"/>
  <c r="N52" i="1" s="1"/>
  <c r="N98" i="1" a="1"/>
  <c r="N98" i="1" s="1"/>
  <c r="N74" i="1" a="1"/>
  <c r="N74" i="1" s="1"/>
  <c r="N73" i="1" a="1"/>
  <c r="N73" i="1" s="1"/>
  <c r="N16" i="1" a="1"/>
  <c r="N16" i="1" s="1"/>
  <c r="N99" i="1" a="1"/>
  <c r="N99" i="1" s="1"/>
  <c r="N100" i="1" a="1"/>
  <c r="N100" i="1" s="1"/>
  <c r="N101" i="1" a="1"/>
  <c r="N101" i="1" s="1"/>
  <c r="N102" i="1" a="1"/>
  <c r="N102" i="1" s="1"/>
  <c r="N103" i="1" a="1"/>
  <c r="N103" i="1" s="1"/>
  <c r="N104" i="1" a="1"/>
  <c r="N104" i="1" s="1"/>
  <c r="N105" i="1" a="1"/>
  <c r="N105" i="1" s="1"/>
  <c r="N106" i="1" a="1"/>
  <c r="N106" i="1" s="1"/>
  <c r="N107" i="1" a="1"/>
  <c r="N107" i="1" s="1"/>
  <c r="N40" i="1" a="1"/>
  <c r="N40" i="1" s="1"/>
  <c r="N42" i="1" a="1"/>
  <c r="N42" i="1" s="1"/>
  <c r="N43" i="1" a="1"/>
  <c r="N43" i="1" s="1"/>
  <c r="N44" i="1" a="1"/>
  <c r="N44" i="1" s="1"/>
  <c r="N45" i="1" a="1"/>
  <c r="N45" i="1" s="1"/>
  <c r="N46" i="1" a="1"/>
  <c r="N46" i="1" s="1"/>
  <c r="N59" i="1" a="1"/>
  <c r="N59" i="1" s="1"/>
  <c r="N58" i="1" a="1"/>
  <c r="N58" i="1" s="1"/>
  <c r="N108" i="1" a="1"/>
  <c r="N108" i="1" s="1"/>
  <c r="N109" i="1" a="1"/>
  <c r="N109" i="1" s="1"/>
  <c r="N110" i="1" a="1"/>
  <c r="N110" i="1" s="1"/>
  <c r="N111" i="1" a="1"/>
  <c r="N111" i="1" s="1"/>
  <c r="N55" i="1" a="1"/>
  <c r="N55" i="1" s="1"/>
  <c r="N49" i="1" a="1"/>
  <c r="N49" i="1" s="1"/>
  <c r="N50" i="1" a="1"/>
  <c r="N50" i="1" s="1"/>
  <c r="N112" i="1" a="1"/>
  <c r="N112" i="1" s="1"/>
  <c r="N113" i="1" a="1"/>
  <c r="N113" i="1" s="1"/>
  <c r="N114" i="1" a="1"/>
  <c r="N114" i="1" s="1"/>
  <c r="N81" i="1" a="1"/>
  <c r="N81" i="1" s="1"/>
  <c r="N75" i="1" a="1"/>
  <c r="N75" i="1" s="1"/>
  <c r="N115" i="1" a="1"/>
  <c r="N115" i="1" s="1"/>
  <c r="N116" i="1" a="1"/>
  <c r="N116" i="1" s="1"/>
  <c r="N117" i="1" a="1"/>
  <c r="N117" i="1" s="1"/>
  <c r="N118" i="1" a="1"/>
  <c r="N118" i="1" s="1"/>
  <c r="N119" i="1" a="1"/>
  <c r="N119" i="1" s="1"/>
  <c r="N120" i="1" a="1"/>
  <c r="N120" i="1" s="1"/>
  <c r="N17" i="1" a="1"/>
  <c r="N17" i="1" s="1"/>
  <c r="N121" i="1" a="1"/>
  <c r="N121" i="1" s="1"/>
  <c r="N122" i="1" a="1"/>
  <c r="N122" i="1" s="1"/>
  <c r="N123" i="1" a="1"/>
  <c r="N123" i="1" s="1"/>
  <c r="N124" i="1" a="1"/>
  <c r="N124" i="1" s="1"/>
  <c r="N125" i="1" a="1"/>
  <c r="N125" i="1" s="1"/>
  <c r="N126" i="1" a="1"/>
  <c r="N126" i="1" s="1"/>
  <c r="N127" i="1" a="1"/>
  <c r="N127" i="1" s="1"/>
  <c r="N128" i="1" a="1"/>
  <c r="N128" i="1" s="1"/>
  <c r="N79" i="1" a="1"/>
  <c r="N79" i="1" s="1"/>
  <c r="N129" i="1" a="1"/>
  <c r="N129" i="1" s="1"/>
  <c r="N71" i="1" a="1"/>
  <c r="N71" i="1" s="1"/>
  <c r="N67" i="1" a="1"/>
  <c r="N67" i="1" s="1"/>
  <c r="N130" i="1" a="1"/>
  <c r="N130" i="1" s="1"/>
  <c r="N131" i="1" a="1"/>
  <c r="N131" i="1" s="1"/>
  <c r="N132" i="1" a="1"/>
  <c r="N132" i="1" s="1"/>
  <c r="N133" i="1" a="1"/>
  <c r="N133" i="1" s="1"/>
  <c r="N134" i="1" a="1"/>
  <c r="N134" i="1" s="1"/>
  <c r="N135" i="1" a="1"/>
  <c r="N135" i="1" s="1"/>
  <c r="N136" i="1" a="1"/>
  <c r="N136" i="1" s="1"/>
  <c r="N137" i="1" a="1"/>
  <c r="N137" i="1" s="1"/>
  <c r="N138" i="1" a="1"/>
  <c r="N138" i="1" s="1"/>
  <c r="N47" i="1" a="1"/>
  <c r="N47" i="1" s="1"/>
  <c r="N48" i="1" a="1"/>
  <c r="N48" i="1" s="1"/>
  <c r="N139" i="1" a="1"/>
  <c r="N139" i="1" s="1"/>
  <c r="N140" i="1" a="1"/>
  <c r="N140" i="1" s="1"/>
  <c r="N72" i="1" a="1"/>
  <c r="N72" i="1" s="1"/>
  <c r="N36" i="1" a="1"/>
  <c r="N36" i="1" s="1"/>
  <c r="N141" i="1" a="1"/>
  <c r="N141" i="1" s="1"/>
  <c r="N142" i="1" a="1"/>
  <c r="N142" i="1" s="1"/>
  <c r="N143" i="1" a="1"/>
  <c r="N143" i="1" s="1"/>
  <c r="N144" i="1" a="1"/>
  <c r="N144" i="1" s="1"/>
  <c r="N145" i="1" a="1"/>
  <c r="N145" i="1" s="1"/>
  <c r="N146" i="1" a="1"/>
  <c r="N146" i="1" s="1"/>
  <c r="N147" i="1" a="1"/>
  <c r="N147" i="1" s="1"/>
  <c r="N31" i="1" a="1"/>
  <c r="N31" i="1" s="1"/>
  <c r="N148" i="1" a="1"/>
  <c r="N148" i="1" s="1"/>
  <c r="N149" i="1" a="1"/>
  <c r="N149" i="1" s="1"/>
  <c r="N28" i="1" a="1"/>
  <c r="N28"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26" i="1" a="1"/>
  <c r="N26" i="1" s="1"/>
  <c r="N162" i="1" a="1"/>
  <c r="N162" i="1" s="1"/>
  <c r="N163" i="1" a="1"/>
  <c r="N163" i="1" s="1"/>
  <c r="N164" i="1" a="1"/>
  <c r="N164" i="1" s="1"/>
  <c r="N38" i="1" a="1"/>
  <c r="N38" i="1" s="1"/>
  <c r="N165" i="1" a="1"/>
  <c r="N165" i="1" s="1"/>
  <c r="N166" i="1" a="1"/>
  <c r="N166" i="1" s="1"/>
  <c r="N167" i="1" a="1"/>
  <c r="N167" i="1" s="1"/>
  <c r="N18" i="1" a="1"/>
  <c r="N18"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37" i="1" a="1"/>
  <c r="N37" i="1" s="1"/>
  <c r="N178" i="1" a="1"/>
  <c r="N178" i="1" s="1"/>
  <c r="N179" i="1" a="1"/>
  <c r="N179" i="1" s="1"/>
  <c r="N180" i="1" a="1"/>
  <c r="N180" i="1" s="1"/>
  <c r="N24" i="1" a="1"/>
  <c r="N24" i="1" s="1"/>
  <c r="N181" i="1" a="1"/>
  <c r="N181" i="1" s="1"/>
  <c r="N182" i="1" a="1"/>
  <c r="N182" i="1" s="1"/>
  <c r="N183" i="1" a="1"/>
  <c r="N183" i="1" s="1"/>
  <c r="N184" i="1" a="1"/>
  <c r="N184" i="1" s="1"/>
  <c r="N185" i="1" a="1"/>
  <c r="N185" i="1" s="1"/>
  <c r="N186" i="1" a="1"/>
  <c r="N186" i="1" s="1"/>
  <c r="N187" i="1" a="1"/>
  <c r="N187" i="1" s="1"/>
  <c r="N188" i="1" a="1"/>
  <c r="N188" i="1" s="1"/>
  <c r="N22" i="1" a="1"/>
  <c r="N22"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80" i="1" a="1"/>
  <c r="N80" i="1" s="1"/>
  <c r="N200" i="1" a="1"/>
  <c r="N200" i="1" s="1"/>
  <c r="N201" i="1" a="1"/>
  <c r="N201" i="1" s="1"/>
  <c r="N41" i="1" a="1"/>
  <c r="N41" i="1" s="1"/>
  <c r="N78" i="1" a="1"/>
  <c r="N78" i="1" s="1"/>
  <c r="N202" i="1" a="1"/>
  <c r="N202" i="1" s="1"/>
  <c r="N65" i="1" a="1"/>
  <c r="N65" i="1" s="1"/>
  <c r="N203" i="1" a="1"/>
  <c r="N203" i="1" s="1"/>
  <c r="N204" i="1" a="1"/>
  <c r="N204" i="1" s="1"/>
  <c r="N76" i="1" a="1"/>
  <c r="N76" i="1" s="1"/>
  <c r="N205" i="1" a="1"/>
  <c r="N205" i="1" s="1"/>
  <c r="N206" i="1" a="1"/>
  <c r="N206" i="1" s="1"/>
  <c r="N207" i="1" a="1"/>
  <c r="N207" i="1" s="1"/>
  <c r="N208" i="1" a="1"/>
  <c r="N208"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83" i="1" a="1"/>
  <c r="N83" i="1" s="1"/>
  <c r="U84" i="1"/>
  <c r="U85" i="1"/>
  <c r="U86" i="1"/>
  <c r="U33" i="1"/>
  <c r="U34" i="1"/>
  <c r="U27" i="1"/>
  <c r="U61" i="1"/>
  <c r="U87" i="1"/>
  <c r="U88" i="1"/>
  <c r="U89" i="1"/>
  <c r="U90" i="1"/>
  <c r="U91" i="1"/>
  <c r="U92" i="1"/>
  <c r="U93" i="1"/>
  <c r="U25" i="1"/>
  <c r="U94" i="1"/>
  <c r="U54" i="1"/>
  <c r="U95" i="1"/>
  <c r="U57" i="1"/>
  <c r="U96" i="1"/>
  <c r="U19" i="1"/>
  <c r="U15" i="1"/>
  <c r="Y15" i="1" s="1"/>
  <c r="U20" i="1"/>
  <c r="U21" i="1"/>
  <c r="U23" i="1"/>
  <c r="U32" i="1"/>
  <c r="U29" i="1"/>
  <c r="U64" i="1"/>
  <c r="U63" i="1"/>
  <c r="U60" i="1"/>
  <c r="U56" i="1"/>
  <c r="U62" i="1"/>
  <c r="U66" i="1"/>
  <c r="U70" i="1"/>
  <c r="U97" i="1"/>
  <c r="U69" i="1"/>
  <c r="U77" i="1"/>
  <c r="U51" i="1"/>
  <c r="U52" i="1"/>
  <c r="U98" i="1"/>
  <c r="U74" i="1"/>
  <c r="U73" i="1"/>
  <c r="U16" i="1"/>
  <c r="U99" i="1"/>
  <c r="U100" i="1"/>
  <c r="U101" i="1"/>
  <c r="U102" i="1"/>
  <c r="U103" i="1"/>
  <c r="U104" i="1"/>
  <c r="U105" i="1"/>
  <c r="U106" i="1"/>
  <c r="U107" i="1"/>
  <c r="U40" i="1"/>
  <c r="U42" i="1"/>
  <c r="U43" i="1"/>
  <c r="U44" i="1"/>
  <c r="U45" i="1"/>
  <c r="U46" i="1"/>
  <c r="U59" i="1"/>
  <c r="U58" i="1"/>
  <c r="U108" i="1"/>
  <c r="U109" i="1"/>
  <c r="U110" i="1"/>
  <c r="U111" i="1"/>
  <c r="U55" i="1"/>
  <c r="U49" i="1"/>
  <c r="U50" i="1"/>
  <c r="U112" i="1"/>
  <c r="U113" i="1"/>
  <c r="U114" i="1"/>
  <c r="U81" i="1"/>
  <c r="U75" i="1"/>
  <c r="U115" i="1"/>
  <c r="U116" i="1"/>
  <c r="U117" i="1"/>
  <c r="U118" i="1"/>
  <c r="U119" i="1"/>
  <c r="U120" i="1"/>
  <c r="U17" i="1"/>
  <c r="U121" i="1"/>
  <c r="U122" i="1"/>
  <c r="U123" i="1"/>
  <c r="U124" i="1"/>
  <c r="U125" i="1"/>
  <c r="U126" i="1"/>
  <c r="U127" i="1"/>
  <c r="U128" i="1"/>
  <c r="U79" i="1"/>
  <c r="U129" i="1"/>
  <c r="U71" i="1"/>
  <c r="U67" i="1"/>
  <c r="U130" i="1"/>
  <c r="U131" i="1"/>
  <c r="U132" i="1"/>
  <c r="U133" i="1"/>
  <c r="U134" i="1"/>
  <c r="U135" i="1"/>
  <c r="U136" i="1"/>
  <c r="U137" i="1"/>
  <c r="U138" i="1"/>
  <c r="U47" i="1"/>
  <c r="U48" i="1"/>
  <c r="U139" i="1"/>
  <c r="U140" i="1"/>
  <c r="U72" i="1"/>
  <c r="U36" i="1"/>
  <c r="U141" i="1"/>
  <c r="U142" i="1"/>
  <c r="U143" i="1"/>
  <c r="U144" i="1"/>
  <c r="U145" i="1"/>
  <c r="U146" i="1"/>
  <c r="U147" i="1"/>
  <c r="U31" i="1"/>
  <c r="U148" i="1"/>
  <c r="U149" i="1"/>
  <c r="U28" i="1"/>
  <c r="U150" i="1"/>
  <c r="U151" i="1"/>
  <c r="U152" i="1"/>
  <c r="U153" i="1"/>
  <c r="U154" i="1"/>
  <c r="U155" i="1"/>
  <c r="U156" i="1"/>
  <c r="U157" i="1"/>
  <c r="U158" i="1"/>
  <c r="U159" i="1"/>
  <c r="U160" i="1"/>
  <c r="U161" i="1"/>
  <c r="U26" i="1"/>
  <c r="U162" i="1"/>
  <c r="U163" i="1"/>
  <c r="U164" i="1"/>
  <c r="U38" i="1"/>
  <c r="U165" i="1"/>
  <c r="U166" i="1"/>
  <c r="U167" i="1"/>
  <c r="U18" i="1"/>
  <c r="U168" i="1"/>
  <c r="U169" i="1"/>
  <c r="U170" i="1"/>
  <c r="U171" i="1"/>
  <c r="U172" i="1"/>
  <c r="U173" i="1"/>
  <c r="U174" i="1"/>
  <c r="U175" i="1"/>
  <c r="U176" i="1"/>
  <c r="U177" i="1"/>
  <c r="U37" i="1"/>
  <c r="U178" i="1"/>
  <c r="U179" i="1"/>
  <c r="U180" i="1"/>
  <c r="U24" i="1"/>
  <c r="U181" i="1"/>
  <c r="U182" i="1"/>
  <c r="U183" i="1"/>
  <c r="U184" i="1"/>
  <c r="U185" i="1"/>
  <c r="U186" i="1"/>
  <c r="U187" i="1"/>
  <c r="U188" i="1"/>
  <c r="U22" i="1"/>
  <c r="U189" i="1"/>
  <c r="U190" i="1"/>
  <c r="U191" i="1"/>
  <c r="U192" i="1"/>
  <c r="U193" i="1"/>
  <c r="U194" i="1"/>
  <c r="U195" i="1"/>
  <c r="U196" i="1"/>
  <c r="U197" i="1"/>
  <c r="U198" i="1"/>
  <c r="U199" i="1"/>
  <c r="U80" i="1"/>
  <c r="U200" i="1"/>
  <c r="U201" i="1"/>
  <c r="U41" i="1"/>
  <c r="U78" i="1"/>
  <c r="U202" i="1"/>
  <c r="U65" i="1"/>
  <c r="U203" i="1"/>
  <c r="U204" i="1"/>
  <c r="U76" i="1"/>
  <c r="U205" i="1"/>
  <c r="U206" i="1"/>
  <c r="U207" i="1"/>
  <c r="U208" i="1"/>
  <c r="U209" i="1"/>
  <c r="U210" i="1"/>
  <c r="U211" i="1"/>
  <c r="U214" i="1"/>
  <c r="Y25" i="1" s="1"/>
  <c r="U216" i="1"/>
  <c r="U68" i="1"/>
  <c r="U82" i="1"/>
  <c r="U215" i="1"/>
  <c r="U221" i="1"/>
  <c r="U30" i="1"/>
  <c r="U53" i="1"/>
  <c r="U219" i="1"/>
  <c r="U218" i="1"/>
  <c r="U220" i="1"/>
  <c r="U217" i="1"/>
  <c r="U222" i="1"/>
  <c r="U223" i="1"/>
  <c r="U35" i="1"/>
  <c r="U212" i="1"/>
  <c r="U213" i="1"/>
  <c r="U39" i="1"/>
  <c r="U224" i="1"/>
  <c r="U83" i="1"/>
  <c r="Y27" i="1" l="1"/>
  <c r="V27" i="1" s="1"/>
  <c r="Y212" i="1"/>
  <c r="Y53" i="1"/>
  <c r="V53" i="1" s="1"/>
  <c r="V25" i="1"/>
  <c r="V15" i="1"/>
  <c r="Y95" i="1"/>
  <c r="Y85" i="1"/>
  <c r="Y96" i="1"/>
  <c r="Y64" i="1"/>
  <c r="Y69" i="1"/>
  <c r="V69" i="1" s="1"/>
  <c r="Y99" i="1"/>
  <c r="Y107" i="1"/>
  <c r="Y58" i="1"/>
  <c r="V58" i="1" s="1"/>
  <c r="Y112" i="1"/>
  <c r="Y118" i="1"/>
  <c r="Y125" i="1"/>
  <c r="Y130" i="1"/>
  <c r="Y138" i="1"/>
  <c r="Y142" i="1"/>
  <c r="Y149" i="1"/>
  <c r="Y156" i="1"/>
  <c r="Y163" i="1"/>
  <c r="Y169" i="1"/>
  <c r="Y177" i="1"/>
  <c r="Y183" i="1"/>
  <c r="Y190" i="1"/>
  <c r="Y198" i="1"/>
  <c r="Y65" i="1"/>
  <c r="V65" i="1" s="1"/>
  <c r="Y209" i="1"/>
  <c r="Y82" i="1"/>
  <c r="V82" i="1" s="1"/>
  <c r="Y84" i="1"/>
  <c r="Y220" i="1"/>
  <c r="Y224" i="1"/>
  <c r="Y86" i="1"/>
  <c r="Y89" i="1"/>
  <c r="Y91" i="1"/>
  <c r="Y23" i="1"/>
  <c r="V23" i="1" s="1"/>
  <c r="Y66" i="1"/>
  <c r="V66" i="1" s="1"/>
  <c r="Y74" i="1"/>
  <c r="V74" i="1" s="1"/>
  <c r="Y105" i="1"/>
  <c r="Y45" i="1"/>
  <c r="V45" i="1" s="1"/>
  <c r="Y55" i="1"/>
  <c r="V55" i="1" s="1"/>
  <c r="Y115" i="1"/>
  <c r="Y122" i="1"/>
  <c r="Y129" i="1"/>
  <c r="Y135" i="1"/>
  <c r="Y72" i="1"/>
  <c r="V72" i="1" s="1"/>
  <c r="Y147" i="1"/>
  <c r="Y153" i="1"/>
  <c r="Y161" i="1"/>
  <c r="Y167" i="1"/>
  <c r="Y174" i="1"/>
  <c r="Y24" i="1"/>
  <c r="V24" i="1" s="1"/>
  <c r="Y188" i="1"/>
  <c r="Y195" i="1"/>
  <c r="Y41" i="1"/>
  <c r="V41" i="1" s="1"/>
  <c r="Y206" i="1"/>
  <c r="Y90" i="1"/>
  <c r="Y88" i="1"/>
  <c r="Y32" i="1"/>
  <c r="V32" i="1" s="1"/>
  <c r="Y70" i="1"/>
  <c r="V70" i="1" s="1"/>
  <c r="Y73" i="1"/>
  <c r="V73" i="1" s="1"/>
  <c r="Y104" i="1"/>
  <c r="Y46" i="1"/>
  <c r="V46" i="1" s="1"/>
  <c r="Y49" i="1"/>
  <c r="V49" i="1" s="1"/>
  <c r="Y116" i="1"/>
  <c r="Y123" i="1"/>
  <c r="Y71" i="1"/>
  <c r="V71" i="1" s="1"/>
  <c r="Y136" i="1"/>
  <c r="Y36" i="1"/>
  <c r="V36" i="1" s="1"/>
  <c r="Y31" i="1"/>
  <c r="V31" i="1" s="1"/>
  <c r="Y154" i="1"/>
  <c r="Y26" i="1"/>
  <c r="V26" i="1" s="1"/>
  <c r="Y18" i="1"/>
  <c r="V18" i="1" s="1"/>
  <c r="Y175" i="1"/>
  <c r="Y181" i="1"/>
  <c r="Y22" i="1"/>
  <c r="V22" i="1" s="1"/>
  <c r="Y196" i="1"/>
  <c r="Y78" i="1"/>
  <c r="V78" i="1" s="1"/>
  <c r="Y207" i="1"/>
  <c r="Y68" i="1"/>
  <c r="V68" i="1" s="1"/>
  <c r="Y54" i="1"/>
  <c r="V54" i="1" s="1"/>
  <c r="Y57" i="1"/>
  <c r="V57" i="1" s="1"/>
  <c r="Y29" i="1"/>
  <c r="V29" i="1" s="1"/>
  <c r="Y97" i="1"/>
  <c r="Y16" i="1"/>
  <c r="V16" i="1" s="1"/>
  <c r="Y106" i="1"/>
  <c r="Y59" i="1"/>
  <c r="V59" i="1" s="1"/>
  <c r="Y50" i="1"/>
  <c r="V50" i="1" s="1"/>
  <c r="Y117" i="1"/>
  <c r="Y124" i="1"/>
  <c r="Y67" i="1"/>
  <c r="Y137" i="1"/>
  <c r="Y141" i="1"/>
  <c r="Y148" i="1"/>
  <c r="Y155" i="1"/>
  <c r="Y162" i="1"/>
  <c r="Y168" i="1"/>
  <c r="Y176" i="1"/>
  <c r="Y182" i="1"/>
  <c r="Y189" i="1"/>
  <c r="Y197" i="1"/>
  <c r="Y202" i="1"/>
  <c r="Y208" i="1"/>
  <c r="Y215" i="1"/>
  <c r="Y221" i="1"/>
  <c r="Y30" i="1"/>
  <c r="V30" i="1" s="1"/>
  <c r="Y34" i="1"/>
  <c r="V34" i="1" s="1"/>
  <c r="Y19" i="1"/>
  <c r="V19" i="1" s="1"/>
  <c r="Y63" i="1"/>
  <c r="V63" i="1" s="1"/>
  <c r="Y77" i="1"/>
  <c r="V77" i="1" s="1"/>
  <c r="Y100" i="1"/>
  <c r="Y40" i="1"/>
  <c r="V40" i="1" s="1"/>
  <c r="Y108" i="1"/>
  <c r="Y113" i="1"/>
  <c r="Y119" i="1"/>
  <c r="Y131" i="1"/>
  <c r="Y47" i="1"/>
  <c r="V47" i="1" s="1"/>
  <c r="Y143" i="1"/>
  <c r="Y28" i="1"/>
  <c r="V28" i="1" s="1"/>
  <c r="Y157" i="1"/>
  <c r="Y164" i="1"/>
  <c r="Y170" i="1"/>
  <c r="Y37" i="1"/>
  <c r="V37" i="1" s="1"/>
  <c r="Y184" i="1"/>
  <c r="Y191" i="1"/>
  <c r="Y199" i="1"/>
  <c r="Y203" i="1"/>
  <c r="Y210" i="1"/>
  <c r="Y216" i="1"/>
  <c r="Y33" i="1"/>
  <c r="V33" i="1" s="1"/>
  <c r="Y51" i="1"/>
  <c r="V51" i="1" s="1"/>
  <c r="Y92" i="1"/>
  <c r="Y20" i="1"/>
  <c r="V20" i="1" s="1"/>
  <c r="Y56" i="1"/>
  <c r="V56" i="1" s="1"/>
  <c r="Y52" i="1"/>
  <c r="V52" i="1" s="1"/>
  <c r="Y102" i="1"/>
  <c r="Y43" i="1"/>
  <c r="V43" i="1" s="1"/>
  <c r="Y110" i="1"/>
  <c r="Y81" i="1"/>
  <c r="V81" i="1" s="1"/>
  <c r="Y17" i="1"/>
  <c r="V17" i="1" s="1"/>
  <c r="Y128" i="1"/>
  <c r="Y133" i="1"/>
  <c r="Y139" i="1"/>
  <c r="Y145" i="1"/>
  <c r="Y151" i="1"/>
  <c r="Y159" i="1"/>
  <c r="Y165" i="1"/>
  <c r="Y172" i="1"/>
  <c r="Y179" i="1"/>
  <c r="Y186" i="1"/>
  <c r="Y193" i="1"/>
  <c r="Y200" i="1"/>
  <c r="Y76" i="1"/>
  <c r="V76" i="1" s="1"/>
  <c r="Y35" i="1"/>
  <c r="V35" i="1" s="1"/>
  <c r="Y218" i="1"/>
  <c r="Y223" i="1"/>
  <c r="Y61" i="1"/>
  <c r="V61" i="1" s="1"/>
  <c r="Y83" i="1"/>
  <c r="Y21" i="1"/>
  <c r="V21" i="1" s="1"/>
  <c r="Y62" i="1"/>
  <c r="V62" i="1" s="1"/>
  <c r="Y98" i="1"/>
  <c r="Y103" i="1"/>
  <c r="Y44" i="1"/>
  <c r="V44" i="1" s="1"/>
  <c r="Y111" i="1"/>
  <c r="Y75" i="1"/>
  <c r="V75" i="1" s="1"/>
  <c r="Y121" i="1"/>
  <c r="Y79" i="1"/>
  <c r="V79" i="1" s="1"/>
  <c r="Y134" i="1"/>
  <c r="Y140" i="1"/>
  <c r="Y146" i="1"/>
  <c r="Y152" i="1"/>
  <c r="Y160" i="1"/>
  <c r="Y166" i="1"/>
  <c r="Y173" i="1"/>
  <c r="Y180" i="1"/>
  <c r="Y187" i="1"/>
  <c r="Y194" i="1"/>
  <c r="Y201" i="1"/>
  <c r="Y205" i="1"/>
  <c r="Y213" i="1"/>
  <c r="Y219" i="1"/>
  <c r="Y39" i="1"/>
  <c r="V39" i="1" s="1"/>
  <c r="Y87" i="1"/>
  <c r="Y94" i="1"/>
  <c r="Y214" i="1"/>
  <c r="Y93" i="1"/>
  <c r="Y60" i="1"/>
  <c r="V60" i="1" s="1"/>
  <c r="Y101" i="1"/>
  <c r="Y42" i="1"/>
  <c r="V42" i="1" s="1"/>
  <c r="Y109" i="1"/>
  <c r="Y114" i="1"/>
  <c r="Y120" i="1"/>
  <c r="Y127" i="1"/>
  <c r="Y132" i="1"/>
  <c r="Y48" i="1"/>
  <c r="V48" i="1" s="1"/>
  <c r="Y144" i="1"/>
  <c r="Y150" i="1"/>
  <c r="Y158" i="1"/>
  <c r="Y38" i="1"/>
  <c r="V38" i="1" s="1"/>
  <c r="Y171" i="1"/>
  <c r="Y178" i="1"/>
  <c r="Y185" i="1"/>
  <c r="Y192" i="1"/>
  <c r="Y80" i="1"/>
  <c r="V80" i="1" s="1"/>
  <c r="Y204"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84" i="1" a="1"/>
  <c r="O84" i="1" s="1"/>
  <c r="O85" i="1" a="1"/>
  <c r="O85" i="1" s="1"/>
  <c r="O86" i="1" a="1"/>
  <c r="O86" i="1" s="1"/>
  <c r="O33" i="1" a="1"/>
  <c r="O33" i="1" s="1"/>
  <c r="O34" i="1" a="1"/>
  <c r="O34" i="1" s="1"/>
  <c r="O27" i="1" a="1"/>
  <c r="O27" i="1" s="1"/>
  <c r="O61" i="1" a="1"/>
  <c r="O61" i="1" s="1"/>
  <c r="O87" i="1" a="1"/>
  <c r="O87" i="1" s="1"/>
  <c r="O88" i="1" a="1"/>
  <c r="O88" i="1" s="1"/>
  <c r="O89" i="1" a="1"/>
  <c r="O89" i="1" s="1"/>
  <c r="O90" i="1" a="1"/>
  <c r="O90" i="1" s="1"/>
  <c r="O91" i="1" a="1"/>
  <c r="O91" i="1" s="1"/>
  <c r="O92" i="1" a="1"/>
  <c r="O92" i="1" s="1"/>
  <c r="O93" i="1" a="1"/>
  <c r="O93" i="1" s="1"/>
  <c r="O25" i="1" a="1"/>
  <c r="O25" i="1" s="1"/>
  <c r="O94" i="1" a="1"/>
  <c r="O94" i="1" s="1"/>
  <c r="O54" i="1" a="1"/>
  <c r="O54" i="1" s="1"/>
  <c r="O95" i="1" a="1"/>
  <c r="O95" i="1" s="1"/>
  <c r="O57" i="1" a="1"/>
  <c r="O57" i="1" s="1"/>
  <c r="O96" i="1" a="1"/>
  <c r="O96"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97" i="1" a="1"/>
  <c r="O97" i="1" s="1"/>
  <c r="O69" i="1" a="1"/>
  <c r="O69" i="1" s="1"/>
  <c r="O77" i="1" a="1"/>
  <c r="O77" i="1" s="1"/>
  <c r="O51" i="1" a="1"/>
  <c r="O51" i="1" s="1"/>
  <c r="O52" i="1" a="1"/>
  <c r="O52" i="1" s="1"/>
  <c r="O98" i="1" a="1"/>
  <c r="O98" i="1" s="1"/>
  <c r="O74" i="1" a="1"/>
  <c r="O74" i="1" s="1"/>
  <c r="O73" i="1" a="1"/>
  <c r="O73" i="1" s="1"/>
  <c r="O16" i="1" a="1"/>
  <c r="O16" i="1" s="1"/>
  <c r="O99" i="1" a="1"/>
  <c r="O99" i="1" s="1"/>
  <c r="O100" i="1" a="1"/>
  <c r="O100" i="1" s="1"/>
  <c r="O101" i="1" a="1"/>
  <c r="O101" i="1" s="1"/>
  <c r="O102" i="1" a="1"/>
  <c r="O102" i="1" s="1"/>
  <c r="O103" i="1" a="1"/>
  <c r="O103" i="1" s="1"/>
  <c r="O104" i="1" a="1"/>
  <c r="O104" i="1" s="1"/>
  <c r="O105" i="1" a="1"/>
  <c r="O105" i="1" s="1"/>
  <c r="O106" i="1" a="1"/>
  <c r="O106" i="1" s="1"/>
  <c r="O107" i="1" a="1"/>
  <c r="O107" i="1" s="1"/>
  <c r="O40" i="1" a="1"/>
  <c r="O40" i="1" s="1"/>
  <c r="O42" i="1" a="1"/>
  <c r="O42" i="1" s="1"/>
  <c r="O43" i="1" a="1"/>
  <c r="O43" i="1" s="1"/>
  <c r="O44" i="1" a="1"/>
  <c r="O44" i="1" s="1"/>
  <c r="O45" i="1" a="1"/>
  <c r="O45" i="1" s="1"/>
  <c r="O46" i="1" a="1"/>
  <c r="O46" i="1" s="1"/>
  <c r="O59" i="1" a="1"/>
  <c r="O59" i="1" s="1"/>
  <c r="O58" i="1" a="1"/>
  <c r="O58" i="1" s="1"/>
  <c r="O108" i="1" a="1"/>
  <c r="O108" i="1" s="1"/>
  <c r="O109" i="1" a="1"/>
  <c r="O109" i="1" s="1"/>
  <c r="O110" i="1" a="1"/>
  <c r="O110" i="1" s="1"/>
  <c r="O111" i="1" a="1"/>
  <c r="O111" i="1" s="1"/>
  <c r="O55" i="1" a="1"/>
  <c r="O55" i="1" s="1"/>
  <c r="O49" i="1" a="1"/>
  <c r="O49" i="1" s="1"/>
  <c r="O50" i="1" a="1"/>
  <c r="O50" i="1" s="1"/>
  <c r="O112" i="1" a="1"/>
  <c r="O112" i="1" s="1"/>
  <c r="O113" i="1" a="1"/>
  <c r="O113" i="1" s="1"/>
  <c r="O114" i="1" a="1"/>
  <c r="O114" i="1" s="1"/>
  <c r="O81" i="1" a="1"/>
  <c r="O81" i="1" s="1"/>
  <c r="O75" i="1" a="1"/>
  <c r="O75" i="1" s="1"/>
  <c r="O115" i="1" a="1"/>
  <c r="O115" i="1" s="1"/>
  <c r="O116" i="1" a="1"/>
  <c r="O116" i="1" s="1"/>
  <c r="O117" i="1" a="1"/>
  <c r="O117" i="1" s="1"/>
  <c r="O118" i="1" a="1"/>
  <c r="O118" i="1" s="1"/>
  <c r="O119" i="1" a="1"/>
  <c r="O119" i="1" s="1"/>
  <c r="O120" i="1" a="1"/>
  <c r="O120" i="1" s="1"/>
  <c r="O17" i="1" a="1"/>
  <c r="O17" i="1" s="1"/>
  <c r="O121" i="1" a="1"/>
  <c r="O121" i="1" s="1"/>
  <c r="O122" i="1" a="1"/>
  <c r="O122" i="1" s="1"/>
  <c r="O123" i="1" a="1"/>
  <c r="O123" i="1" s="1"/>
  <c r="O124" i="1" a="1"/>
  <c r="O124" i="1" s="1"/>
  <c r="O125" i="1" a="1"/>
  <c r="O125" i="1" s="1"/>
  <c r="O126" i="1" a="1"/>
  <c r="O126" i="1" s="1"/>
  <c r="O127" i="1" a="1"/>
  <c r="O127" i="1" s="1"/>
  <c r="O128" i="1" a="1"/>
  <c r="O128" i="1" s="1"/>
  <c r="O79" i="1" a="1"/>
  <c r="O79" i="1" s="1"/>
  <c r="O129" i="1" a="1"/>
  <c r="O129" i="1" s="1"/>
  <c r="O71" i="1" a="1"/>
  <c r="O71" i="1" s="1"/>
  <c r="O67" i="1" a="1"/>
  <c r="O67" i="1" s="1"/>
  <c r="O130" i="1" a="1"/>
  <c r="O130" i="1" s="1"/>
  <c r="O131" i="1" a="1"/>
  <c r="O131" i="1" s="1"/>
  <c r="O132" i="1" a="1"/>
  <c r="O132" i="1" s="1"/>
  <c r="O133" i="1" a="1"/>
  <c r="O133" i="1" s="1"/>
  <c r="O134" i="1" a="1"/>
  <c r="O134" i="1" s="1"/>
  <c r="O135" i="1" a="1"/>
  <c r="O135" i="1" s="1"/>
  <c r="O136" i="1" a="1"/>
  <c r="O136" i="1" s="1"/>
  <c r="O137" i="1" a="1"/>
  <c r="O137" i="1" s="1"/>
  <c r="O138" i="1" a="1"/>
  <c r="O138" i="1" s="1"/>
  <c r="O47" i="1" a="1"/>
  <c r="O47" i="1" s="1"/>
  <c r="O48" i="1" a="1"/>
  <c r="O48" i="1" s="1"/>
  <c r="O139" i="1" a="1"/>
  <c r="O139" i="1" s="1"/>
  <c r="O140" i="1" a="1"/>
  <c r="O140" i="1" s="1"/>
  <c r="O72" i="1" a="1"/>
  <c r="O72" i="1" s="1"/>
  <c r="O36" i="1" a="1"/>
  <c r="O36" i="1" s="1"/>
  <c r="O141" i="1" a="1"/>
  <c r="O141" i="1" s="1"/>
  <c r="O142" i="1" a="1"/>
  <c r="O142" i="1" s="1"/>
  <c r="O143" i="1" a="1"/>
  <c r="O143" i="1" s="1"/>
  <c r="O144" i="1" a="1"/>
  <c r="O144" i="1" s="1"/>
  <c r="O145" i="1" a="1"/>
  <c r="O145" i="1" s="1"/>
  <c r="O146" i="1" a="1"/>
  <c r="O146" i="1" s="1"/>
  <c r="O147" i="1" a="1"/>
  <c r="O147" i="1" s="1"/>
  <c r="O31" i="1" a="1"/>
  <c r="O31" i="1" s="1"/>
  <c r="O148" i="1" a="1"/>
  <c r="O148" i="1" s="1"/>
  <c r="O149" i="1" a="1"/>
  <c r="O149" i="1" s="1"/>
  <c r="O28" i="1" a="1"/>
  <c r="O28"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26" i="1" a="1"/>
  <c r="O26" i="1" s="1"/>
  <c r="O162" i="1" a="1"/>
  <c r="O162" i="1" s="1"/>
  <c r="O163" i="1" a="1"/>
  <c r="O163" i="1" s="1"/>
  <c r="O164" i="1" a="1"/>
  <c r="O164" i="1" s="1"/>
  <c r="O38" i="1" a="1"/>
  <c r="O38" i="1" s="1"/>
  <c r="O165" i="1" a="1"/>
  <c r="O165" i="1" s="1"/>
  <c r="O166" i="1" a="1"/>
  <c r="O166" i="1" s="1"/>
  <c r="O167" i="1" a="1"/>
  <c r="O167" i="1" s="1"/>
  <c r="O18" i="1" a="1"/>
  <c r="O18"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37" i="1" a="1"/>
  <c r="O37" i="1" s="1"/>
  <c r="O178" i="1" a="1"/>
  <c r="O178" i="1" s="1"/>
  <c r="O179" i="1" a="1"/>
  <c r="O179" i="1" s="1"/>
  <c r="O180" i="1" a="1"/>
  <c r="O180" i="1" s="1"/>
  <c r="O24" i="1" a="1"/>
  <c r="O24" i="1" s="1"/>
  <c r="O181" i="1" a="1"/>
  <c r="O181" i="1" s="1"/>
  <c r="O185" i="1" a="1"/>
  <c r="O185" i="1" s="1"/>
  <c r="O199" i="1" a="1"/>
  <c r="O199" i="1" s="1"/>
  <c r="O195" i="1" a="1"/>
  <c r="O195" i="1" s="1"/>
  <c r="O198" i="1" a="1"/>
  <c r="O198" i="1" s="1"/>
  <c r="O194" i="1" a="1"/>
  <c r="O194" i="1" s="1"/>
  <c r="O184" i="1" a="1"/>
  <c r="O184" i="1" s="1"/>
  <c r="O183" i="1" a="1"/>
  <c r="O183" i="1" s="1"/>
  <c r="O193" i="1" a="1"/>
  <c r="O193" i="1" s="1"/>
  <c r="O196" i="1" a="1"/>
  <c r="O196" i="1" s="1"/>
  <c r="O197" i="1" a="1"/>
  <c r="O197" i="1" s="1"/>
  <c r="O200" i="1" a="1"/>
  <c r="O200" i="1" s="1"/>
  <c r="O214" i="1" a="1"/>
  <c r="O214" i="1" s="1"/>
  <c r="O182" i="1" a="1"/>
  <c r="O182" i="1" s="1"/>
  <c r="O210" i="1" a="1"/>
  <c r="O210" i="1" s="1"/>
  <c r="O203" i="1" a="1"/>
  <c r="O203" i="1" s="1"/>
  <c r="O205" i="1" a="1"/>
  <c r="O205" i="1" s="1"/>
  <c r="O216" i="1" a="1"/>
  <c r="O216" i="1" s="1"/>
  <c r="O190" i="1" a="1"/>
  <c r="O190" i="1" s="1"/>
  <c r="O68" i="1" a="1"/>
  <c r="O68" i="1" s="1"/>
  <c r="O82" i="1" a="1"/>
  <c r="O82" i="1" s="1"/>
  <c r="O22" i="1" a="1"/>
  <c r="O22" i="1" s="1"/>
  <c r="O215" i="1" a="1"/>
  <c r="O215" i="1" s="1"/>
  <c r="O202" i="1" a="1"/>
  <c r="O202" i="1" s="1"/>
  <c r="O65" i="1" a="1"/>
  <c r="O65" i="1" s="1"/>
  <c r="O204" i="1" a="1"/>
  <c r="O204" i="1" s="1"/>
  <c r="O207" i="1" a="1"/>
  <c r="O207"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86" i="1" a="1"/>
  <c r="O186" i="1" s="1"/>
  <c r="O187" i="1" a="1"/>
  <c r="O187" i="1" s="1"/>
  <c r="O188" i="1" a="1"/>
  <c r="O188" i="1" s="1"/>
  <c r="O189" i="1" a="1"/>
  <c r="O189" i="1" s="1"/>
  <c r="O191" i="1" a="1"/>
  <c r="O191" i="1" s="1"/>
  <c r="O192" i="1" a="1"/>
  <c r="O192" i="1" s="1"/>
  <c r="O209" i="1" a="1"/>
  <c r="O209" i="1" s="1"/>
  <c r="O206" i="1" a="1"/>
  <c r="O206" i="1" s="1"/>
  <c r="O208" i="1" a="1"/>
  <c r="O208" i="1" s="1"/>
  <c r="O41" i="1" a="1"/>
  <c r="O41" i="1" s="1"/>
  <c r="O80" i="1" a="1"/>
  <c r="O80" i="1" s="1"/>
  <c r="O201" i="1" a="1"/>
  <c r="O201" i="1" s="1"/>
  <c r="O35" i="1" a="1"/>
  <c r="O35" i="1" s="1"/>
  <c r="O76" i="1" a="1"/>
  <c r="O76" i="1" s="1"/>
  <c r="O212" i="1" a="1"/>
  <c r="O212" i="1" s="1"/>
  <c r="O213" i="1" a="1"/>
  <c r="O213" i="1" s="1"/>
  <c r="O211" i="1" a="1"/>
  <c r="O211" i="1" s="1"/>
  <c r="O83" i="1" a="1"/>
  <c r="O83" i="1" s="1"/>
  <c r="J181" i="1" a="1"/>
  <c r="J181" i="1" s="1"/>
  <c r="I30" i="2" l="1"/>
  <c r="X210" i="10"/>
  <c r="A2" i="1"/>
  <c r="AB212" i="10" l="1"/>
  <c r="AB213" i="10"/>
  <c r="H101" i="4"/>
  <c r="H8" i="4"/>
  <c r="H14" i="4"/>
  <c r="H21" i="4"/>
  <c r="H29" i="4"/>
  <c r="H35" i="4"/>
  <c r="H39" i="4"/>
  <c r="H93" i="4"/>
  <c r="H119" i="4"/>
  <c r="H46" i="4"/>
  <c r="H86" i="4"/>
  <c r="H60" i="4"/>
  <c r="H123" i="4"/>
  <c r="H75" i="4"/>
  <c r="H83" i="4"/>
  <c r="H12" i="2"/>
  <c r="H18" i="2"/>
  <c r="H24" i="2"/>
  <c r="H29" i="2"/>
  <c r="H60" i="2"/>
  <c r="H40" i="2"/>
  <c r="H43" i="2"/>
  <c r="H9" i="3"/>
  <c r="H39" i="3"/>
  <c r="H18" i="3"/>
  <c r="H24" i="3"/>
  <c r="H35" i="3"/>
  <c r="H18" i="4"/>
  <c r="H37" i="4"/>
  <c r="H118" i="4"/>
  <c r="H56" i="4"/>
  <c r="H79" i="4"/>
  <c r="H61" i="2"/>
  <c r="H37" i="2"/>
  <c r="H14" i="3"/>
  <c r="H28" i="3"/>
  <c r="H12" i="4"/>
  <c r="H33" i="4"/>
  <c r="H94" i="4"/>
  <c r="H73" i="4"/>
  <c r="H59" i="2"/>
  <c r="H7" i="3"/>
  <c r="H36" i="3"/>
  <c r="H102" i="4"/>
  <c r="H9" i="4"/>
  <c r="H15" i="4"/>
  <c r="H22" i="4"/>
  <c r="H30" i="4"/>
  <c r="H113" i="4"/>
  <c r="H40" i="4"/>
  <c r="H98" i="4"/>
  <c r="H120" i="4"/>
  <c r="H47" i="4"/>
  <c r="H53" i="4"/>
  <c r="H61" i="4"/>
  <c r="H68" i="4"/>
  <c r="H76" i="4"/>
  <c r="H84" i="4"/>
  <c r="H13" i="2"/>
  <c r="H19" i="2"/>
  <c r="H25" i="2"/>
  <c r="H63" i="2"/>
  <c r="H48" i="2"/>
  <c r="H50" i="2"/>
  <c r="H54" i="2"/>
  <c r="H31" i="3"/>
  <c r="H40" i="3"/>
  <c r="H32" i="3"/>
  <c r="H25" i="3"/>
  <c r="H11" i="4"/>
  <c r="H97" i="4"/>
  <c r="H64" i="4"/>
  <c r="H8" i="2"/>
  <c r="H27" i="2"/>
  <c r="H52" i="2"/>
  <c r="H20" i="3"/>
  <c r="H27" i="4"/>
  <c r="H41" i="4"/>
  <c r="H51" i="4"/>
  <c r="H66" i="4"/>
  <c r="H16" i="2"/>
  <c r="H33" i="2"/>
  <c r="H37" i="3"/>
  <c r="H7" i="4"/>
  <c r="H34" i="4"/>
  <c r="H117" i="4"/>
  <c r="H52" i="4"/>
  <c r="H74" i="4"/>
  <c r="H17" i="2"/>
  <c r="H34" i="2"/>
  <c r="H39" i="2"/>
  <c r="H38" i="3"/>
  <c r="H41" i="3"/>
  <c r="H103" i="4"/>
  <c r="H108" i="4"/>
  <c r="H16" i="4"/>
  <c r="H23" i="4"/>
  <c r="H31" i="4"/>
  <c r="H36" i="4"/>
  <c r="H88" i="4"/>
  <c r="H99" i="4"/>
  <c r="H121" i="4"/>
  <c r="H48" i="4"/>
  <c r="H54" i="4"/>
  <c r="H62" i="4"/>
  <c r="H69" i="4"/>
  <c r="H77" i="4"/>
  <c r="H85" i="4"/>
  <c r="H14" i="2"/>
  <c r="H20" i="2"/>
  <c r="H47" i="2"/>
  <c r="H30" i="2"/>
  <c r="H35" i="2"/>
  <c r="H41" i="2"/>
  <c r="H44" i="2"/>
  <c r="H30" i="3"/>
  <c r="H33" i="3"/>
  <c r="H19" i="3"/>
  <c r="H26" i="3"/>
  <c r="H46" i="2"/>
  <c r="H81" i="4"/>
  <c r="H104" i="4"/>
  <c r="H10" i="4"/>
  <c r="H17" i="4"/>
  <c r="H111" i="4"/>
  <c r="H112" i="4"/>
  <c r="H114" i="4"/>
  <c r="H115" i="4"/>
  <c r="H42" i="4"/>
  <c r="H122" i="4"/>
  <c r="H49" i="4"/>
  <c r="H55" i="4"/>
  <c r="H63" i="4"/>
  <c r="H70" i="4"/>
  <c r="H78" i="4"/>
  <c r="H100" i="4"/>
  <c r="H55" i="2"/>
  <c r="H21" i="2"/>
  <c r="H26" i="2"/>
  <c r="H31" i="2"/>
  <c r="H36" i="2"/>
  <c r="H51" i="2"/>
  <c r="H45" i="2"/>
  <c r="H10" i="3"/>
  <c r="H13" i="3"/>
  <c r="H34" i="3"/>
  <c r="H27" i="3"/>
  <c r="H105" i="4"/>
  <c r="H24" i="4"/>
  <c r="H32" i="4"/>
  <c r="H89" i="4"/>
  <c r="H50" i="4"/>
  <c r="H71" i="4"/>
  <c r="H56" i="2"/>
  <c r="H32" i="2"/>
  <c r="H11" i="3"/>
  <c r="H107" i="4"/>
  <c r="H92" i="4"/>
  <c r="H44" i="4"/>
  <c r="H58" i="4"/>
  <c r="H22" i="2"/>
  <c r="H38" i="2"/>
  <c r="H16" i="3"/>
  <c r="H13" i="4"/>
  <c r="H28" i="4"/>
  <c r="H38" i="4"/>
  <c r="H45" i="4"/>
  <c r="H67" i="4"/>
  <c r="H11" i="2"/>
  <c r="H28" i="2"/>
  <c r="H8" i="3"/>
  <c r="H23" i="3"/>
  <c r="H106" i="4"/>
  <c r="H109" i="4"/>
  <c r="H19" i="4"/>
  <c r="H25" i="4"/>
  <c r="H87" i="4"/>
  <c r="H91" i="4"/>
  <c r="H116" i="4"/>
  <c r="H96" i="4"/>
  <c r="H43" i="4"/>
  <c r="H90" i="4"/>
  <c r="H57" i="4"/>
  <c r="H65" i="4"/>
  <c r="H72" i="4"/>
  <c r="H80" i="4"/>
  <c r="H9" i="2"/>
  <c r="H15" i="2"/>
  <c r="H62" i="2"/>
  <c r="H58" i="2"/>
  <c r="H49" i="2"/>
  <c r="H64" i="2"/>
  <c r="H53" i="2"/>
  <c r="H7" i="2"/>
  <c r="H12" i="3"/>
  <c r="H15" i="3"/>
  <c r="H21" i="3"/>
  <c r="H29" i="3"/>
  <c r="H110" i="4"/>
  <c r="H10" i="2"/>
  <c r="H42" i="2"/>
  <c r="H22" i="3"/>
  <c r="H20" i="4"/>
  <c r="H95" i="4"/>
  <c r="H59" i="4"/>
  <c r="H82" i="4"/>
  <c r="H23" i="2"/>
  <c r="H57" i="2"/>
  <c r="H17" i="3"/>
  <c r="H26" i="4"/>
  <c r="B2" i="1"/>
  <c r="G7" i="2"/>
  <c r="G30" i="3"/>
  <c r="G34" i="3"/>
  <c r="G37" i="3"/>
  <c r="G15" i="3"/>
  <c r="G30" i="2"/>
  <c r="G18" i="2"/>
  <c r="G62" i="2"/>
  <c r="G10" i="2"/>
  <c r="G41" i="2"/>
  <c r="G59" i="2"/>
  <c r="G43" i="2"/>
  <c r="G56" i="4"/>
  <c r="G64" i="4"/>
  <c r="G13" i="4"/>
  <c r="G20" i="4"/>
  <c r="G27" i="4"/>
  <c r="G33" i="4"/>
  <c r="G76" i="4"/>
  <c r="G36" i="4"/>
  <c r="G88" i="4"/>
  <c r="G99" i="4"/>
  <c r="G121" i="4"/>
  <c r="G102" i="4"/>
  <c r="G45" i="4"/>
  <c r="G68" i="4"/>
  <c r="G69" i="4"/>
  <c r="G11" i="3"/>
  <c r="G33" i="3"/>
  <c r="G19" i="3"/>
  <c r="G13" i="3"/>
  <c r="G16" i="3"/>
  <c r="G31" i="2"/>
  <c r="G19" i="2"/>
  <c r="G22" i="2"/>
  <c r="G11" i="2"/>
  <c r="G51" i="2"/>
  <c r="G42" i="2"/>
  <c r="G54" i="2"/>
  <c r="G57" i="4"/>
  <c r="G65" i="4"/>
  <c r="G14" i="4"/>
  <c r="G21" i="4"/>
  <c r="G28" i="4"/>
  <c r="G66" i="4"/>
  <c r="G77" i="4"/>
  <c r="G114" i="4"/>
  <c r="G115" i="4"/>
  <c r="G42" i="4"/>
  <c r="G122" i="4"/>
  <c r="G103" i="4"/>
  <c r="G46" i="4"/>
  <c r="G85" i="4"/>
  <c r="G70" i="4"/>
  <c r="G10" i="3"/>
  <c r="G27" i="3"/>
  <c r="G22" i="3"/>
  <c r="G8" i="3"/>
  <c r="G39" i="3"/>
  <c r="G32" i="2"/>
  <c r="G20" i="2"/>
  <c r="G23" i="2"/>
  <c r="G12" i="2"/>
  <c r="G52" i="2"/>
  <c r="G57" i="2"/>
  <c r="G44" i="2"/>
  <c r="G58" i="4"/>
  <c r="G100" i="4"/>
  <c r="G15" i="4"/>
  <c r="G22" i="4"/>
  <c r="G29" i="4"/>
  <c r="G67" i="4"/>
  <c r="G78" i="4"/>
  <c r="G37" i="4"/>
  <c r="G89" i="4"/>
  <c r="G118" i="4"/>
  <c r="G97" i="4"/>
  <c r="G104" i="4"/>
  <c r="G47" i="4"/>
  <c r="G8" i="4"/>
  <c r="G108" i="4"/>
  <c r="G29" i="3"/>
  <c r="G24" i="3"/>
  <c r="G20" i="3"/>
  <c r="G31" i="3"/>
  <c r="G28" i="3"/>
  <c r="G49" i="2"/>
  <c r="G21" i="2"/>
  <c r="G36" i="2"/>
  <c r="G13" i="2"/>
  <c r="G53" i="2"/>
  <c r="G15" i="2"/>
  <c r="G45" i="2"/>
  <c r="G59" i="4"/>
  <c r="G101" i="4"/>
  <c r="G16" i="4"/>
  <c r="G23" i="4"/>
  <c r="G30" i="4"/>
  <c r="G71" i="4"/>
  <c r="G79" i="4"/>
  <c r="G91" i="4"/>
  <c r="G116" i="4"/>
  <c r="G96" i="4"/>
  <c r="G123" i="4"/>
  <c r="G105" i="4"/>
  <c r="G48" i="4"/>
  <c r="G9" i="4"/>
  <c r="G36" i="3"/>
  <c r="G25" i="3"/>
  <c r="G40" i="3"/>
  <c r="G7" i="3"/>
  <c r="G8" i="2"/>
  <c r="G33" i="2"/>
  <c r="G27" i="2"/>
  <c r="G37" i="2"/>
  <c r="G14" i="2"/>
  <c r="G55" i="2"/>
  <c r="G16" i="2"/>
  <c r="G46" i="2"/>
  <c r="G60" i="4"/>
  <c r="G10" i="4"/>
  <c r="G17" i="4"/>
  <c r="G111" i="4"/>
  <c r="G31" i="4"/>
  <c r="G72" i="4"/>
  <c r="G80" i="4"/>
  <c r="G92" i="4"/>
  <c r="G41" i="4"/>
  <c r="G94" i="4"/>
  <c r="G81" i="4"/>
  <c r="G106" i="4"/>
  <c r="G49" i="4"/>
  <c r="G50" i="4"/>
  <c r="G41" i="3"/>
  <c r="G32" i="3"/>
  <c r="G18" i="3"/>
  <c r="G9" i="3"/>
  <c r="G28" i="2"/>
  <c r="G34" i="2"/>
  <c r="G48" i="2"/>
  <c r="G64" i="2"/>
  <c r="G39" i="2"/>
  <c r="G56" i="2"/>
  <c r="G25" i="2"/>
  <c r="G61" i="4"/>
  <c r="G11" i="4"/>
  <c r="G18" i="4"/>
  <c r="G24" i="4"/>
  <c r="G112" i="4"/>
  <c r="G73" i="4"/>
  <c r="G34" i="4"/>
  <c r="G38" i="4"/>
  <c r="G117" i="4"/>
  <c r="G95" i="4"/>
  <c r="G82" i="4"/>
  <c r="G107" i="4"/>
  <c r="G86" i="4"/>
  <c r="G90" i="4"/>
  <c r="G12" i="3"/>
  <c r="G23" i="3"/>
  <c r="G17" i="3"/>
  <c r="G38" i="3"/>
  <c r="G29" i="2"/>
  <c r="G60" i="2"/>
  <c r="G35" i="2"/>
  <c r="G38" i="2"/>
  <c r="G40" i="2"/>
  <c r="G24" i="2"/>
  <c r="G47" i="2"/>
  <c r="G7" i="4"/>
  <c r="G62" i="4"/>
  <c r="G109" i="4"/>
  <c r="G19" i="4"/>
  <c r="G25" i="4"/>
  <c r="G32" i="4"/>
  <c r="G74" i="4"/>
  <c r="G35" i="4"/>
  <c r="G39" i="4"/>
  <c r="G93" i="4"/>
  <c r="G119" i="4"/>
  <c r="G83" i="4"/>
  <c r="G43" i="4"/>
  <c r="G53" i="4"/>
  <c r="G51" i="4"/>
  <c r="G26" i="3"/>
  <c r="G21" i="3"/>
  <c r="G35" i="3"/>
  <c r="G14" i="3"/>
  <c r="G63" i="2"/>
  <c r="G17" i="2"/>
  <c r="G61" i="2"/>
  <c r="G9" i="2"/>
  <c r="G50" i="2"/>
  <c r="G58" i="2"/>
  <c r="G26" i="2"/>
  <c r="G55" i="4"/>
  <c r="G63" i="4"/>
  <c r="G12" i="4"/>
  <c r="G110" i="4"/>
  <c r="G26" i="4"/>
  <c r="G87" i="4"/>
  <c r="G75" i="4"/>
  <c r="G113" i="4"/>
  <c r="G40" i="4"/>
  <c r="G98" i="4"/>
  <c r="G120" i="4"/>
  <c r="G84" i="4"/>
  <c r="G44" i="4"/>
  <c r="G54" i="4"/>
  <c r="G52" i="4"/>
  <c r="B108" i="4"/>
  <c r="AB210" i="10"/>
  <c r="AB211" i="10"/>
  <c r="B30" i="2"/>
  <c r="F30" i="2"/>
  <c r="J84" i="1" a="1"/>
  <c r="J84" i="1" s="1"/>
  <c r="J85" i="1" a="1"/>
  <c r="J85" i="1" s="1"/>
  <c r="J86" i="1" a="1"/>
  <c r="J86" i="1" s="1"/>
  <c r="J33" i="1" a="1"/>
  <c r="J33" i="1" s="1"/>
  <c r="J34" i="1" a="1"/>
  <c r="J34" i="1" s="1"/>
  <c r="J27" i="1" a="1"/>
  <c r="J27" i="1" s="1"/>
  <c r="J61" i="1" a="1"/>
  <c r="J61" i="1" s="1"/>
  <c r="J87" i="1" a="1"/>
  <c r="J87" i="1" s="1"/>
  <c r="J88" i="1" a="1"/>
  <c r="J88" i="1" s="1"/>
  <c r="J89" i="1" a="1"/>
  <c r="J89" i="1" s="1"/>
  <c r="J90" i="1" a="1"/>
  <c r="J90" i="1" s="1"/>
  <c r="J91" i="1" a="1"/>
  <c r="J91" i="1" s="1"/>
  <c r="J92" i="1" a="1"/>
  <c r="J92" i="1" s="1"/>
  <c r="J93" i="1" a="1"/>
  <c r="J93" i="1" s="1"/>
  <c r="J25" i="1" a="1"/>
  <c r="J25" i="1" s="1"/>
  <c r="J94" i="1" a="1"/>
  <c r="J94" i="1" s="1"/>
  <c r="J54" i="1" a="1"/>
  <c r="J54" i="1" s="1"/>
  <c r="J95" i="1" a="1"/>
  <c r="J95" i="1" s="1"/>
  <c r="J57" i="1" a="1"/>
  <c r="J57" i="1" s="1"/>
  <c r="J96" i="1" a="1"/>
  <c r="J96"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97" i="1" a="1"/>
  <c r="J97" i="1" s="1"/>
  <c r="J69" i="1" a="1"/>
  <c r="J69" i="1" s="1"/>
  <c r="J77" i="1" a="1"/>
  <c r="J77" i="1" s="1"/>
  <c r="J51" i="1" a="1"/>
  <c r="J51" i="1" s="1"/>
  <c r="J52" i="1" a="1"/>
  <c r="J52" i="1" s="1"/>
  <c r="J98" i="1" a="1"/>
  <c r="J98" i="1" s="1"/>
  <c r="J74" i="1" a="1"/>
  <c r="J74" i="1" s="1"/>
  <c r="J73" i="1" a="1"/>
  <c r="J73" i="1" s="1"/>
  <c r="J16" i="1" a="1"/>
  <c r="J16" i="1" s="1"/>
  <c r="J99" i="1" a="1"/>
  <c r="J99" i="1" s="1"/>
  <c r="J100" i="1" a="1"/>
  <c r="J100" i="1" s="1"/>
  <c r="J101" i="1" a="1"/>
  <c r="J101" i="1" s="1"/>
  <c r="J102" i="1" a="1"/>
  <c r="J102" i="1" s="1"/>
  <c r="J103" i="1" a="1"/>
  <c r="J103" i="1" s="1"/>
  <c r="J104" i="1" a="1"/>
  <c r="J104" i="1" s="1"/>
  <c r="J105" i="1" a="1"/>
  <c r="J105" i="1" s="1"/>
  <c r="J106" i="1" a="1"/>
  <c r="J106" i="1" s="1"/>
  <c r="J107" i="1" a="1"/>
  <c r="J107" i="1" s="1"/>
  <c r="J40" i="1" a="1"/>
  <c r="J40" i="1" s="1"/>
  <c r="J42" i="1" a="1"/>
  <c r="J42" i="1" s="1"/>
  <c r="J43" i="1" a="1"/>
  <c r="J43" i="1" s="1"/>
  <c r="J44" i="1" a="1"/>
  <c r="J44" i="1" s="1"/>
  <c r="J45" i="1" a="1"/>
  <c r="J45" i="1" s="1"/>
  <c r="J46" i="1" a="1"/>
  <c r="J46" i="1" s="1"/>
  <c r="J59" i="1" a="1"/>
  <c r="J59" i="1" s="1"/>
  <c r="J58" i="1" a="1"/>
  <c r="J58" i="1" s="1"/>
  <c r="J108" i="1" a="1"/>
  <c r="J108" i="1" s="1"/>
  <c r="J109" i="1" a="1"/>
  <c r="J109" i="1" s="1"/>
  <c r="J110" i="1" a="1"/>
  <c r="J110" i="1" s="1"/>
  <c r="J111" i="1" a="1"/>
  <c r="J111" i="1" s="1"/>
  <c r="J55" i="1" a="1"/>
  <c r="J55" i="1" s="1"/>
  <c r="J49" i="1" a="1"/>
  <c r="J49" i="1" s="1"/>
  <c r="J50" i="1" a="1"/>
  <c r="J50" i="1" s="1"/>
  <c r="J112" i="1" a="1"/>
  <c r="J112" i="1" s="1"/>
  <c r="J113" i="1" a="1"/>
  <c r="J113" i="1" s="1"/>
  <c r="J114" i="1" a="1"/>
  <c r="J114" i="1" s="1"/>
  <c r="J81" i="1" a="1"/>
  <c r="J81" i="1" s="1"/>
  <c r="J75" i="1" a="1"/>
  <c r="J75" i="1" s="1"/>
  <c r="J48" i="1" a="1"/>
  <c r="J48" i="1" s="1"/>
  <c r="J47" i="1" a="1"/>
  <c r="J47" i="1" s="1"/>
  <c r="J185" i="1" a="1"/>
  <c r="J185" i="1" s="1"/>
  <c r="J127" i="1" a="1"/>
  <c r="J127" i="1" s="1"/>
  <c r="J124" i="1" a="1"/>
  <c r="J124" i="1" s="1"/>
  <c r="J136" i="1" a="1"/>
  <c r="J136" i="1" s="1"/>
  <c r="J131" i="1" a="1"/>
  <c r="J131" i="1" s="1"/>
  <c r="J143" i="1" a="1"/>
  <c r="J143" i="1" s="1"/>
  <c r="J145" i="1" a="1"/>
  <c r="J145" i="1" s="1"/>
  <c r="J36" i="1" a="1"/>
  <c r="J36" i="1" s="1"/>
  <c r="J142" i="1" a="1"/>
  <c r="J142" i="1" s="1"/>
  <c r="J176" i="1" a="1"/>
  <c r="J176" i="1" s="1"/>
  <c r="J115" i="1" a="1"/>
  <c r="J115" i="1" s="1"/>
  <c r="J141" i="1" a="1"/>
  <c r="J141" i="1" s="1"/>
  <c r="J170" i="1" a="1"/>
  <c r="J170" i="1" s="1"/>
  <c r="J151" i="1" a="1"/>
  <c r="J151" i="1" s="1"/>
  <c r="J163" i="1" a="1"/>
  <c r="J163" i="1" s="1"/>
  <c r="J146" i="1" a="1"/>
  <c r="J146" i="1" s="1"/>
  <c r="J169" i="1" a="1"/>
  <c r="J169" i="1" s="1"/>
  <c r="J153" i="1" a="1"/>
  <c r="J153" i="1" s="1"/>
  <c r="J154" i="1" a="1"/>
  <c r="J154" i="1" s="1"/>
  <c r="J37" i="1" a="1"/>
  <c r="J37" i="1" s="1"/>
  <c r="J72" i="1" a="1"/>
  <c r="J72" i="1" s="1"/>
  <c r="J38" i="1" a="1"/>
  <c r="J38" i="1" s="1"/>
  <c r="J171" i="1" a="1"/>
  <c r="J171" i="1" s="1"/>
  <c r="J144" i="1" a="1"/>
  <c r="J144" i="1" s="1"/>
  <c r="J71" i="1" a="1"/>
  <c r="J71" i="1" s="1"/>
  <c r="J119" i="1" a="1"/>
  <c r="J119" i="1" s="1"/>
  <c r="J118" i="1" a="1"/>
  <c r="J118" i="1" s="1"/>
  <c r="J120" i="1" a="1"/>
  <c r="J120" i="1" s="1"/>
  <c r="J133" i="1" a="1"/>
  <c r="J133" i="1" s="1"/>
  <c r="J164" i="1" a="1"/>
  <c r="J164" i="1" s="1"/>
  <c r="J175" i="1" a="1"/>
  <c r="J175" i="1" s="1"/>
  <c r="J116" i="1" a="1"/>
  <c r="J116" i="1" s="1"/>
  <c r="J172" i="1" a="1"/>
  <c r="J172" i="1" s="1"/>
  <c r="J173" i="1" a="1"/>
  <c r="J173" i="1" s="1"/>
  <c r="J168" i="1" a="1"/>
  <c r="J168" i="1" s="1"/>
  <c r="J155" i="1" a="1"/>
  <c r="J155" i="1" s="1"/>
  <c r="J152" i="1" a="1"/>
  <c r="J152" i="1" s="1"/>
  <c r="J18" i="1" a="1"/>
  <c r="J18" i="1" s="1"/>
  <c r="J167" i="1" a="1"/>
  <c r="J167" i="1" s="1"/>
  <c r="J166" i="1" a="1"/>
  <c r="J166" i="1" s="1"/>
  <c r="J165" i="1" a="1"/>
  <c r="J165" i="1" s="1"/>
  <c r="J121" i="1" a="1"/>
  <c r="J121" i="1" s="1"/>
  <c r="J199" i="1" a="1"/>
  <c r="J199" i="1" s="1"/>
  <c r="J195" i="1" a="1"/>
  <c r="J195" i="1" s="1"/>
  <c r="J198" i="1" a="1"/>
  <c r="J198" i="1" s="1"/>
  <c r="J194" i="1" a="1"/>
  <c r="J194" i="1" s="1"/>
  <c r="J139" i="1" a="1"/>
  <c r="J139" i="1" s="1"/>
  <c r="J122" i="1" a="1"/>
  <c r="J122" i="1" s="1"/>
  <c r="J123" i="1" a="1"/>
  <c r="J123" i="1" s="1"/>
  <c r="J184" i="1" a="1"/>
  <c r="J184" i="1" s="1"/>
  <c r="J183" i="1" a="1"/>
  <c r="J183" i="1" s="1"/>
  <c r="J180" i="1" a="1"/>
  <c r="J180" i="1" s="1"/>
  <c r="J193" i="1" a="1"/>
  <c r="J193" i="1" s="1"/>
  <c r="J196" i="1" a="1"/>
  <c r="J196" i="1" s="1"/>
  <c r="J197" i="1" a="1"/>
  <c r="J197" i="1" s="1"/>
  <c r="J200" i="1" a="1"/>
  <c r="J200" i="1" s="1"/>
  <c r="J177" i="1" a="1"/>
  <c r="J177" i="1" s="1"/>
  <c r="J179" i="1" a="1"/>
  <c r="J179" i="1" s="1"/>
  <c r="J159" i="1" a="1"/>
  <c r="J159" i="1" s="1"/>
  <c r="J149" i="1" a="1"/>
  <c r="J149" i="1" s="1"/>
  <c r="J150" i="1" a="1"/>
  <c r="J150" i="1" s="1"/>
  <c r="J157" i="1" a="1"/>
  <c r="J157" i="1" s="1"/>
  <c r="J158" i="1" a="1"/>
  <c r="J158" i="1" s="1"/>
  <c r="J178" i="1" a="1"/>
  <c r="J178" i="1" s="1"/>
  <c r="J156" i="1" a="1"/>
  <c r="J156" i="1" s="1"/>
  <c r="J174" i="1" a="1"/>
  <c r="J174" i="1" s="1"/>
  <c r="J214" i="1" a="1"/>
  <c r="J214" i="1" s="1"/>
  <c r="J182" i="1" a="1"/>
  <c r="J182" i="1" s="1"/>
  <c r="J17" i="1" a="1"/>
  <c r="J17" i="1" s="1"/>
  <c r="J210" i="1" a="1"/>
  <c r="J210" i="1" s="1"/>
  <c r="J24" i="1" a="1"/>
  <c r="J24" i="1" s="1"/>
  <c r="J138" i="1" a="1"/>
  <c r="J138" i="1" s="1"/>
  <c r="J203" i="1" a="1"/>
  <c r="J203" i="1" s="1"/>
  <c r="J205" i="1" a="1"/>
  <c r="J205" i="1" s="1"/>
  <c r="J216" i="1" a="1"/>
  <c r="J216" i="1" s="1"/>
  <c r="J137" i="1" a="1"/>
  <c r="J137" i="1" s="1"/>
  <c r="J190" i="1" a="1"/>
  <c r="J190" i="1" s="1"/>
  <c r="J68" i="1" a="1"/>
  <c r="J68" i="1" s="1"/>
  <c r="J82" i="1" a="1"/>
  <c r="J82" i="1" s="1"/>
  <c r="J22" i="1" a="1"/>
  <c r="J22" i="1" s="1"/>
  <c r="J215" i="1" a="1"/>
  <c r="J215" i="1" s="1"/>
  <c r="J202" i="1" a="1"/>
  <c r="J202" i="1" s="1"/>
  <c r="J162" i="1" a="1"/>
  <c r="J162" i="1" s="1"/>
  <c r="J65" i="1" a="1"/>
  <c r="J65" i="1" s="1"/>
  <c r="J204" i="1" a="1"/>
  <c r="J204" i="1" s="1"/>
  <c r="J207" i="1" a="1"/>
  <c r="J207" i="1" s="1"/>
  <c r="J221" i="1" a="1"/>
  <c r="J221" i="1" s="1"/>
  <c r="J30" i="1" a="1"/>
  <c r="J30" i="1" s="1"/>
  <c r="J53" i="1" a="1"/>
  <c r="J53" i="1" s="1"/>
  <c r="J78" i="1" a="1"/>
  <c r="J78" i="1" s="1"/>
  <c r="J219" i="1" a="1"/>
  <c r="J219" i="1" s="1"/>
  <c r="J218" i="1" a="1"/>
  <c r="J218" i="1" s="1"/>
  <c r="J220" i="1" a="1"/>
  <c r="J220" i="1" s="1"/>
  <c r="J217" i="1" a="1"/>
  <c r="J217" i="1" s="1"/>
  <c r="J222" i="1" a="1"/>
  <c r="J222" i="1" s="1"/>
  <c r="J126" i="1" a="1"/>
  <c r="J126" i="1" s="1"/>
  <c r="J125" i="1" a="1"/>
  <c r="J125" i="1" s="1"/>
  <c r="J223" i="1" a="1"/>
  <c r="J223" i="1" s="1"/>
  <c r="J28" i="1" a="1"/>
  <c r="J28" i="1" s="1"/>
  <c r="J147" i="1" a="1"/>
  <c r="J147" i="1" s="1"/>
  <c r="J31" i="1" a="1"/>
  <c r="J31" i="1" s="1"/>
  <c r="J148" i="1" a="1"/>
  <c r="J148" i="1" s="1"/>
  <c r="J186" i="1" a="1"/>
  <c r="J186" i="1" s="1"/>
  <c r="J128" i="1" a="1"/>
  <c r="J128" i="1" s="1"/>
  <c r="J79" i="1" a="1"/>
  <c r="J79" i="1" s="1"/>
  <c r="J187" i="1" a="1"/>
  <c r="J187" i="1" s="1"/>
  <c r="J188" i="1" a="1"/>
  <c r="J188" i="1" s="1"/>
  <c r="J189" i="1" a="1"/>
  <c r="J189" i="1" s="1"/>
  <c r="J191" i="1" a="1"/>
  <c r="J191" i="1" s="1"/>
  <c r="J129" i="1" a="1"/>
  <c r="J129" i="1" s="1"/>
  <c r="J192" i="1" a="1"/>
  <c r="J192" i="1" s="1"/>
  <c r="J67" i="1" a="1"/>
  <c r="J67" i="1" s="1"/>
  <c r="J117" i="1" a="1"/>
  <c r="J117" i="1" s="1"/>
  <c r="J209" i="1" a="1"/>
  <c r="J209" i="1" s="1"/>
  <c r="J206" i="1" a="1"/>
  <c r="J206" i="1" s="1"/>
  <c r="J134" i="1" a="1"/>
  <c r="J134" i="1" s="1"/>
  <c r="J130" i="1" a="1"/>
  <c r="J130" i="1" s="1"/>
  <c r="J132" i="1" a="1"/>
  <c r="J132" i="1" s="1"/>
  <c r="J161" i="1" a="1"/>
  <c r="J161" i="1" s="1"/>
  <c r="J208" i="1" a="1"/>
  <c r="J208" i="1" s="1"/>
  <c r="J41" i="1" a="1"/>
  <c r="J41" i="1" s="1"/>
  <c r="J80" i="1" a="1"/>
  <c r="J80" i="1" s="1"/>
  <c r="J201" i="1" a="1"/>
  <c r="J201" i="1" s="1"/>
  <c r="J135" i="1" a="1"/>
  <c r="J135" i="1" s="1"/>
  <c r="J35" i="1" a="1"/>
  <c r="J35" i="1" s="1"/>
  <c r="J76" i="1" a="1"/>
  <c r="J76" i="1" s="1"/>
  <c r="J160" i="1" a="1"/>
  <c r="J160" i="1" s="1"/>
  <c r="J26" i="1" a="1"/>
  <c r="J26" i="1" s="1"/>
  <c r="J212" i="1" a="1"/>
  <c r="J212" i="1" s="1"/>
  <c r="J213" i="1" a="1"/>
  <c r="J213" i="1" s="1"/>
  <c r="J140" i="1" a="1"/>
  <c r="J140" i="1" s="1"/>
  <c r="J211" i="1" a="1"/>
  <c r="J211" i="1" s="1"/>
  <c r="J83" i="1" a="1"/>
  <c r="J83" i="1" s="1"/>
  <c r="I2" i="4" l="1"/>
  <c r="H2" i="4"/>
  <c r="I2" i="3"/>
  <c r="H2" i="3"/>
  <c r="I2" i="2"/>
  <c r="H2" i="2"/>
  <c r="AL2" i="16"/>
  <c r="K86" i="1" l="1"/>
  <c r="L86" i="1" s="1" a="1"/>
  <c r="L86" i="1" s="1"/>
  <c r="F86" i="1"/>
  <c r="C86" i="1"/>
  <c r="Z209" i="10"/>
  <c r="W209" i="10"/>
  <c r="V209" i="10"/>
  <c r="D86" i="1" s="1"/>
  <c r="E86" i="1" s="1"/>
  <c r="U209" i="10"/>
  <c r="K217" i="1"/>
  <c r="L217" i="1" s="1" a="1"/>
  <c r="L217" i="1" s="1"/>
  <c r="AL6" i="16"/>
  <c r="X209" i="10" l="1"/>
  <c r="Y209" i="10"/>
  <c r="I37" i="4"/>
  <c r="P86" i="1"/>
  <c r="H167" i="1"/>
  <c r="H86" i="1"/>
  <c r="F104" i="4" l="1"/>
  <c r="F103" i="4"/>
  <c r="F102" i="4"/>
  <c r="F105" i="4"/>
  <c r="F101" i="4"/>
  <c r="F37" i="4"/>
  <c r="F106" i="4"/>
  <c r="F107" i="4"/>
  <c r="F100" i="4" l="1"/>
  <c r="F64" i="2" l="1"/>
  <c r="F12" i="2"/>
  <c r="F9" i="2"/>
  <c r="F7" i="2"/>
  <c r="F55" i="2"/>
  <c r="F56" i="2"/>
  <c r="F36" i="2"/>
  <c r="F14" i="2"/>
  <c r="F11" i="2"/>
  <c r="F10" i="2"/>
  <c r="F16" i="2"/>
  <c r="F13" i="2"/>
  <c r="F8" i="2"/>
  <c r="F15" i="2"/>
  <c r="F37" i="2"/>
  <c r="F52" i="2"/>
  <c r="F31" i="2"/>
  <c r="F38" i="2"/>
  <c r="F50" i="2"/>
  <c r="AL5" i="16"/>
  <c r="F223" i="1"/>
  <c r="F64" i="1"/>
  <c r="F188" i="1"/>
  <c r="F187" i="1"/>
  <c r="F174" i="1"/>
  <c r="F211" i="1"/>
  <c r="F220" i="1"/>
  <c r="F87" i="1"/>
  <c r="F56" i="1"/>
  <c r="F169" i="1"/>
  <c r="F207" i="1"/>
  <c r="F175" i="1"/>
  <c r="F218" i="1"/>
  <c r="F170" i="1"/>
  <c r="F163" i="1"/>
  <c r="F155" i="1"/>
  <c r="F91" i="1"/>
  <c r="F119" i="1"/>
  <c r="F61" i="1"/>
  <c r="F203" i="1"/>
  <c r="F63" i="1"/>
  <c r="F133" i="1"/>
  <c r="F217" i="1"/>
  <c r="F15" i="1"/>
  <c r="F152" i="1"/>
  <c r="F116" i="1"/>
  <c r="F27" i="1"/>
  <c r="F109" i="1"/>
  <c r="F183" i="1"/>
  <c r="F92" i="1"/>
  <c r="F185" i="1"/>
  <c r="F46" i="1"/>
  <c r="F200" i="1"/>
  <c r="F201" i="1"/>
  <c r="F58" i="1"/>
  <c r="F106" i="1"/>
  <c r="F120" i="1"/>
  <c r="F150" i="1"/>
  <c r="F68" i="1"/>
  <c r="F114" i="1"/>
  <c r="F96" i="1"/>
  <c r="F127" i="1"/>
  <c r="F101" i="1"/>
  <c r="F62" i="1"/>
  <c r="F196" i="1"/>
  <c r="F26" i="1"/>
  <c r="F184" i="1"/>
  <c r="F160" i="1"/>
  <c r="F107" i="1"/>
  <c r="F212" i="1"/>
  <c r="F180" i="1"/>
  <c r="F158" i="1"/>
  <c r="F98" i="1"/>
  <c r="F144" i="1"/>
  <c r="F69" i="1"/>
  <c r="F128" i="1"/>
  <c r="F129" i="1"/>
  <c r="F123" i="1"/>
  <c r="F189" i="1"/>
  <c r="F221" i="1"/>
  <c r="F75" i="1"/>
  <c r="F103" i="1"/>
  <c r="F146" i="1"/>
  <c r="F167" i="1"/>
  <c r="F126" i="1"/>
  <c r="F74" i="1"/>
  <c r="F197" i="1"/>
  <c r="F21" i="1"/>
  <c r="F18" i="1"/>
  <c r="F213" i="1"/>
  <c r="F178" i="1"/>
  <c r="F154" i="1"/>
  <c r="F132" i="1"/>
  <c r="F153" i="1"/>
  <c r="F140" i="1"/>
  <c r="F138" i="1"/>
  <c r="F77" i="1"/>
  <c r="F204" i="1"/>
  <c r="F32" i="1"/>
  <c r="F157" i="1"/>
  <c r="F115" i="1"/>
  <c r="F172" i="1"/>
  <c r="F20" i="1"/>
  <c r="F71" i="1"/>
  <c r="F112" i="1"/>
  <c r="F65" i="1"/>
  <c r="F88" i="1"/>
  <c r="F76" i="1"/>
  <c r="F55" i="1"/>
  <c r="F161" i="1"/>
  <c r="F60" i="1"/>
  <c r="F54" i="1"/>
  <c r="F176" i="1"/>
  <c r="F125" i="1"/>
  <c r="F156" i="1"/>
  <c r="F84" i="1"/>
  <c r="F79" i="1"/>
  <c r="F41" i="1"/>
  <c r="F166" i="1"/>
  <c r="F16" i="1"/>
  <c r="F173" i="1"/>
  <c r="F168" i="1"/>
  <c r="F135" i="1"/>
  <c r="F38" i="1"/>
  <c r="F53" i="1"/>
  <c r="F80" i="1"/>
  <c r="F165" i="1"/>
  <c r="F216" i="1"/>
  <c r="F219" i="1"/>
  <c r="F215" i="1"/>
  <c r="F90" i="1"/>
  <c r="F83" i="1"/>
  <c r="F118" i="1"/>
  <c r="F208" i="1"/>
  <c r="F191" i="1"/>
  <c r="F59" i="1"/>
  <c r="F137" i="1"/>
  <c r="F192" i="1"/>
  <c r="F89" i="1"/>
  <c r="F78" i="1"/>
  <c r="F72" i="1"/>
  <c r="F193" i="1"/>
  <c r="F122" i="1"/>
  <c r="F190" i="1"/>
  <c r="F134" i="1"/>
  <c r="F99" i="1"/>
  <c r="F73" i="1"/>
  <c r="F70" i="1"/>
  <c r="F222" i="1"/>
  <c r="F30" i="1"/>
  <c r="F205" i="1"/>
  <c r="F110" i="1"/>
  <c r="F100" i="1"/>
  <c r="F35" i="1"/>
  <c r="F151" i="1"/>
  <c r="F23" i="1"/>
  <c r="F171" i="1"/>
  <c r="F37" i="1"/>
  <c r="F93" i="1"/>
  <c r="F113" i="1"/>
  <c r="F124" i="1"/>
  <c r="F202" i="1"/>
  <c r="F164" i="1"/>
  <c r="F22" i="1"/>
  <c r="F97" i="1"/>
  <c r="F82" i="1"/>
  <c r="F130" i="1"/>
  <c r="F162" i="1"/>
  <c r="F141" i="1"/>
  <c r="F149" i="1"/>
  <c r="F159" i="1"/>
  <c r="F206" i="1"/>
  <c r="F179" i="1"/>
  <c r="F50" i="1"/>
  <c r="F49" i="1"/>
  <c r="F186" i="1"/>
  <c r="F209" i="1"/>
  <c r="F81" i="1"/>
  <c r="F139" i="1"/>
  <c r="F142" i="1"/>
  <c r="F36" i="1"/>
  <c r="F24" i="1"/>
  <c r="F210" i="1"/>
  <c r="F111" i="1"/>
  <c r="F17" i="1"/>
  <c r="F194" i="1"/>
  <c r="F198" i="1"/>
  <c r="F195" i="1"/>
  <c r="F199" i="1"/>
  <c r="F181" i="1"/>
  <c r="F34" i="1"/>
  <c r="F52" i="1"/>
  <c r="F51" i="1"/>
  <c r="F57" i="1"/>
  <c r="F108" i="1"/>
  <c r="F95" i="1"/>
  <c r="F25" i="1"/>
  <c r="F117" i="1"/>
  <c r="F66" i="1"/>
  <c r="F148" i="1"/>
  <c r="F31" i="1"/>
  <c r="F147" i="1"/>
  <c r="F182" i="1"/>
  <c r="F214" i="1"/>
  <c r="F45" i="1"/>
  <c r="F44" i="1"/>
  <c r="F40" i="1"/>
  <c r="F42" i="1"/>
  <c r="F43" i="1"/>
  <c r="F94" i="1"/>
  <c r="F67" i="1"/>
  <c r="F85" i="1"/>
  <c r="F19" i="1"/>
  <c r="F105" i="1"/>
  <c r="F104" i="1"/>
  <c r="F102" i="1"/>
  <c r="F28" i="1"/>
  <c r="F47" i="1"/>
  <c r="F48" i="1"/>
  <c r="F145" i="1"/>
  <c r="F121" i="1"/>
  <c r="F177" i="1"/>
  <c r="F29" i="1"/>
  <c r="F143" i="1"/>
  <c r="F33" i="1"/>
  <c r="F131" i="1"/>
  <c r="P141" i="1"/>
  <c r="P124" i="1"/>
  <c r="P105" i="1"/>
  <c r="P222" i="1"/>
  <c r="P149" i="1"/>
  <c r="P137" i="1"/>
  <c r="P219" i="1"/>
  <c r="P173" i="1"/>
  <c r="P125" i="1"/>
  <c r="P161" i="1"/>
  <c r="P195" i="1"/>
  <c r="P186" i="1"/>
  <c r="P132" i="1"/>
  <c r="P31" i="1"/>
  <c r="P103" i="1"/>
  <c r="P128" i="1"/>
  <c r="P49" i="1"/>
  <c r="P44" i="1"/>
  <c r="P81" i="1"/>
  <c r="P58" i="1"/>
  <c r="P27" i="1"/>
  <c r="P133" i="1"/>
  <c r="P170" i="1"/>
  <c r="P220" i="1"/>
  <c r="K177" i="1"/>
  <c r="L177" i="1" s="1" a="1"/>
  <c r="L177" i="1" s="1"/>
  <c r="K131" i="1"/>
  <c r="L131" i="1" s="1" a="1"/>
  <c r="L131" i="1" s="1"/>
  <c r="K33" i="1"/>
  <c r="L33" i="1" s="1" a="1"/>
  <c r="L33" i="1" s="1"/>
  <c r="K143" i="1"/>
  <c r="L143" i="1" s="1" a="1"/>
  <c r="L143" i="1" s="1"/>
  <c r="K29" i="1"/>
  <c r="L29" i="1" s="1" a="1"/>
  <c r="L29" i="1" s="1"/>
  <c r="K57" i="1"/>
  <c r="L57" i="1" s="1" a="1"/>
  <c r="L57" i="1" s="1"/>
  <c r="K141" i="1"/>
  <c r="L141" i="1" s="1" a="1"/>
  <c r="L141" i="1" s="1"/>
  <c r="K162" i="1"/>
  <c r="L162" i="1" s="1" a="1"/>
  <c r="L162" i="1" s="1"/>
  <c r="K130" i="1"/>
  <c r="L130" i="1" s="1" a="1"/>
  <c r="L130" i="1" s="1"/>
  <c r="K82" i="1"/>
  <c r="L82" i="1" s="1" a="1"/>
  <c r="L82" i="1" s="1"/>
  <c r="K97" i="1"/>
  <c r="L97" i="1" s="1" a="1"/>
  <c r="L97" i="1" s="1"/>
  <c r="K22" i="1"/>
  <c r="L22" i="1" s="1" a="1"/>
  <c r="L22" i="1" s="1"/>
  <c r="K164" i="1"/>
  <c r="L164" i="1" s="1" a="1"/>
  <c r="L164" i="1" s="1"/>
  <c r="K202" i="1"/>
  <c r="L202" i="1" s="1" a="1"/>
  <c r="L202" i="1" s="1"/>
  <c r="K124" i="1"/>
  <c r="L124" i="1" s="1" a="1"/>
  <c r="L124" i="1" s="1"/>
  <c r="K113" i="1"/>
  <c r="L113" i="1" s="1" a="1"/>
  <c r="L113" i="1" s="1"/>
  <c r="K93" i="1"/>
  <c r="L93" i="1" s="1" a="1"/>
  <c r="L93" i="1" s="1"/>
  <c r="K37" i="1"/>
  <c r="L37" i="1" s="1" a="1"/>
  <c r="L37" i="1" s="1"/>
  <c r="K171" i="1"/>
  <c r="L171" i="1" s="1" a="1"/>
  <c r="L171" i="1" s="1"/>
  <c r="K43" i="1"/>
  <c r="L43" i="1" s="1" a="1"/>
  <c r="L43" i="1" s="1"/>
  <c r="K139" i="1"/>
  <c r="L139" i="1" s="1" a="1"/>
  <c r="L139" i="1" s="1"/>
  <c r="K23" i="1"/>
  <c r="L23" i="1" s="1" a="1"/>
  <c r="L23" i="1" s="1"/>
  <c r="K105" i="1"/>
  <c r="L105" i="1" s="1" a="1"/>
  <c r="L105" i="1" s="1"/>
  <c r="K151" i="1"/>
  <c r="L151" i="1" s="1" a="1"/>
  <c r="L151" i="1" s="1"/>
  <c r="K35" i="1"/>
  <c r="L35" i="1" s="1" a="1"/>
  <c r="L35" i="1" s="1"/>
  <c r="K100" i="1"/>
  <c r="L100" i="1" s="1" a="1"/>
  <c r="L100" i="1" s="1"/>
  <c r="K110" i="1"/>
  <c r="L110" i="1" s="1" a="1"/>
  <c r="L110" i="1" s="1"/>
  <c r="K205" i="1"/>
  <c r="L205" i="1" s="1" a="1"/>
  <c r="L205" i="1" s="1"/>
  <c r="K30" i="1"/>
  <c r="L30" i="1" s="1" a="1"/>
  <c r="L30" i="1" s="1"/>
  <c r="K45" i="1"/>
  <c r="L45" i="1" s="1" a="1"/>
  <c r="L45" i="1" s="1"/>
  <c r="K222" i="1"/>
  <c r="L222" i="1" s="1" a="1"/>
  <c r="L222" i="1" s="1"/>
  <c r="K70" i="1"/>
  <c r="L70" i="1" s="1" a="1"/>
  <c r="L70" i="1" s="1"/>
  <c r="K73" i="1"/>
  <c r="L73" i="1" s="1" a="1"/>
  <c r="L73" i="1" s="1"/>
  <c r="K99" i="1"/>
  <c r="L99" i="1" s="1" a="1"/>
  <c r="L99" i="1" s="1"/>
  <c r="K134" i="1"/>
  <c r="L134" i="1" s="1" a="1"/>
  <c r="L134" i="1" s="1"/>
  <c r="K190" i="1"/>
  <c r="L190" i="1" s="1" a="1"/>
  <c r="L190" i="1" s="1"/>
  <c r="K122" i="1"/>
  <c r="L122" i="1" s="1" a="1"/>
  <c r="L122" i="1" s="1"/>
  <c r="K34" i="1"/>
  <c r="L34" i="1" s="1" a="1"/>
  <c r="L34" i="1" s="1"/>
  <c r="K149" i="1"/>
  <c r="L149" i="1" s="1" a="1"/>
  <c r="L149" i="1" s="1"/>
  <c r="K193" i="1"/>
  <c r="L193" i="1" s="1" a="1"/>
  <c r="L193" i="1" s="1"/>
  <c r="K72" i="1"/>
  <c r="L72" i="1" s="1" a="1"/>
  <c r="L72" i="1" s="1"/>
  <c r="K159" i="1"/>
  <c r="L159" i="1" s="1" a="1"/>
  <c r="L159" i="1" s="1"/>
  <c r="K78" i="1"/>
  <c r="L78" i="1" s="1" a="1"/>
  <c r="L78" i="1" s="1"/>
  <c r="K89" i="1"/>
  <c r="L89" i="1" s="1" a="1"/>
  <c r="L89" i="1" s="1"/>
  <c r="K192" i="1"/>
  <c r="L192" i="1" s="1" a="1"/>
  <c r="L192" i="1" s="1"/>
  <c r="K17" i="1"/>
  <c r="L17" i="1" s="1" a="1"/>
  <c r="L17" i="1" s="1"/>
  <c r="K137" i="1"/>
  <c r="L137" i="1" s="1" a="1"/>
  <c r="L137" i="1" s="1"/>
  <c r="K59" i="1"/>
  <c r="L59" i="1" s="1" a="1"/>
  <c r="L59" i="1" s="1"/>
  <c r="K191" i="1"/>
  <c r="L191" i="1" s="1" a="1"/>
  <c r="L191" i="1" s="1"/>
  <c r="K208" i="1"/>
  <c r="L208" i="1" s="1" a="1"/>
  <c r="L208" i="1" s="1"/>
  <c r="K118" i="1"/>
  <c r="L118" i="1" s="1" a="1"/>
  <c r="L118" i="1" s="1"/>
  <c r="K83" i="1"/>
  <c r="L83" i="1" s="1" a="1"/>
  <c r="L83" i="1" s="1"/>
  <c r="K90" i="1"/>
  <c r="L90" i="1" s="1" a="1"/>
  <c r="L90" i="1" s="1"/>
  <c r="K215" i="1"/>
  <c r="L215" i="1" s="1" a="1"/>
  <c r="L215" i="1" s="1"/>
  <c r="K219" i="1"/>
  <c r="L219" i="1" s="1" a="1"/>
  <c r="L219" i="1" s="1"/>
  <c r="K48" i="1"/>
  <c r="L48" i="1" s="1" a="1"/>
  <c r="L48" i="1" s="1"/>
  <c r="K216" i="1"/>
  <c r="L216" i="1" s="1" a="1"/>
  <c r="L216" i="1" s="1"/>
  <c r="K165" i="1"/>
  <c r="L165" i="1" s="1" a="1"/>
  <c r="L165" i="1" s="1"/>
  <c r="K50" i="1"/>
  <c r="L50" i="1" s="1" a="1"/>
  <c r="L50" i="1" s="1"/>
  <c r="K145" i="1"/>
  <c r="L145" i="1" s="1" a="1"/>
  <c r="L145" i="1" s="1"/>
  <c r="K19" i="1"/>
  <c r="L19" i="1" s="1" a="1"/>
  <c r="L19" i="1" s="1"/>
  <c r="K80" i="1"/>
  <c r="L80" i="1" s="1" a="1"/>
  <c r="L80" i="1" s="1"/>
  <c r="K52" i="1"/>
  <c r="L52" i="1" s="1" a="1"/>
  <c r="L52" i="1" s="1"/>
  <c r="K36" i="1"/>
  <c r="L36" i="1" s="1" a="1"/>
  <c r="L36" i="1" s="1"/>
  <c r="K181" i="1"/>
  <c r="L181" i="1" s="1" a="1"/>
  <c r="L181" i="1" s="1"/>
  <c r="K53" i="1"/>
  <c r="L53" i="1" s="1" a="1"/>
  <c r="L53" i="1" s="1"/>
  <c r="K104" i="1"/>
  <c r="L104" i="1" s="1" a="1"/>
  <c r="L104" i="1" s="1"/>
  <c r="K38" i="1"/>
  <c r="L38" i="1" s="1" a="1"/>
  <c r="L38" i="1" s="1"/>
  <c r="K135" i="1"/>
  <c r="L135" i="1" s="1" a="1"/>
  <c r="L135" i="1" s="1"/>
  <c r="K168" i="1"/>
  <c r="L168" i="1" s="1" a="1"/>
  <c r="L168" i="1" s="1"/>
  <c r="K173" i="1"/>
  <c r="L173" i="1" s="1" a="1"/>
  <c r="L173" i="1" s="1"/>
  <c r="K16" i="1"/>
  <c r="L16" i="1" s="1" a="1"/>
  <c r="L16" i="1" s="1"/>
  <c r="K166" i="1"/>
  <c r="L166" i="1" s="1" a="1"/>
  <c r="L166" i="1" s="1"/>
  <c r="K41" i="1"/>
  <c r="L41" i="1" s="1" a="1"/>
  <c r="L41" i="1" s="1"/>
  <c r="K111" i="1"/>
  <c r="L111" i="1" s="1" a="1"/>
  <c r="L111" i="1" s="1"/>
  <c r="K79" i="1"/>
  <c r="L79" i="1" s="1" a="1"/>
  <c r="L79" i="1" s="1"/>
  <c r="K84" i="1"/>
  <c r="L84" i="1" s="1" a="1"/>
  <c r="L84" i="1" s="1"/>
  <c r="K156" i="1"/>
  <c r="L156" i="1" s="1" a="1"/>
  <c r="L156" i="1" s="1"/>
  <c r="K125" i="1"/>
  <c r="L125" i="1" s="1" a="1"/>
  <c r="L125" i="1" s="1"/>
  <c r="K179" i="1"/>
  <c r="L179" i="1" s="1" a="1"/>
  <c r="L179" i="1" s="1"/>
  <c r="K210" i="1"/>
  <c r="L210" i="1" s="1" a="1"/>
  <c r="L210" i="1" s="1"/>
  <c r="K176" i="1"/>
  <c r="L176" i="1" s="1" a="1"/>
  <c r="L176" i="1" s="1"/>
  <c r="K214" i="1"/>
  <c r="L214" i="1" s="1" a="1"/>
  <c r="L214" i="1" s="1"/>
  <c r="K182" i="1"/>
  <c r="L182" i="1" s="1" a="1"/>
  <c r="L182" i="1" s="1"/>
  <c r="K54" i="1"/>
  <c r="L54" i="1" s="1" a="1"/>
  <c r="L54" i="1" s="1"/>
  <c r="K60" i="1"/>
  <c r="L60" i="1" s="1" a="1"/>
  <c r="L60" i="1" s="1"/>
  <c r="K161" i="1"/>
  <c r="L161" i="1" s="1" a="1"/>
  <c r="L161" i="1" s="1"/>
  <c r="K55" i="1"/>
  <c r="L55" i="1" s="1" a="1"/>
  <c r="L55" i="1" s="1"/>
  <c r="K76" i="1"/>
  <c r="L76" i="1" s="1" a="1"/>
  <c r="L76" i="1" s="1"/>
  <c r="K88" i="1"/>
  <c r="L88" i="1" s="1" a="1"/>
  <c r="L88" i="1" s="1"/>
  <c r="K65" i="1"/>
  <c r="L65" i="1" s="1" a="1"/>
  <c r="L65" i="1" s="1"/>
  <c r="K112" i="1"/>
  <c r="L112" i="1" s="1" a="1"/>
  <c r="L112" i="1" s="1"/>
  <c r="K71" i="1"/>
  <c r="L71" i="1" s="1" a="1"/>
  <c r="L71" i="1" s="1"/>
  <c r="K20" i="1"/>
  <c r="L20" i="1" s="1" a="1"/>
  <c r="L20" i="1" s="1"/>
  <c r="K195" i="1"/>
  <c r="L195" i="1" s="1" a="1"/>
  <c r="L195" i="1" s="1"/>
  <c r="K172" i="1"/>
  <c r="L172" i="1" s="1" a="1"/>
  <c r="L172" i="1" s="1"/>
  <c r="K115" i="1"/>
  <c r="L115" i="1" s="1" a="1"/>
  <c r="L115" i="1" s="1"/>
  <c r="K157" i="1"/>
  <c r="L157" i="1" s="1" a="1"/>
  <c r="L157" i="1" s="1"/>
  <c r="K32" i="1"/>
  <c r="L32" i="1" s="1" a="1"/>
  <c r="L32" i="1" s="1"/>
  <c r="K117" i="1"/>
  <c r="L117" i="1" s="1" a="1"/>
  <c r="L117" i="1" s="1"/>
  <c r="K204" i="1"/>
  <c r="L204" i="1" s="1" a="1"/>
  <c r="L204" i="1" s="1"/>
  <c r="K194" i="1"/>
  <c r="L194" i="1" s="1" a="1"/>
  <c r="L194" i="1" s="1"/>
  <c r="K186" i="1"/>
  <c r="L186" i="1" s="1" a="1"/>
  <c r="L186" i="1" s="1"/>
  <c r="K25" i="1"/>
  <c r="L25" i="1" s="1" a="1"/>
  <c r="L25" i="1" s="1"/>
  <c r="K77" i="1"/>
  <c r="L77" i="1" s="1" a="1"/>
  <c r="L77" i="1" s="1"/>
  <c r="K138" i="1"/>
  <c r="L138" i="1" s="1" a="1"/>
  <c r="L138" i="1" s="1"/>
  <c r="K66" i="1"/>
  <c r="L66" i="1" s="1" a="1"/>
  <c r="L66" i="1" s="1"/>
  <c r="K85" i="1"/>
  <c r="L85" i="1" s="1" a="1"/>
  <c r="L85" i="1" s="1"/>
  <c r="K140" i="1"/>
  <c r="L140" i="1" s="1" a="1"/>
  <c r="L140" i="1" s="1"/>
  <c r="K153" i="1"/>
  <c r="L153" i="1" s="1" a="1"/>
  <c r="L153" i="1" s="1"/>
  <c r="K132" i="1"/>
  <c r="L132" i="1" s="1" a="1"/>
  <c r="L132" i="1" s="1"/>
  <c r="K154" i="1"/>
  <c r="L154" i="1" s="1" a="1"/>
  <c r="L154" i="1" s="1"/>
  <c r="K178" i="1"/>
  <c r="L178" i="1" s="1" a="1"/>
  <c r="L178" i="1" s="1"/>
  <c r="K213" i="1"/>
  <c r="L213" i="1" s="1" a="1"/>
  <c r="L213" i="1" s="1"/>
  <c r="K18" i="1"/>
  <c r="L18" i="1" s="1" a="1"/>
  <c r="L18" i="1" s="1"/>
  <c r="K47" i="1"/>
  <c r="L47" i="1" s="1" a="1"/>
  <c r="L47" i="1" s="1"/>
  <c r="K42" i="1"/>
  <c r="L42" i="1" s="1" a="1"/>
  <c r="L42" i="1" s="1"/>
  <c r="K21" i="1"/>
  <c r="L21" i="1" s="1" a="1"/>
  <c r="L21" i="1" s="1"/>
  <c r="K31" i="1"/>
  <c r="L31" i="1" s="1" a="1"/>
  <c r="L31" i="1" s="1"/>
  <c r="K197" i="1"/>
  <c r="L197" i="1" s="1" a="1"/>
  <c r="L197" i="1" s="1"/>
  <c r="K74" i="1"/>
  <c r="L74" i="1" s="1" a="1"/>
  <c r="L74" i="1" s="1"/>
  <c r="K126" i="1"/>
  <c r="L126" i="1" s="1" a="1"/>
  <c r="L126" i="1" s="1"/>
  <c r="K28" i="1"/>
  <c r="L28" i="1" s="1" a="1"/>
  <c r="L28" i="1" s="1"/>
  <c r="K206" i="1"/>
  <c r="L206" i="1" s="1" a="1"/>
  <c r="L206" i="1" s="1"/>
  <c r="K167" i="1"/>
  <c r="L167" i="1" s="1" a="1"/>
  <c r="L167" i="1" s="1"/>
  <c r="K146" i="1"/>
  <c r="L146" i="1" s="1" a="1"/>
  <c r="L146" i="1" s="1"/>
  <c r="K103" i="1"/>
  <c r="L103" i="1" s="1" a="1"/>
  <c r="L103" i="1" s="1"/>
  <c r="K75" i="1"/>
  <c r="L75" i="1" s="1" a="1"/>
  <c r="L75" i="1" s="1"/>
  <c r="K221" i="1"/>
  <c r="L221" i="1" s="1" a="1"/>
  <c r="L221" i="1" s="1"/>
  <c r="K189" i="1"/>
  <c r="L189" i="1" s="1" a="1"/>
  <c r="L189" i="1" s="1"/>
  <c r="K123" i="1"/>
  <c r="L123" i="1" s="1" a="1"/>
  <c r="L123" i="1" s="1"/>
  <c r="K129" i="1"/>
  <c r="L129" i="1" s="1" a="1"/>
  <c r="L129" i="1" s="1"/>
  <c r="K40" i="1"/>
  <c r="L40" i="1" s="1" a="1"/>
  <c r="L40" i="1" s="1"/>
  <c r="K121" i="1"/>
  <c r="L121" i="1" s="1" a="1"/>
  <c r="L121" i="1" s="1"/>
  <c r="K128" i="1"/>
  <c r="L128" i="1" s="1" a="1"/>
  <c r="L128" i="1" s="1"/>
  <c r="K69" i="1"/>
  <c r="L69" i="1" s="1" a="1"/>
  <c r="L69" i="1" s="1"/>
  <c r="K198" i="1"/>
  <c r="L198" i="1" s="1" a="1"/>
  <c r="L198" i="1" s="1"/>
  <c r="K209" i="1"/>
  <c r="L209" i="1" s="1" a="1"/>
  <c r="L209" i="1" s="1"/>
  <c r="K144" i="1"/>
  <c r="L144" i="1" s="1" a="1"/>
  <c r="L144" i="1" s="1"/>
  <c r="K98" i="1"/>
  <c r="L98" i="1" s="1" a="1"/>
  <c r="L98" i="1" s="1"/>
  <c r="K158" i="1"/>
  <c r="L158" i="1" s="1" a="1"/>
  <c r="L158" i="1" s="1"/>
  <c r="K108" i="1"/>
  <c r="L108" i="1" s="1" a="1"/>
  <c r="L108" i="1" s="1"/>
  <c r="K49" i="1"/>
  <c r="L49" i="1" s="1" a="1"/>
  <c r="L49" i="1" s="1"/>
  <c r="K180" i="1"/>
  <c r="L180" i="1" s="1" a="1"/>
  <c r="L180" i="1" s="1"/>
  <c r="K212" i="1"/>
  <c r="L212" i="1" s="1" a="1"/>
  <c r="L212" i="1" s="1"/>
  <c r="K107" i="1"/>
  <c r="L107" i="1" s="1" a="1"/>
  <c r="L107" i="1" s="1"/>
  <c r="K160" i="1"/>
  <c r="L160" i="1" s="1" a="1"/>
  <c r="L160" i="1" s="1"/>
  <c r="K147" i="1"/>
  <c r="L147" i="1" s="1" a="1"/>
  <c r="L147" i="1" s="1"/>
  <c r="K184" i="1"/>
  <c r="L184" i="1" s="1" a="1"/>
  <c r="L184" i="1" s="1"/>
  <c r="K26" i="1"/>
  <c r="L26" i="1" s="1" a="1"/>
  <c r="L26" i="1" s="1"/>
  <c r="K44" i="1"/>
  <c r="L44" i="1" s="1" a="1"/>
  <c r="L44" i="1" s="1"/>
  <c r="K196" i="1"/>
  <c r="L196" i="1" s="1" a="1"/>
  <c r="L196" i="1" s="1"/>
  <c r="K102" i="1"/>
  <c r="L102" i="1" s="1" a="1"/>
  <c r="L102" i="1" s="1"/>
  <c r="K199" i="1"/>
  <c r="L199" i="1" s="1" a="1"/>
  <c r="L199" i="1" s="1"/>
  <c r="K62" i="1"/>
  <c r="L62" i="1" s="1" a="1"/>
  <c r="L62" i="1" s="1"/>
  <c r="K101" i="1"/>
  <c r="L101" i="1" s="1" a="1"/>
  <c r="L101" i="1" s="1"/>
  <c r="K148" i="1"/>
  <c r="L148" i="1" s="1" a="1"/>
  <c r="L148" i="1" s="1"/>
  <c r="K127" i="1"/>
  <c r="L127" i="1" s="1" a="1"/>
  <c r="L127" i="1" s="1"/>
  <c r="K81" i="1"/>
  <c r="L81" i="1" s="1" a="1"/>
  <c r="L81" i="1" s="1"/>
  <c r="K96" i="1"/>
  <c r="L96" i="1" s="1" a="1"/>
  <c r="L96" i="1" s="1"/>
  <c r="K114" i="1"/>
  <c r="L114" i="1" s="1" a="1"/>
  <c r="L114" i="1" s="1"/>
  <c r="K68" i="1"/>
  <c r="L68" i="1" s="1" a="1"/>
  <c r="L68" i="1" s="1"/>
  <c r="K150" i="1"/>
  <c r="L150" i="1" s="1" a="1"/>
  <c r="L150" i="1" s="1"/>
  <c r="K95" i="1"/>
  <c r="L95" i="1" s="1" a="1"/>
  <c r="L95" i="1" s="1"/>
  <c r="K120" i="1"/>
  <c r="L120" i="1" s="1" a="1"/>
  <c r="L120" i="1" s="1"/>
  <c r="K106" i="1"/>
  <c r="L106" i="1" s="1" a="1"/>
  <c r="L106" i="1" s="1"/>
  <c r="K58" i="1"/>
  <c r="L58" i="1" s="1" a="1"/>
  <c r="L58" i="1" s="1"/>
  <c r="K201" i="1"/>
  <c r="L201" i="1" s="1" a="1"/>
  <c r="L201" i="1" s="1"/>
  <c r="K200" i="1"/>
  <c r="L200" i="1" s="1" a="1"/>
  <c r="L200" i="1" s="1"/>
  <c r="K46" i="1"/>
  <c r="L46" i="1" s="1" a="1"/>
  <c r="L46" i="1" s="1"/>
  <c r="K185" i="1"/>
  <c r="L185" i="1" s="1" a="1"/>
  <c r="L185" i="1" s="1"/>
  <c r="K92" i="1"/>
  <c r="L92" i="1" s="1" a="1"/>
  <c r="L92" i="1" s="1"/>
  <c r="K183" i="1"/>
  <c r="L183" i="1" s="1" a="1"/>
  <c r="L183" i="1" s="1"/>
  <c r="K109" i="1"/>
  <c r="L109" i="1" s="1" a="1"/>
  <c r="L109" i="1" s="1"/>
  <c r="K27" i="1"/>
  <c r="L27" i="1" s="1" a="1"/>
  <c r="L27" i="1" s="1"/>
  <c r="K116" i="1"/>
  <c r="L116" i="1" s="1" a="1"/>
  <c r="L116" i="1" s="1"/>
  <c r="K51" i="1"/>
  <c r="L51" i="1" s="1" a="1"/>
  <c r="L51" i="1" s="1"/>
  <c r="K142" i="1"/>
  <c r="L142" i="1" s="1" a="1"/>
  <c r="L142" i="1" s="1"/>
  <c r="K152" i="1"/>
  <c r="L152" i="1" s="1" a="1"/>
  <c r="L152" i="1" s="1"/>
  <c r="K15" i="1"/>
  <c r="L15" i="1" s="1" a="1"/>
  <c r="L15" i="1" s="1"/>
  <c r="K24" i="1"/>
  <c r="L24" i="1" s="1" a="1"/>
  <c r="L24" i="1" s="1"/>
  <c r="K133" i="1"/>
  <c r="L133" i="1" s="1" a="1"/>
  <c r="L133" i="1" s="1"/>
  <c r="K63" i="1"/>
  <c r="L63" i="1" s="1" a="1"/>
  <c r="L63" i="1" s="1"/>
  <c r="K203" i="1"/>
  <c r="L203" i="1" s="1" a="1"/>
  <c r="L203" i="1" s="1"/>
  <c r="K61" i="1"/>
  <c r="L61" i="1" s="1" a="1"/>
  <c r="L61" i="1" s="1"/>
  <c r="K119" i="1"/>
  <c r="L119" i="1" s="1" a="1"/>
  <c r="L119" i="1" s="1"/>
  <c r="K91" i="1"/>
  <c r="L91" i="1" s="1" a="1"/>
  <c r="L91" i="1" s="1"/>
  <c r="K155" i="1"/>
  <c r="L155" i="1" s="1" a="1"/>
  <c r="L155" i="1" s="1"/>
  <c r="K163" i="1"/>
  <c r="L163" i="1" s="1" a="1"/>
  <c r="L163" i="1" s="1"/>
  <c r="K170" i="1"/>
  <c r="L170" i="1" s="1" a="1"/>
  <c r="L170" i="1" s="1"/>
  <c r="K218" i="1"/>
  <c r="L218" i="1" s="1" a="1"/>
  <c r="L218" i="1" s="1"/>
  <c r="K175" i="1"/>
  <c r="L175" i="1" s="1" a="1"/>
  <c r="L175" i="1" s="1"/>
  <c r="K94" i="1"/>
  <c r="L94" i="1" s="1" a="1"/>
  <c r="L94" i="1" s="1"/>
  <c r="K207" i="1"/>
  <c r="L207" i="1" s="1" a="1"/>
  <c r="L207" i="1" s="1"/>
  <c r="K169" i="1"/>
  <c r="L169" i="1" s="1" a="1"/>
  <c r="L169" i="1" s="1"/>
  <c r="K56" i="1"/>
  <c r="L56" i="1" s="1" a="1"/>
  <c r="L56" i="1" s="1"/>
  <c r="K87" i="1"/>
  <c r="L87" i="1" s="1" a="1"/>
  <c r="L87" i="1" s="1"/>
  <c r="K220" i="1"/>
  <c r="L220" i="1" s="1" a="1"/>
  <c r="L220" i="1" s="1"/>
  <c r="K211" i="1"/>
  <c r="L211" i="1" s="1" a="1"/>
  <c r="L211" i="1" s="1"/>
  <c r="K174" i="1"/>
  <c r="L174" i="1" s="1" a="1"/>
  <c r="L174" i="1" s="1"/>
  <c r="K187" i="1"/>
  <c r="L187" i="1" s="1" a="1"/>
  <c r="L187" i="1" s="1"/>
  <c r="K67" i="1"/>
  <c r="L67" i="1" s="1" a="1"/>
  <c r="L67" i="1" s="1"/>
  <c r="K188" i="1"/>
  <c r="L188" i="1" s="1" a="1"/>
  <c r="L188" i="1" s="1"/>
  <c r="K64" i="1"/>
  <c r="L64" i="1" s="1" a="1"/>
  <c r="L64" i="1" s="1"/>
  <c r="K223" i="1"/>
  <c r="L223" i="1" s="1" a="1"/>
  <c r="L223" i="1" s="1"/>
  <c r="K136" i="1"/>
  <c r="L136" i="1" s="1" a="1"/>
  <c r="L136" i="1" s="1"/>
  <c r="H137" i="1"/>
  <c r="H216" i="1"/>
  <c r="H141" i="1"/>
  <c r="H72" i="1"/>
  <c r="H170" i="1"/>
  <c r="H79" i="1"/>
  <c r="H112" i="1"/>
  <c r="H186" i="1"/>
  <c r="H25" i="1"/>
  <c r="H128" i="1"/>
  <c r="H108" i="1"/>
  <c r="H136" i="1"/>
  <c r="H95" i="1"/>
  <c r="H217" i="1"/>
  <c r="H94" i="1"/>
  <c r="H215" i="1"/>
  <c r="H22" i="1"/>
  <c r="H190" i="1"/>
  <c r="H104" i="1"/>
  <c r="H98" i="1"/>
  <c r="H107" i="1"/>
  <c r="H165" i="1"/>
  <c r="H162" i="1"/>
  <c r="H103" i="1"/>
  <c r="H146" i="1"/>
  <c r="H23" i="1"/>
  <c r="H36" i="1"/>
  <c r="H154" i="1"/>
  <c r="H18" i="1"/>
  <c r="H169" i="1"/>
  <c r="H64" i="1"/>
  <c r="H73" i="1"/>
  <c r="H55" i="1"/>
  <c r="H63" i="1"/>
  <c r="H61" i="1"/>
  <c r="H171" i="1"/>
  <c r="H16" i="1"/>
  <c r="H210" i="1"/>
  <c r="H214" i="1"/>
  <c r="H182" i="1"/>
  <c r="H32" i="1"/>
  <c r="H62" i="1"/>
  <c r="H74" i="1"/>
  <c r="H213" i="1"/>
  <c r="H60" i="1"/>
  <c r="H134" i="1"/>
  <c r="H208" i="1"/>
  <c r="H109" i="1"/>
  <c r="H172" i="1"/>
  <c r="H43" i="1"/>
  <c r="H142" i="1"/>
  <c r="H15" i="1"/>
  <c r="H133" i="1"/>
  <c r="H67" i="1"/>
  <c r="H130" i="1"/>
  <c r="H20" i="1"/>
  <c r="H132" i="1"/>
  <c r="H147" i="1"/>
  <c r="H71" i="1"/>
  <c r="H173" i="1"/>
  <c r="H155" i="1"/>
  <c r="H100" i="1"/>
  <c r="H222" i="1"/>
  <c r="H99" i="1"/>
  <c r="H78" i="1"/>
  <c r="H41" i="1"/>
  <c r="H65" i="1"/>
  <c r="H75" i="1"/>
  <c r="H120" i="1"/>
  <c r="H177" i="1"/>
  <c r="H179" i="1"/>
  <c r="H97" i="1"/>
  <c r="H151" i="1"/>
  <c r="H159" i="1"/>
  <c r="H145" i="1"/>
  <c r="H156" i="1"/>
  <c r="H158" i="1"/>
  <c r="H200" i="1"/>
  <c r="H57" i="1"/>
  <c r="H19" i="1"/>
  <c r="H115" i="1"/>
  <c r="H45" i="1"/>
  <c r="H118" i="1"/>
  <c r="H44" i="1"/>
  <c r="H46" i="1"/>
  <c r="H50" i="1"/>
  <c r="H121" i="1"/>
  <c r="H49" i="1"/>
  <c r="H24" i="1"/>
  <c r="H205" i="1"/>
  <c r="H106" i="1"/>
  <c r="H207" i="1"/>
  <c r="H195" i="1"/>
  <c r="H194" i="1"/>
  <c r="H197" i="1"/>
  <c r="H198" i="1"/>
  <c r="H196" i="1"/>
  <c r="H199" i="1"/>
  <c r="H87" i="1"/>
  <c r="H82" i="1"/>
  <c r="H68" i="1"/>
  <c r="H33" i="1"/>
  <c r="H110" i="1"/>
  <c r="H150" i="1"/>
  <c r="H157" i="1"/>
  <c r="H93" i="1"/>
  <c r="H89" i="1"/>
  <c r="H219" i="1"/>
  <c r="H80" i="1"/>
  <c r="H201" i="1"/>
  <c r="H218" i="1"/>
  <c r="H135" i="1"/>
  <c r="H69" i="1"/>
  <c r="H113" i="1"/>
  <c r="H166" i="1"/>
  <c r="H189" i="1"/>
  <c r="H129" i="1"/>
  <c r="H81" i="1"/>
  <c r="H114" i="1"/>
  <c r="H122" i="1"/>
  <c r="H123" i="1"/>
  <c r="H31" i="1"/>
  <c r="H28" i="1"/>
  <c r="H102" i="1"/>
  <c r="H101" i="1"/>
  <c r="H148" i="1"/>
  <c r="H193" i="1"/>
  <c r="H183" i="1"/>
  <c r="H27" i="1"/>
  <c r="H139" i="1"/>
  <c r="H180" i="1"/>
  <c r="H90" i="1"/>
  <c r="H143" i="1"/>
  <c r="H21" i="1"/>
  <c r="H209" i="1"/>
  <c r="H144" i="1"/>
  <c r="H178" i="1"/>
  <c r="H91" i="1"/>
  <c r="H175" i="1"/>
  <c r="H131" i="1"/>
  <c r="H119" i="1"/>
  <c r="H117" i="1"/>
  <c r="H176" i="1"/>
  <c r="H85" i="1"/>
  <c r="H111" i="1"/>
  <c r="H17" i="1"/>
  <c r="H221" i="1"/>
  <c r="H105" i="1"/>
  <c r="H48" i="1"/>
  <c r="H125" i="1"/>
  <c r="H47" i="1"/>
  <c r="H126" i="1"/>
  <c r="H84" i="1"/>
  <c r="H37" i="1"/>
  <c r="H53" i="1"/>
  <c r="H54" i="1"/>
  <c r="H92" i="1"/>
  <c r="H192" i="1"/>
  <c r="H66" i="1"/>
  <c r="H42" i="1"/>
  <c r="H40" i="1"/>
  <c r="H191" i="1"/>
  <c r="H56" i="1"/>
  <c r="H70" i="1"/>
  <c r="H35" i="1"/>
  <c r="H124" i="1"/>
  <c r="H184" i="1"/>
  <c r="H127" i="1"/>
  <c r="H185" i="1"/>
  <c r="H34" i="1"/>
  <c r="H52" i="1"/>
  <c r="H59" i="1"/>
  <c r="H58" i="1"/>
  <c r="H51" i="1"/>
  <c r="H149" i="1"/>
  <c r="H88" i="1"/>
  <c r="H116" i="1"/>
  <c r="H152" i="1"/>
  <c r="H163" i="1"/>
  <c r="H164" i="1"/>
  <c r="H187" i="1"/>
  <c r="H188" i="1"/>
  <c r="H204" i="1"/>
  <c r="H181" i="1"/>
  <c r="H168" i="1"/>
  <c r="H29" i="1"/>
  <c r="H38" i="1"/>
  <c r="H83" i="1"/>
  <c r="H153" i="1"/>
  <c r="H77" i="1"/>
  <c r="H206" i="1"/>
  <c r="H96" i="1"/>
  <c r="H174" i="1"/>
  <c r="H76" i="1"/>
  <c r="H140" i="1"/>
  <c r="H212" i="1"/>
  <c r="H26" i="1"/>
  <c r="H161" i="1"/>
  <c r="H160" i="1"/>
  <c r="H211" i="1"/>
  <c r="H138" i="1"/>
  <c r="H220" i="1"/>
  <c r="H223" i="1"/>
  <c r="H30" i="1"/>
  <c r="H203" i="1"/>
  <c r="H202" i="1"/>
  <c r="P202" i="1"/>
  <c r="P216" i="1"/>
  <c r="P72" i="1"/>
  <c r="P79" i="1"/>
  <c r="P112" i="1"/>
  <c r="P25" i="1"/>
  <c r="P108" i="1"/>
  <c r="P136" i="1"/>
  <c r="P95" i="1"/>
  <c r="P217" i="1"/>
  <c r="P94" i="1"/>
  <c r="P215" i="1"/>
  <c r="P22" i="1"/>
  <c r="P190" i="1"/>
  <c r="P104" i="1"/>
  <c r="P98" i="1"/>
  <c r="P107" i="1"/>
  <c r="P165" i="1"/>
  <c r="P162" i="1"/>
  <c r="P146" i="1"/>
  <c r="P23" i="1"/>
  <c r="P36" i="1"/>
  <c r="P154" i="1"/>
  <c r="P18" i="1"/>
  <c r="P169" i="1"/>
  <c r="P64" i="1"/>
  <c r="P73" i="1"/>
  <c r="P55" i="1"/>
  <c r="P63" i="1"/>
  <c r="P61" i="1"/>
  <c r="P171" i="1"/>
  <c r="P16" i="1"/>
  <c r="P210" i="1"/>
  <c r="P214" i="1"/>
  <c r="P182" i="1"/>
  <c r="P32" i="1"/>
  <c r="P62" i="1"/>
  <c r="P74" i="1"/>
  <c r="P213" i="1"/>
  <c r="P60" i="1"/>
  <c r="P134" i="1"/>
  <c r="P208" i="1"/>
  <c r="P109" i="1"/>
  <c r="P167" i="1"/>
  <c r="P172" i="1"/>
  <c r="P43" i="1"/>
  <c r="P142" i="1"/>
  <c r="P15" i="1"/>
  <c r="P67" i="1"/>
  <c r="P130" i="1"/>
  <c r="P20" i="1"/>
  <c r="P147" i="1"/>
  <c r="P71" i="1"/>
  <c r="P155" i="1"/>
  <c r="P100" i="1"/>
  <c r="P99" i="1"/>
  <c r="P78" i="1"/>
  <c r="P41" i="1"/>
  <c r="P65" i="1"/>
  <c r="P75" i="1"/>
  <c r="P120" i="1"/>
  <c r="P177" i="1"/>
  <c r="P179" i="1"/>
  <c r="P97" i="1"/>
  <c r="P151" i="1"/>
  <c r="P159" i="1"/>
  <c r="P145" i="1"/>
  <c r="P156" i="1"/>
  <c r="P158" i="1"/>
  <c r="P200" i="1"/>
  <c r="P57" i="1"/>
  <c r="P19" i="1"/>
  <c r="P115" i="1"/>
  <c r="P45" i="1"/>
  <c r="P118" i="1"/>
  <c r="P46" i="1"/>
  <c r="P50" i="1"/>
  <c r="P121" i="1"/>
  <c r="P24" i="1"/>
  <c r="P205" i="1"/>
  <c r="P106" i="1"/>
  <c r="P207" i="1"/>
  <c r="P194" i="1"/>
  <c r="P197" i="1"/>
  <c r="P198" i="1"/>
  <c r="P196" i="1"/>
  <c r="P199" i="1"/>
  <c r="P87" i="1"/>
  <c r="P82" i="1"/>
  <c r="P68" i="1"/>
  <c r="P33" i="1"/>
  <c r="P110" i="1"/>
  <c r="P150" i="1"/>
  <c r="P157" i="1"/>
  <c r="P93" i="1"/>
  <c r="P89" i="1"/>
  <c r="P80" i="1"/>
  <c r="P201" i="1"/>
  <c r="P218" i="1"/>
  <c r="P135" i="1"/>
  <c r="P69" i="1"/>
  <c r="P113" i="1"/>
  <c r="P166" i="1"/>
  <c r="P189" i="1"/>
  <c r="P129" i="1"/>
  <c r="P114" i="1"/>
  <c r="P122" i="1"/>
  <c r="P123" i="1"/>
  <c r="P28" i="1"/>
  <c r="P102" i="1"/>
  <c r="P101" i="1"/>
  <c r="P148" i="1"/>
  <c r="P193" i="1"/>
  <c r="P183" i="1"/>
  <c r="P139" i="1"/>
  <c r="P180" i="1"/>
  <c r="P90" i="1"/>
  <c r="P143" i="1"/>
  <c r="P21" i="1"/>
  <c r="P209" i="1"/>
  <c r="P144" i="1"/>
  <c r="P178" i="1"/>
  <c r="P91" i="1"/>
  <c r="P175" i="1"/>
  <c r="P131" i="1"/>
  <c r="P119" i="1"/>
  <c r="P117" i="1"/>
  <c r="P176" i="1"/>
  <c r="P85" i="1"/>
  <c r="P111" i="1"/>
  <c r="P17" i="1"/>
  <c r="P221" i="1"/>
  <c r="P48" i="1"/>
  <c r="P47" i="1"/>
  <c r="P126" i="1"/>
  <c r="P84" i="1"/>
  <c r="P37" i="1"/>
  <c r="P53" i="1"/>
  <c r="P54" i="1"/>
  <c r="P92" i="1"/>
  <c r="P192" i="1"/>
  <c r="P66" i="1"/>
  <c r="P42" i="1"/>
  <c r="P40" i="1"/>
  <c r="P191" i="1"/>
  <c r="P56" i="1"/>
  <c r="P70" i="1"/>
  <c r="P35" i="1"/>
  <c r="P184" i="1"/>
  <c r="P127" i="1"/>
  <c r="P185" i="1"/>
  <c r="P34" i="1"/>
  <c r="P52" i="1"/>
  <c r="P59" i="1"/>
  <c r="P51" i="1"/>
  <c r="P88" i="1"/>
  <c r="P116" i="1"/>
  <c r="P152" i="1"/>
  <c r="P163" i="1"/>
  <c r="P164" i="1"/>
  <c r="P187" i="1"/>
  <c r="P188" i="1"/>
  <c r="P204" i="1"/>
  <c r="P181" i="1"/>
  <c r="P168" i="1"/>
  <c r="P29" i="1"/>
  <c r="P38" i="1"/>
  <c r="P83" i="1"/>
  <c r="P153" i="1"/>
  <c r="P77" i="1"/>
  <c r="P206" i="1"/>
  <c r="P96" i="1"/>
  <c r="P174" i="1"/>
  <c r="P76" i="1"/>
  <c r="P140" i="1"/>
  <c r="P212" i="1"/>
  <c r="P26" i="1"/>
  <c r="P160" i="1"/>
  <c r="P211" i="1"/>
  <c r="P138" i="1"/>
  <c r="P223" i="1"/>
  <c r="P30" i="1"/>
  <c r="P203" i="1"/>
  <c r="F47" i="4" l="1"/>
  <c r="F95" i="4"/>
  <c r="F112" i="4"/>
  <c r="F66" i="4"/>
  <c r="F56" i="4"/>
  <c r="F79" i="4"/>
  <c r="F119" i="4"/>
  <c r="F48" i="4"/>
  <c r="F21" i="4"/>
  <c r="F60" i="4"/>
  <c r="F67" i="4"/>
  <c r="F83" i="4"/>
  <c r="F34" i="4"/>
  <c r="F115" i="4"/>
  <c r="F16" i="4"/>
  <c r="F72" i="4"/>
  <c r="F41" i="4"/>
  <c r="F40" i="4"/>
  <c r="F74" i="4"/>
  <c r="F36" i="4"/>
  <c r="F69" i="4"/>
  <c r="F123" i="4"/>
  <c r="F75" i="4"/>
  <c r="F23" i="4"/>
  <c r="F111" i="4"/>
  <c r="F17" i="4"/>
  <c r="F120" i="4"/>
  <c r="F45" i="4"/>
  <c r="F70" i="4"/>
  <c r="F76" i="4"/>
  <c r="F80" i="4"/>
  <c r="F18" i="4"/>
  <c r="F30" i="4"/>
  <c r="F68" i="4"/>
  <c r="F77" i="4"/>
  <c r="F81" i="4"/>
  <c r="F28" i="4"/>
  <c r="F59" i="4"/>
  <c r="F55" i="4"/>
  <c r="F78" i="4"/>
  <c r="F7" i="4"/>
  <c r="F121" i="4"/>
  <c r="F87" i="4"/>
  <c r="F73" i="4"/>
  <c r="F94" i="4"/>
  <c r="F118" i="4"/>
  <c r="F96" i="4"/>
  <c r="F91" i="4"/>
  <c r="F22" i="4"/>
  <c r="F42" i="4"/>
  <c r="F11" i="4"/>
  <c r="F88" i="4"/>
  <c r="F50" i="4"/>
  <c r="F53" i="4"/>
  <c r="F89" i="4"/>
  <c r="F33" i="4"/>
  <c r="F85" i="4"/>
  <c r="F113" i="4"/>
  <c r="F82" i="4"/>
  <c r="F51" i="4"/>
  <c r="F44" i="4"/>
  <c r="F35" i="4"/>
  <c r="F110" i="4"/>
  <c r="F122" i="4"/>
  <c r="F57" i="4"/>
  <c r="F8" i="4"/>
  <c r="F52" i="4"/>
  <c r="F117" i="4"/>
  <c r="F24" i="4"/>
  <c r="F20" i="4"/>
  <c r="F13" i="4"/>
  <c r="F61" i="4"/>
  <c r="F64" i="4"/>
  <c r="F99" i="4"/>
  <c r="F84" i="4"/>
  <c r="F93" i="4"/>
  <c r="F25" i="4"/>
  <c r="F63" i="4"/>
  <c r="F39" i="4"/>
  <c r="F38" i="4"/>
  <c r="F29" i="4"/>
  <c r="F109" i="4"/>
  <c r="F86" i="4"/>
  <c r="F9" i="4"/>
  <c r="F98" i="4"/>
  <c r="F26" i="4"/>
  <c r="F32" i="4"/>
  <c r="F14" i="4"/>
  <c r="F97" i="4"/>
  <c r="F62" i="4"/>
  <c r="F58" i="4"/>
  <c r="F27" i="4"/>
  <c r="F71" i="4"/>
  <c r="F90" i="4"/>
  <c r="F19" i="4"/>
  <c r="F54" i="4"/>
  <c r="F12" i="4"/>
  <c r="F15" i="4"/>
  <c r="F116" i="4"/>
  <c r="F114" i="4"/>
  <c r="F43" i="4"/>
  <c r="F92" i="4"/>
  <c r="F49" i="4"/>
  <c r="F10" i="4"/>
  <c r="F31" i="4"/>
  <c r="F65" i="4"/>
  <c r="F46" i="4"/>
  <c r="F8" i="3"/>
  <c r="F34" i="2"/>
  <c r="F48" i="2"/>
  <c r="F62" i="2"/>
  <c r="F22" i="2"/>
  <c r="F45" i="2"/>
  <c r="F32" i="2"/>
  <c r="F51" i="2"/>
  <c r="F41" i="2"/>
  <c r="F39" i="2"/>
  <c r="F24" i="2"/>
  <c r="F18" i="2"/>
  <c r="F40" i="2"/>
  <c r="F61" i="2"/>
  <c r="F44" i="2"/>
  <c r="F46" i="2"/>
  <c r="F54" i="2"/>
  <c r="F42" i="2"/>
  <c r="F33" i="2"/>
  <c r="F59" i="2"/>
  <c r="F23" i="2"/>
  <c r="F35" i="2"/>
  <c r="F27" i="2"/>
  <c r="F49" i="2"/>
  <c r="F20" i="2"/>
  <c r="F17" i="2"/>
  <c r="F26" i="2"/>
  <c r="F21" i="2"/>
  <c r="F19" i="2"/>
  <c r="F47" i="2"/>
  <c r="F25" i="2"/>
  <c r="F60" i="2"/>
  <c r="F28" i="2"/>
  <c r="F29" i="2"/>
  <c r="F43" i="2"/>
  <c r="F53" i="2"/>
  <c r="F57" i="2"/>
  <c r="F63" i="2"/>
  <c r="F58" i="2"/>
  <c r="F36" i="3"/>
  <c r="F38" i="3"/>
  <c r="F15" i="3"/>
  <c r="F25" i="3"/>
  <c r="F37" i="3"/>
  <c r="F30" i="3"/>
  <c r="F18" i="3"/>
  <c r="F41" i="3"/>
  <c r="F7" i="3"/>
  <c r="F35" i="3"/>
  <c r="F33" i="3"/>
  <c r="F28" i="3"/>
  <c r="F31" i="3"/>
  <c r="F13" i="3"/>
  <c r="F40" i="3"/>
  <c r="F10" i="3"/>
  <c r="F23" i="3"/>
  <c r="F9" i="3"/>
  <c r="F24" i="3"/>
  <c r="F27" i="3"/>
  <c r="F17" i="3"/>
  <c r="F16" i="3"/>
  <c r="F22" i="3"/>
  <c r="F39" i="3"/>
  <c r="F20" i="3"/>
  <c r="F21" i="3"/>
  <c r="F26" i="3"/>
  <c r="F11" i="3"/>
  <c r="F12" i="3"/>
  <c r="F19" i="3"/>
  <c r="F29"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45" i="4" s="1"/>
  <c r="W40" i="10"/>
  <c r="U41" i="10"/>
  <c r="V41" i="10"/>
  <c r="W41" i="10"/>
  <c r="Z41" i="10"/>
  <c r="U42" i="10"/>
  <c r="V42" i="10"/>
  <c r="I117" i="4" s="1"/>
  <c r="W42" i="10"/>
  <c r="Z42" i="10"/>
  <c r="U43" i="10"/>
  <c r="V43" i="10"/>
  <c r="I34" i="4" s="1"/>
  <c r="W43" i="10"/>
  <c r="Z43" i="10"/>
  <c r="U44" i="10"/>
  <c r="V44" i="10"/>
  <c r="I51" i="4" s="1"/>
  <c r="W44" i="10"/>
  <c r="Z44" i="10"/>
  <c r="U45" i="10"/>
  <c r="V45" i="10"/>
  <c r="I44" i="4" s="1"/>
  <c r="W45" i="10"/>
  <c r="Z45" i="10"/>
  <c r="U46" i="10"/>
  <c r="V46" i="10"/>
  <c r="I52" i="4" s="1"/>
  <c r="W46" i="10"/>
  <c r="Z46" i="10"/>
  <c r="U47" i="10"/>
  <c r="V47" i="10"/>
  <c r="I50" i="4" s="1"/>
  <c r="W47" i="10"/>
  <c r="Z47" i="10"/>
  <c r="U48" i="10"/>
  <c r="V48" i="10"/>
  <c r="I46"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8" i="4" s="1"/>
  <c r="W53" i="10"/>
  <c r="Z53" i="10"/>
  <c r="U54" i="10"/>
  <c r="V54" i="10"/>
  <c r="I29" i="4" s="1"/>
  <c r="W54" i="10"/>
  <c r="Z54" i="10"/>
  <c r="U55" i="10"/>
  <c r="V55" i="10"/>
  <c r="I43" i="4" s="1"/>
  <c r="W55" i="10"/>
  <c r="Z55" i="10"/>
  <c r="U56" i="10"/>
  <c r="V56" i="10"/>
  <c r="I10" i="4" s="1"/>
  <c r="W56" i="10"/>
  <c r="Z56" i="10"/>
  <c r="U57" i="10"/>
  <c r="V57" i="10"/>
  <c r="I16" i="4" s="1"/>
  <c r="W57" i="10"/>
  <c r="Z57" i="10"/>
  <c r="U58" i="10"/>
  <c r="V58" i="10"/>
  <c r="I28" i="4" s="1"/>
  <c r="W58" i="10"/>
  <c r="Z58" i="10"/>
  <c r="U59" i="10"/>
  <c r="V59" i="10"/>
  <c r="W59" i="10"/>
  <c r="Z59" i="10"/>
  <c r="U60" i="10"/>
  <c r="V60" i="10"/>
  <c r="I23" i="4" s="1"/>
  <c r="W60" i="10"/>
  <c r="Z60" i="10"/>
  <c r="U61" i="10"/>
  <c r="V61" i="10"/>
  <c r="I118" i="4" s="1"/>
  <c r="W61" i="10"/>
  <c r="Z61" i="10"/>
  <c r="U62" i="10"/>
  <c r="V62" i="10"/>
  <c r="I12" i="4" s="1"/>
  <c r="W62" i="10"/>
  <c r="Z62" i="10"/>
  <c r="U63" i="10"/>
  <c r="V63" i="10"/>
  <c r="I30" i="4" s="1"/>
  <c r="W63" i="10"/>
  <c r="Z63" i="10"/>
  <c r="U64" i="10"/>
  <c r="V64" i="10"/>
  <c r="I39" i="4" s="1"/>
  <c r="W64" i="10"/>
  <c r="Z64" i="10"/>
  <c r="U65" i="10"/>
  <c r="V65" i="10"/>
  <c r="I47" i="4" s="1"/>
  <c r="W65" i="10"/>
  <c r="Z65" i="10"/>
  <c r="U66" i="10"/>
  <c r="V66" i="10"/>
  <c r="W66" i="10"/>
  <c r="Z66" i="10"/>
  <c r="U67" i="10"/>
  <c r="V67" i="10"/>
  <c r="I26" i="4" s="1"/>
  <c r="W67" i="10"/>
  <c r="Z67" i="10"/>
  <c r="U68" i="10"/>
  <c r="V68" i="10"/>
  <c r="I41"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8" i="4" s="1"/>
  <c r="W79" i="10"/>
  <c r="Z79" i="10"/>
  <c r="U80" i="10"/>
  <c r="V80" i="10"/>
  <c r="I17" i="4" s="1"/>
  <c r="W80" i="10"/>
  <c r="Z80" i="10"/>
  <c r="U81" i="10"/>
  <c r="V81" i="10"/>
  <c r="I32" i="4" s="1"/>
  <c r="W81" i="10"/>
  <c r="Z81" i="10"/>
  <c r="U82" i="10"/>
  <c r="V82" i="10"/>
  <c r="I35" i="4" s="1"/>
  <c r="W82" i="10"/>
  <c r="Z82" i="10"/>
  <c r="U83" i="10"/>
  <c r="V83" i="10"/>
  <c r="I15" i="4" s="1"/>
  <c r="W83" i="10"/>
  <c r="Z83" i="10"/>
  <c r="U84" i="10"/>
  <c r="V84" i="10"/>
  <c r="I25" i="4" s="1"/>
  <c r="W84" i="10"/>
  <c r="Z84" i="10"/>
  <c r="U85" i="10"/>
  <c r="V85" i="10"/>
  <c r="I36" i="4" s="1"/>
  <c r="W85" i="10"/>
  <c r="Z85" i="10"/>
  <c r="U86" i="10"/>
  <c r="V86" i="10"/>
  <c r="I27" i="4" s="1"/>
  <c r="W86" i="10"/>
  <c r="Z86" i="10"/>
  <c r="U87" i="10"/>
  <c r="V87" i="10"/>
  <c r="W87" i="10"/>
  <c r="Z87" i="10"/>
  <c r="U88" i="10"/>
  <c r="V88" i="10"/>
  <c r="I18" i="4" s="1"/>
  <c r="W88" i="10"/>
  <c r="Z88" i="10"/>
  <c r="U89" i="10"/>
  <c r="V89" i="10"/>
  <c r="I31"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40" i="4" s="1"/>
  <c r="W95" i="10"/>
  <c r="Z95" i="10"/>
  <c r="U96" i="10"/>
  <c r="V96" i="10"/>
  <c r="I95" i="4" s="1"/>
  <c r="W96" i="10"/>
  <c r="Z96" i="10"/>
  <c r="U97" i="10"/>
  <c r="V97" i="10"/>
  <c r="I24" i="4" s="1"/>
  <c r="W97" i="10"/>
  <c r="Z97" i="10"/>
  <c r="U98" i="10"/>
  <c r="V98" i="10"/>
  <c r="I33" i="4" s="1"/>
  <c r="W98" i="10"/>
  <c r="Z98" i="10"/>
  <c r="U99" i="10"/>
  <c r="V99" i="10"/>
  <c r="W99" i="10"/>
  <c r="Z99" i="10"/>
  <c r="U100" i="10"/>
  <c r="V100" i="10"/>
  <c r="W100" i="10"/>
  <c r="Z100" i="10"/>
  <c r="U101" i="10"/>
  <c r="V101" i="10"/>
  <c r="I49"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71" i="4" s="1"/>
  <c r="W141" i="10"/>
  <c r="Z141" i="10"/>
  <c r="U182" i="10"/>
  <c r="V182" i="10"/>
  <c r="I54" i="2" s="1"/>
  <c r="W182" i="10"/>
  <c r="Z182" i="10"/>
  <c r="U183" i="10"/>
  <c r="V183" i="10"/>
  <c r="I53" i="2" s="1"/>
  <c r="W183" i="10"/>
  <c r="Z183" i="10"/>
  <c r="U37" i="10"/>
  <c r="V37" i="10"/>
  <c r="I8" i="4" s="1"/>
  <c r="W37" i="10"/>
  <c r="Z37" i="10"/>
  <c r="U122" i="10"/>
  <c r="V122" i="10"/>
  <c r="I53" i="4" s="1"/>
  <c r="W122" i="10"/>
  <c r="Z122" i="10"/>
  <c r="U126" i="10"/>
  <c r="V126" i="10"/>
  <c r="I69" i="4" s="1"/>
  <c r="W126" i="10"/>
  <c r="Z126" i="10"/>
  <c r="U127" i="10"/>
  <c r="V127" i="10"/>
  <c r="I56" i="4" s="1"/>
  <c r="W127" i="10"/>
  <c r="Z127" i="10"/>
  <c r="U128" i="10"/>
  <c r="V128" i="10"/>
  <c r="I70" i="4" s="1"/>
  <c r="W128" i="10"/>
  <c r="Z128" i="10"/>
  <c r="U129" i="10"/>
  <c r="V129" i="10"/>
  <c r="W129" i="10"/>
  <c r="Z129" i="10"/>
  <c r="U130" i="10"/>
  <c r="V130" i="10"/>
  <c r="I64"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5" i="4" s="1"/>
  <c r="W132" i="10"/>
  <c r="Z132" i="10"/>
  <c r="U124" i="10"/>
  <c r="V124" i="10"/>
  <c r="I59" i="4" s="1"/>
  <c r="W124" i="10"/>
  <c r="U133" i="10"/>
  <c r="V133" i="10"/>
  <c r="I60" i="4" s="1"/>
  <c r="W133" i="10"/>
  <c r="Z133" i="10"/>
  <c r="U134" i="10"/>
  <c r="V134" i="10"/>
  <c r="W134" i="10"/>
  <c r="Z134" i="10"/>
  <c r="U135" i="10"/>
  <c r="V135" i="10"/>
  <c r="I62" i="4" s="1"/>
  <c r="W135" i="10"/>
  <c r="Z135" i="10"/>
  <c r="U136" i="10"/>
  <c r="V136" i="10"/>
  <c r="I67" i="4" s="1"/>
  <c r="W136" i="10"/>
  <c r="Z136" i="10"/>
  <c r="U137" i="10"/>
  <c r="V137" i="10"/>
  <c r="I57" i="4" s="1"/>
  <c r="W137" i="10"/>
  <c r="Z137" i="10"/>
  <c r="U138" i="10"/>
  <c r="V138" i="10"/>
  <c r="W138" i="10"/>
  <c r="Z138" i="10"/>
  <c r="U139" i="10"/>
  <c r="V139" i="10"/>
  <c r="W139" i="10"/>
  <c r="Z139" i="10"/>
  <c r="U140" i="10"/>
  <c r="V140" i="10"/>
  <c r="W140" i="10"/>
  <c r="Z140" i="10"/>
  <c r="U184" i="10"/>
  <c r="V184" i="10"/>
  <c r="I45" i="2" s="1"/>
  <c r="W184" i="10"/>
  <c r="Z184" i="10"/>
  <c r="U185" i="10"/>
  <c r="V185" i="10"/>
  <c r="I44" i="2" s="1"/>
  <c r="W185" i="10"/>
  <c r="Z185" i="10"/>
  <c r="U180" i="10"/>
  <c r="V180" i="10"/>
  <c r="I60" i="2" s="1"/>
  <c r="W180" i="10"/>
  <c r="U186" i="10"/>
  <c r="V186" i="10"/>
  <c r="I57" i="2" s="1"/>
  <c r="W186" i="10"/>
  <c r="Z186" i="10"/>
  <c r="U187" i="10"/>
  <c r="V187" i="10"/>
  <c r="I46" i="2" s="1"/>
  <c r="W187" i="10"/>
  <c r="Z187" i="10"/>
  <c r="U188" i="10"/>
  <c r="V188" i="10"/>
  <c r="I51" i="2" s="1"/>
  <c r="W188" i="10"/>
  <c r="Z188" i="10"/>
  <c r="U189" i="10"/>
  <c r="V189" i="10"/>
  <c r="I52" i="2" s="1"/>
  <c r="W189" i="10"/>
  <c r="Z189" i="10"/>
  <c r="U109" i="10"/>
  <c r="V109" i="10"/>
  <c r="I8" i="2" s="1"/>
  <c r="W109" i="10"/>
  <c r="Z109" i="10"/>
  <c r="U190" i="10"/>
  <c r="V190" i="10"/>
  <c r="I41" i="2" s="1"/>
  <c r="W190" i="10"/>
  <c r="Z190" i="10"/>
  <c r="U191" i="10"/>
  <c r="V191" i="10"/>
  <c r="I34" i="2" s="1"/>
  <c r="W191" i="10"/>
  <c r="Z191" i="10"/>
  <c r="U192" i="10"/>
  <c r="V192" i="10"/>
  <c r="I40" i="2" s="1"/>
  <c r="W192" i="10"/>
  <c r="Z192" i="10"/>
  <c r="U193" i="10"/>
  <c r="V193" i="10"/>
  <c r="W193" i="10"/>
  <c r="Z193" i="10"/>
  <c r="U194" i="10"/>
  <c r="V194" i="10"/>
  <c r="I38"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2" i="2" s="1"/>
  <c r="W200" i="10"/>
  <c r="Z200" i="10"/>
  <c r="U201" i="10"/>
  <c r="V201" i="10"/>
  <c r="I36" i="2" s="1"/>
  <c r="W201" i="10"/>
  <c r="Z201" i="10"/>
  <c r="U202" i="10"/>
  <c r="V202" i="10"/>
  <c r="I33" i="2" s="1"/>
  <c r="W202" i="10"/>
  <c r="Z202" i="10"/>
  <c r="U203" i="10"/>
  <c r="V203" i="10"/>
  <c r="I28" i="2" s="1"/>
  <c r="W203" i="10"/>
  <c r="Z203" i="10"/>
  <c r="U204" i="10"/>
  <c r="V204" i="10"/>
  <c r="I37" i="2" s="1"/>
  <c r="W204" i="10"/>
  <c r="Z204" i="10"/>
  <c r="U205" i="10"/>
  <c r="V205" i="10"/>
  <c r="W205" i="10"/>
  <c r="Z205" i="10"/>
  <c r="U206" i="10"/>
  <c r="V206" i="10"/>
  <c r="W206" i="10"/>
  <c r="Z206" i="10"/>
  <c r="U142" i="10"/>
  <c r="V142" i="10"/>
  <c r="I83" i="4" s="1"/>
  <c r="W142" i="10"/>
  <c r="Z142" i="10"/>
  <c r="U143" i="10"/>
  <c r="V143" i="10"/>
  <c r="I77" i="4" s="1"/>
  <c r="W143" i="10"/>
  <c r="Z143" i="10"/>
  <c r="U144" i="10"/>
  <c r="V144" i="10"/>
  <c r="I78" i="4" s="1"/>
  <c r="W144" i="10"/>
  <c r="Z144" i="10"/>
  <c r="U145" i="10"/>
  <c r="V145" i="10"/>
  <c r="W145" i="10"/>
  <c r="Z145" i="10"/>
  <c r="U146" i="10"/>
  <c r="V146" i="10"/>
  <c r="I79" i="4" s="1"/>
  <c r="W146" i="10"/>
  <c r="Z146" i="10"/>
  <c r="U147" i="10"/>
  <c r="V147" i="10"/>
  <c r="I73" i="4" s="1"/>
  <c r="W147" i="10"/>
  <c r="Z147" i="10"/>
  <c r="U148" i="10"/>
  <c r="V148" i="10"/>
  <c r="W148" i="10"/>
  <c r="Z148" i="10"/>
  <c r="U149" i="10"/>
  <c r="V149" i="10"/>
  <c r="W149" i="10"/>
  <c r="Z149" i="10"/>
  <c r="U150" i="10"/>
  <c r="V150" i="10"/>
  <c r="I85" i="4" s="1"/>
  <c r="W150" i="10"/>
  <c r="Z150" i="10"/>
  <c r="U110" i="10"/>
  <c r="V110" i="10"/>
  <c r="I12" i="2" s="1"/>
  <c r="W110" i="10"/>
  <c r="Z110" i="10"/>
  <c r="U111" i="10"/>
  <c r="V111" i="10"/>
  <c r="I13" i="2" s="1"/>
  <c r="W111" i="10"/>
  <c r="Z111" i="10"/>
  <c r="U151" i="10"/>
  <c r="V151" i="10"/>
  <c r="I72" i="4" s="1"/>
  <c r="W151" i="10"/>
  <c r="Z151" i="10"/>
  <c r="U152" i="10"/>
  <c r="V152" i="10"/>
  <c r="I82" i="4" s="1"/>
  <c r="W152" i="10"/>
  <c r="Z152" i="10"/>
  <c r="U153" i="10"/>
  <c r="V153" i="10"/>
  <c r="I74" i="4" s="1"/>
  <c r="W153" i="10"/>
  <c r="Z153" i="10"/>
  <c r="U207" i="10"/>
  <c r="V207" i="10"/>
  <c r="I29" i="2" s="1"/>
  <c r="W207" i="10"/>
  <c r="Z207" i="10"/>
  <c r="U208" i="10"/>
  <c r="V208" i="10"/>
  <c r="I32" i="2" s="1"/>
  <c r="W208" i="10"/>
  <c r="Z208" i="10"/>
  <c r="U154" i="10"/>
  <c r="V154" i="10"/>
  <c r="I75" i="4" s="1"/>
  <c r="W154" i="10"/>
  <c r="Z154" i="10"/>
  <c r="U155" i="10"/>
  <c r="V155" i="10"/>
  <c r="I81"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84" i="4" l="1"/>
  <c r="I76" i="4"/>
  <c r="I39" i="2"/>
  <c r="I56" i="2"/>
  <c r="I35" i="2"/>
  <c r="I7" i="4"/>
  <c r="I121" i="4"/>
  <c r="I96" i="4"/>
  <c r="I109" i="4"/>
  <c r="I21" i="4"/>
  <c r="I13" i="4"/>
  <c r="I80" i="4"/>
  <c r="I64" i="2"/>
  <c r="I43" i="2"/>
  <c r="I14" i="2"/>
  <c r="I86" i="4"/>
  <c r="I58" i="4"/>
  <c r="I102" i="4"/>
  <c r="I11" i="2"/>
  <c r="I113" i="4"/>
  <c r="I92" i="4"/>
  <c r="I66" i="4"/>
  <c r="I54" i="4"/>
  <c r="I9" i="4"/>
  <c r="I68" i="4"/>
  <c r="I120" i="4"/>
  <c r="I22" i="4"/>
  <c r="I42" i="4"/>
  <c r="I123" i="4"/>
  <c r="I63" i="4"/>
  <c r="I61" i="4"/>
  <c r="I27" i="2"/>
  <c r="I65"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2" i="3"/>
  <c r="Y27" i="10"/>
  <c r="I10" i="3"/>
  <c r="Y25" i="10"/>
  <c r="I39" i="3"/>
  <c r="Y23" i="10"/>
  <c r="I15" i="3"/>
  <c r="Y21" i="10"/>
  <c r="I37" i="3"/>
  <c r="Y19" i="10"/>
  <c r="I14" i="3"/>
  <c r="Y17" i="10"/>
  <c r="I13" i="3"/>
  <c r="Y15" i="10"/>
  <c r="I8" i="3"/>
  <c r="Y13" i="10"/>
  <c r="I26" i="3"/>
  <c r="Y9" i="10"/>
  <c r="I31" i="3"/>
  <c r="Y3" i="10"/>
  <c r="Y168" i="10"/>
  <c r="Y40" i="10"/>
  <c r="Y161" i="10"/>
  <c r="Y159" i="10"/>
  <c r="Y157" i="10"/>
  <c r="I23"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9" i="3"/>
  <c r="Y30" i="10"/>
  <c r="I41" i="3"/>
  <c r="Y28" i="10"/>
  <c r="I11" i="3"/>
  <c r="Y26" i="10"/>
  <c r="I28" i="3"/>
  <c r="Y24" i="10"/>
  <c r="I7" i="3"/>
  <c r="Y22" i="10"/>
  <c r="I9" i="3"/>
  <c r="Y20" i="10"/>
  <c r="I27" i="3"/>
  <c r="Y18" i="10"/>
  <c r="I38" i="3"/>
  <c r="Y16" i="10"/>
  <c r="I33" i="3"/>
  <c r="Y14" i="10"/>
  <c r="I17" i="3"/>
  <c r="Y12" i="10"/>
  <c r="I24"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5"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36" i="1" l="1"/>
  <c r="D33" i="1" l="1"/>
  <c r="C64" i="1"/>
  <c r="D63" i="1"/>
  <c r="E63" i="1" s="1"/>
  <c r="D173" i="1"/>
  <c r="D168" i="1"/>
  <c r="D98" i="1"/>
  <c r="E98" i="1" s="1"/>
  <c r="C109" i="1"/>
  <c r="D164" i="1"/>
  <c r="D85" i="1"/>
  <c r="E85" i="1" s="1"/>
  <c r="D37" i="1"/>
  <c r="D70" i="1"/>
  <c r="D58" i="1"/>
  <c r="D101" i="1"/>
  <c r="D185" i="1"/>
  <c r="E185" i="1" s="1"/>
  <c r="D195" i="1"/>
  <c r="E195" i="1" s="1"/>
  <c r="D222" i="1"/>
  <c r="D67" i="1"/>
  <c r="E67" i="1" s="1"/>
  <c r="D190" i="1"/>
  <c r="E190" i="1" s="1"/>
  <c r="D30" i="1"/>
  <c r="E30" i="1" s="1"/>
  <c r="D87" i="1"/>
  <c r="E87" i="1" s="1"/>
  <c r="D16" i="1"/>
  <c r="E16" i="1" s="1"/>
  <c r="D220" i="1"/>
  <c r="E220" i="1" s="1"/>
  <c r="E222" i="1" l="1"/>
  <c r="E101" i="1"/>
  <c r="E58" i="1"/>
  <c r="E164" i="1"/>
  <c r="E168" i="1"/>
  <c r="E173" i="1"/>
  <c r="E70" i="1"/>
  <c r="E33" i="1"/>
  <c r="E37" i="1"/>
  <c r="D53" i="1"/>
  <c r="D18" i="1"/>
  <c r="E18" i="1" s="1"/>
  <c r="D22" i="1"/>
  <c r="E22" i="1" s="1"/>
  <c r="D119" i="1"/>
  <c r="D183" i="1"/>
  <c r="E183" i="1" s="1"/>
  <c r="D216" i="1"/>
  <c r="E216" i="1" s="1"/>
  <c r="D29" i="1"/>
  <c r="D141" i="1"/>
  <c r="D152" i="1"/>
  <c r="D107" i="1"/>
  <c r="E107" i="1" s="1"/>
  <c r="D182" i="1"/>
  <c r="E182" i="1" s="1"/>
  <c r="D214" i="1"/>
  <c r="E214" i="1" s="1"/>
  <c r="D203" i="1"/>
  <c r="E203" i="1" s="1"/>
  <c r="D187" i="1"/>
  <c r="E187" i="1" s="1"/>
  <c r="D156" i="1"/>
  <c r="E156" i="1" s="1"/>
  <c r="D175" i="1"/>
  <c r="E175" i="1" s="1"/>
  <c r="D142" i="1"/>
  <c r="D171" i="1"/>
  <c r="D108" i="1"/>
  <c r="E108" i="1" s="1"/>
  <c r="D194" i="1"/>
  <c r="E194" i="1" s="1"/>
  <c r="D217" i="1"/>
  <c r="E217" i="1" s="1"/>
  <c r="D218" i="1"/>
  <c r="E218" i="1" s="1"/>
  <c r="D34" i="1"/>
  <c r="D93" i="1"/>
  <c r="E93" i="1" s="1"/>
  <c r="D36" i="1"/>
  <c r="D68" i="1"/>
  <c r="D111" i="1"/>
  <c r="E111" i="1" s="1"/>
  <c r="D157" i="1"/>
  <c r="E157" i="1" s="1"/>
  <c r="D21" i="1"/>
  <c r="E21" i="1" s="1"/>
  <c r="D137" i="1"/>
  <c r="E137" i="1" s="1"/>
  <c r="D212" i="1"/>
  <c r="E212" i="1" s="1"/>
  <c r="D191" i="1"/>
  <c r="D19" i="1"/>
  <c r="D113" i="1"/>
  <c r="E113" i="1" s="1"/>
  <c r="D17" i="1"/>
  <c r="E17" i="1" s="1"/>
  <c r="D24" i="1"/>
  <c r="E24" i="1" s="1"/>
  <c r="D82" i="1"/>
  <c r="E82" i="1" s="1"/>
  <c r="D110" i="1"/>
  <c r="D177" i="1"/>
  <c r="E177" i="1" s="1"/>
  <c r="D74" i="1"/>
  <c r="E74" i="1" s="1"/>
  <c r="D172" i="1"/>
  <c r="E172" i="1" s="1"/>
  <c r="D170" i="1"/>
  <c r="D91" i="1"/>
  <c r="E91" i="1" s="1"/>
  <c r="D121" i="1"/>
  <c r="E121" i="1" s="1"/>
  <c r="D147" i="1"/>
  <c r="E147" i="1" s="1"/>
  <c r="D45" i="1"/>
  <c r="D71" i="1"/>
  <c r="E71" i="1" s="1"/>
  <c r="D88" i="1"/>
  <c r="E88" i="1" s="1"/>
  <c r="D84" i="1"/>
  <c r="E84" i="1" s="1"/>
  <c r="D123" i="1"/>
  <c r="E123" i="1" s="1"/>
  <c r="D46" i="1"/>
  <c r="D129" i="1"/>
  <c r="E129" i="1" s="1"/>
  <c r="D162" i="1"/>
  <c r="E162" i="1" s="1"/>
  <c r="D221" i="1"/>
  <c r="E221" i="1" s="1"/>
  <c r="D211" i="1"/>
  <c r="E211" i="1" s="1"/>
  <c r="D56" i="1"/>
  <c r="E56" i="1" s="1"/>
  <c r="D163" i="1"/>
  <c r="D150" i="1"/>
  <c r="E150" i="1" s="1"/>
  <c r="D115" i="1"/>
  <c r="E115" i="1" s="1"/>
  <c r="D131" i="1"/>
  <c r="D32" i="1"/>
  <c r="E32" i="1" s="1"/>
  <c r="D83" i="1"/>
  <c r="D193" i="1"/>
  <c r="E193" i="1" s="1"/>
  <c r="D124" i="1"/>
  <c r="E124" i="1" s="1"/>
  <c r="D196" i="1"/>
  <c r="E196" i="1" s="1"/>
  <c r="D48" i="1"/>
  <c r="D104" i="1"/>
  <c r="D55" i="1"/>
  <c r="E55" i="1" s="1"/>
  <c r="D79" i="1"/>
  <c r="E79" i="1" s="1"/>
  <c r="D206" i="1"/>
  <c r="E206" i="1" s="1"/>
  <c r="D130" i="1"/>
  <c r="E130" i="1" s="1"/>
  <c r="D140" i="1"/>
  <c r="E140" i="1" s="1"/>
  <c r="D153" i="1"/>
  <c r="E153" i="1" s="1"/>
  <c r="D132" i="1"/>
  <c r="E132" i="1" s="1"/>
  <c r="D80" i="1"/>
  <c r="E80" i="1" s="1"/>
  <c r="D95" i="1"/>
  <c r="E95" i="1" s="1"/>
  <c r="D184" i="1"/>
  <c r="E184" i="1" s="1"/>
  <c r="D75" i="1"/>
  <c r="E75" i="1" s="1"/>
  <c r="D100" i="1"/>
  <c r="D105" i="1"/>
  <c r="D116" i="1"/>
  <c r="D25" i="1"/>
  <c r="E25" i="1" s="1"/>
  <c r="D72" i="1"/>
  <c r="D51" i="1"/>
  <c r="D161" i="1"/>
  <c r="E161" i="1" s="1"/>
  <c r="D205" i="1"/>
  <c r="E205" i="1" s="1"/>
  <c r="D219" i="1"/>
  <c r="E219" i="1" s="1"/>
  <c r="D69" i="1"/>
  <c r="E69" i="1" s="1"/>
  <c r="D38" i="1"/>
  <c r="D155" i="1"/>
  <c r="D97" i="1"/>
  <c r="D103" i="1"/>
  <c r="E103" i="1" s="1"/>
  <c r="D160" i="1"/>
  <c r="E160" i="1" s="1"/>
  <c r="D41" i="1"/>
  <c r="D40" i="1"/>
  <c r="D54" i="1"/>
  <c r="E54" i="1" s="1"/>
  <c r="D62" i="1"/>
  <c r="E62" i="1" s="1"/>
  <c r="D81" i="1"/>
  <c r="E81" i="1" s="1"/>
  <c r="D165" i="1"/>
  <c r="D149" i="1"/>
  <c r="E149" i="1" s="1"/>
  <c r="D66" i="1"/>
  <c r="E66" i="1" s="1"/>
  <c r="D178" i="1"/>
  <c r="E178" i="1" s="1"/>
  <c r="D136" i="1"/>
  <c r="D143" i="1"/>
  <c r="E143" i="1" s="1"/>
  <c r="D23" i="1"/>
  <c r="D144" i="1"/>
  <c r="E144" i="1" s="1"/>
  <c r="D199" i="1"/>
  <c r="E199" i="1" s="1"/>
  <c r="D180" i="1"/>
  <c r="E180" i="1" s="1"/>
  <c r="D99" i="1"/>
  <c r="D26" i="1"/>
  <c r="E26" i="1" s="1"/>
  <c r="D128" i="1"/>
  <c r="E128" i="1" s="1"/>
  <c r="D76" i="1"/>
  <c r="E76" i="1" s="1"/>
  <c r="D50" i="1"/>
  <c r="E50" i="1" s="1"/>
  <c r="D28" i="1"/>
  <c r="E28" i="1" s="1"/>
  <c r="D138" i="1"/>
  <c r="E138" i="1" s="1"/>
  <c r="D202" i="1"/>
  <c r="D174" i="1"/>
  <c r="E174" i="1" s="1"/>
  <c r="D139" i="1"/>
  <c r="E139" i="1" s="1"/>
  <c r="D27" i="1"/>
  <c r="E27" i="1" s="1"/>
  <c r="D201" i="1"/>
  <c r="E201" i="1" s="1"/>
  <c r="D73" i="1"/>
  <c r="D92" i="1"/>
  <c r="E92" i="1" s="1"/>
  <c r="D133" i="1"/>
  <c r="D209" i="1"/>
  <c r="E209" i="1" s="1"/>
  <c r="D181" i="1"/>
  <c r="D127" i="1"/>
  <c r="E127" i="1" s="1"/>
  <c r="D47" i="1"/>
  <c r="D125" i="1"/>
  <c r="D112" i="1"/>
  <c r="E112" i="1" s="1"/>
  <c r="D89" i="1"/>
  <c r="E89" i="1" s="1"/>
  <c r="D64" i="1"/>
  <c r="D96" i="1"/>
  <c r="E96" i="1" s="1"/>
  <c r="D210" i="1"/>
  <c r="E210" i="1" s="1"/>
  <c r="D207" i="1"/>
  <c r="E207" i="1" s="1"/>
  <c r="D146" i="1"/>
  <c r="E146" i="1" s="1"/>
  <c r="D186" i="1"/>
  <c r="E186" i="1" s="1"/>
  <c r="D134" i="1"/>
  <c r="E134" i="1" s="1"/>
  <c r="D169" i="1"/>
  <c r="E169" i="1" s="1"/>
  <c r="D60" i="1"/>
  <c r="E60" i="1" s="1"/>
  <c r="D179" i="1"/>
  <c r="E179" i="1" s="1"/>
  <c r="D213" i="1"/>
  <c r="E213" i="1" s="1"/>
  <c r="D52" i="1"/>
  <c r="D94" i="1"/>
  <c r="E94" i="1" s="1"/>
  <c r="D167" i="1"/>
  <c r="E167" i="1" s="1"/>
  <c r="D198" i="1"/>
  <c r="E198" i="1" s="1"/>
  <c r="D44" i="1"/>
  <c r="D126" i="1"/>
  <c r="D61" i="1"/>
  <c r="E61" i="1" s="1"/>
  <c r="D189" i="1"/>
  <c r="E189" i="1" s="1"/>
  <c r="D135" i="1"/>
  <c r="E135" i="1" s="1"/>
  <c r="D192" i="1"/>
  <c r="D176" i="1"/>
  <c r="E176" i="1" s="1"/>
  <c r="D65" i="1"/>
  <c r="E65" i="1" s="1"/>
  <c r="D204" i="1"/>
  <c r="E204" i="1" s="1"/>
  <c r="D78" i="1"/>
  <c r="E78" i="1" s="1"/>
  <c r="D106" i="1"/>
  <c r="E106" i="1" s="1"/>
  <c r="D188" i="1"/>
  <c r="D15" i="1"/>
  <c r="D114" i="1"/>
  <c r="E114" i="1" s="1"/>
  <c r="D154" i="1"/>
  <c r="E154" i="1" s="1"/>
  <c r="D158" i="1"/>
  <c r="E158" i="1" s="1"/>
  <c r="D35" i="1"/>
  <c r="E35" i="1" s="1"/>
  <c r="D120" i="1"/>
  <c r="E120" i="1" s="1"/>
  <c r="D20" i="1"/>
  <c r="E20" i="1" s="1"/>
  <c r="D109" i="1"/>
  <c r="D151" i="1"/>
  <c r="D200" i="1"/>
  <c r="E200" i="1" s="1"/>
  <c r="D59" i="1"/>
  <c r="D102" i="1"/>
  <c r="D90" i="1"/>
  <c r="E90" i="1" s="1"/>
  <c r="D148" i="1"/>
  <c r="E148" i="1" s="1"/>
  <c r="D77" i="1"/>
  <c r="E77" i="1" s="1"/>
  <c r="D215" i="1"/>
  <c r="D145" i="1"/>
  <c r="D159" i="1"/>
  <c r="E159" i="1" s="1"/>
  <c r="D117" i="1"/>
  <c r="E117" i="1" s="1"/>
  <c r="D166" i="1"/>
  <c r="D197" i="1"/>
  <c r="E197" i="1" s="1"/>
  <c r="D122" i="1"/>
  <c r="E122" i="1" s="1"/>
  <c r="D42" i="1"/>
  <c r="D31" i="1"/>
  <c r="E31" i="1" s="1"/>
  <c r="D208" i="1"/>
  <c r="E208" i="1" s="1"/>
  <c r="D49" i="1"/>
  <c r="E49" i="1" s="1"/>
  <c r="D57" i="1"/>
  <c r="C203" i="1"/>
  <c r="C108" i="1"/>
  <c r="C132" i="1"/>
  <c r="C63" i="1"/>
  <c r="C28" i="1"/>
  <c r="C101" i="1"/>
  <c r="C66" i="1"/>
  <c r="C191" i="1"/>
  <c r="C218" i="1"/>
  <c r="C201" i="1"/>
  <c r="C73" i="1"/>
  <c r="C133" i="1"/>
  <c r="C209" i="1"/>
  <c r="C36" i="1"/>
  <c r="C181" i="1"/>
  <c r="C47" i="1"/>
  <c r="C125" i="1"/>
  <c r="C112" i="1"/>
  <c r="C96" i="1"/>
  <c r="C214" i="1"/>
  <c r="C137" i="1"/>
  <c r="C21" i="1"/>
  <c r="C222" i="1"/>
  <c r="C119" i="1"/>
  <c r="C153" i="1"/>
  <c r="C194" i="1"/>
  <c r="C138" i="1"/>
  <c r="C68" i="1"/>
  <c r="C54" i="1"/>
  <c r="C33" i="1"/>
  <c r="C62" i="1"/>
  <c r="C81" i="1"/>
  <c r="C23" i="1"/>
  <c r="C144" i="1"/>
  <c r="C128" i="1"/>
  <c r="C76" i="1"/>
  <c r="C50" i="1"/>
  <c r="C87" i="1"/>
  <c r="C174" i="1"/>
  <c r="C139" i="1"/>
  <c r="C93" i="1"/>
  <c r="C92" i="1"/>
  <c r="C85" i="1"/>
  <c r="C19" i="1"/>
  <c r="C113" i="1"/>
  <c r="C127" i="1"/>
  <c r="C89" i="1"/>
  <c r="C220" i="1"/>
  <c r="C210" i="1"/>
  <c r="C182" i="1"/>
  <c r="C207" i="1"/>
  <c r="C146" i="1"/>
  <c r="C195" i="1"/>
  <c r="C186" i="1"/>
  <c r="C134" i="1"/>
  <c r="C169" i="1"/>
  <c r="C95" i="1"/>
  <c r="C60" i="1"/>
  <c r="C179" i="1"/>
  <c r="C164" i="1"/>
  <c r="C152" i="1"/>
  <c r="C213" i="1"/>
  <c r="C52" i="1"/>
  <c r="C94" i="1"/>
  <c r="C167" i="1"/>
  <c r="C198" i="1"/>
  <c r="C44" i="1"/>
  <c r="C126" i="1"/>
  <c r="C61" i="1"/>
  <c r="C189" i="1"/>
  <c r="C135" i="1"/>
  <c r="C192" i="1"/>
  <c r="C130" i="1"/>
  <c r="C53" i="1"/>
  <c r="C67" i="1"/>
  <c r="C165" i="1"/>
  <c r="C149" i="1"/>
  <c r="C178" i="1"/>
  <c r="C199" i="1"/>
  <c r="C180" i="1"/>
  <c r="C202" i="1"/>
  <c r="C16" i="1"/>
  <c r="C183" i="1"/>
  <c r="C34" i="1"/>
  <c r="C27" i="1"/>
  <c r="C157" i="1"/>
  <c r="C65" i="1"/>
  <c r="C17" i="1"/>
  <c r="C24" i="1"/>
  <c r="C204" i="1"/>
  <c r="C78" i="1"/>
  <c r="C82" i="1"/>
  <c r="C106" i="1"/>
  <c r="C188" i="1"/>
  <c r="C110" i="1"/>
  <c r="C15" i="1"/>
  <c r="C114" i="1"/>
  <c r="C154" i="1"/>
  <c r="C177" i="1"/>
  <c r="C37" i="1"/>
  <c r="C74" i="1"/>
  <c r="C158" i="1"/>
  <c r="C172" i="1"/>
  <c r="C35" i="1"/>
  <c r="C120" i="1"/>
  <c r="C20" i="1"/>
  <c r="C151" i="1"/>
  <c r="C170" i="1"/>
  <c r="C200" i="1"/>
  <c r="C184" i="1"/>
  <c r="C59" i="1"/>
  <c r="C102" i="1"/>
  <c r="C90" i="1"/>
  <c r="C148" i="1"/>
  <c r="C77" i="1"/>
  <c r="C116" i="1"/>
  <c r="C117" i="1"/>
  <c r="C57" i="1"/>
  <c r="C42" i="1"/>
  <c r="C161" i="1"/>
  <c r="C49" i="1"/>
  <c r="C215" i="1"/>
  <c r="C75" i="1"/>
  <c r="C30" i="1"/>
  <c r="C190" i="1"/>
  <c r="C145" i="1"/>
  <c r="C100" i="1"/>
  <c r="C105" i="1"/>
  <c r="C72" i="1"/>
  <c r="C159" i="1"/>
  <c r="C98" i="1"/>
  <c r="C166" i="1"/>
  <c r="C197" i="1"/>
  <c r="C122" i="1"/>
  <c r="C31" i="1"/>
  <c r="C107" i="1"/>
  <c r="C205" i="1"/>
  <c r="C219" i="1"/>
  <c r="C69" i="1"/>
  <c r="C121" i="1"/>
  <c r="C147" i="1"/>
  <c r="C45" i="1"/>
  <c r="C58" i="1"/>
  <c r="C71" i="1"/>
  <c r="C88" i="1"/>
  <c r="C38" i="1"/>
  <c r="C155" i="1"/>
  <c r="C212" i="1"/>
  <c r="C84" i="1"/>
  <c r="C97" i="1"/>
  <c r="C103" i="1"/>
  <c r="C123" i="1"/>
  <c r="C46" i="1"/>
  <c r="C160" i="1"/>
  <c r="C129" i="1"/>
  <c r="C41" i="1"/>
  <c r="C111" i="1"/>
  <c r="C25" i="1"/>
  <c r="C91" i="1"/>
  <c r="C51" i="1"/>
  <c r="C208" i="1"/>
  <c r="C162" i="1"/>
  <c r="C216" i="1"/>
  <c r="C217" i="1"/>
  <c r="C221" i="1"/>
  <c r="C22" i="1"/>
  <c r="C211" i="1"/>
  <c r="C29" i="1"/>
  <c r="C56" i="1"/>
  <c r="C185" i="1"/>
  <c r="C18" i="1"/>
  <c r="C173" i="1"/>
  <c r="C70" i="1"/>
  <c r="C163" i="1"/>
  <c r="C150" i="1"/>
  <c r="C115" i="1"/>
  <c r="C43" i="1"/>
  <c r="C118" i="1"/>
  <c r="C131" i="1"/>
  <c r="C32" i="1"/>
  <c r="C83" i="1"/>
  <c r="C193" i="1"/>
  <c r="C124" i="1"/>
  <c r="C196" i="1"/>
  <c r="C48" i="1"/>
  <c r="C104" i="1"/>
  <c r="C55" i="1"/>
  <c r="C79" i="1"/>
  <c r="C206" i="1"/>
  <c r="C187" i="1"/>
  <c r="C176" i="1"/>
  <c r="C142" i="1"/>
  <c r="C40" i="1"/>
  <c r="C80" i="1"/>
  <c r="C156" i="1"/>
  <c r="C175" i="1"/>
  <c r="D43" i="1"/>
  <c r="D118" i="1"/>
  <c r="C140" i="1"/>
  <c r="C171" i="1"/>
  <c r="C141" i="1"/>
  <c r="C168" i="1"/>
  <c r="C136" i="1"/>
  <c r="C143" i="1"/>
  <c r="C99"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26" i="1"/>
  <c r="E104" i="1"/>
  <c r="E102" i="1"/>
  <c r="E59" i="1"/>
  <c r="E125" i="1"/>
  <c r="E105" i="1"/>
  <c r="E100" i="1"/>
  <c r="E99" i="1"/>
  <c r="H8" i="1"/>
  <c r="E136" i="1"/>
  <c r="C8" i="1"/>
  <c r="E8" i="1"/>
  <c r="D8" i="1"/>
  <c r="K8" i="1"/>
  <c r="J8" i="1"/>
  <c r="F8" i="1"/>
  <c r="I8" i="1"/>
  <c r="G8" i="1"/>
  <c r="E192" i="1"/>
  <c r="E47" i="1"/>
  <c r="E40" i="1"/>
  <c r="E191" i="1"/>
  <c r="E141" i="1"/>
  <c r="E145" i="1"/>
  <c r="E151" i="1"/>
  <c r="E52" i="1"/>
  <c r="E41" i="1"/>
  <c r="E34" i="1"/>
  <c r="E29" i="1"/>
  <c r="E215" i="1"/>
  <c r="E109" i="1"/>
  <c r="E188" i="1"/>
  <c r="E181" i="1"/>
  <c r="E83" i="1"/>
  <c r="E45" i="1"/>
  <c r="E110" i="1"/>
  <c r="E42" i="1"/>
  <c r="E202" i="1"/>
  <c r="E51" i="1"/>
  <c r="E118" i="1"/>
  <c r="E64" i="1"/>
  <c r="E133" i="1"/>
  <c r="E165" i="1"/>
  <c r="E97" i="1"/>
  <c r="E72" i="1"/>
  <c r="E131" i="1"/>
  <c r="E119" i="1"/>
  <c r="E43" i="1"/>
  <c r="E44" i="1"/>
  <c r="E155" i="1"/>
  <c r="E46" i="1"/>
  <c r="E166" i="1"/>
  <c r="E73" i="1"/>
  <c r="E23" i="1"/>
  <c r="E38" i="1"/>
  <c r="E116" i="1"/>
  <c r="E48" i="1"/>
  <c r="E170" i="1"/>
  <c r="E171" i="1"/>
  <c r="E57" i="1"/>
  <c r="E163" i="1"/>
  <c r="E19" i="1"/>
  <c r="E36" i="1"/>
  <c r="E142" i="1"/>
  <c r="E152"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58" i="4"/>
  <c r="B34" i="13"/>
  <c r="AB208" i="10"/>
  <c r="B39" i="2"/>
  <c r="AB52" i="10"/>
  <c r="B59" i="4"/>
  <c r="AB149" i="10"/>
  <c r="B47" i="2"/>
  <c r="B44" i="13"/>
  <c r="AB162" i="10"/>
  <c r="B12" i="3"/>
  <c r="B42" i="2"/>
  <c r="B62" i="2"/>
  <c r="AB123" i="10"/>
  <c r="B39" i="4"/>
  <c r="AB108" i="10"/>
  <c r="B17" i="2"/>
  <c r="AB131" i="10"/>
  <c r="B27" i="2"/>
  <c r="AB165" i="10"/>
  <c r="B24" i="3"/>
  <c r="B48" i="4"/>
  <c r="AB110" i="10"/>
  <c r="B41" i="2"/>
  <c r="AB29" i="10"/>
  <c r="B15" i="13"/>
  <c r="AB79" i="10"/>
  <c r="B36" i="4"/>
  <c r="AB93" i="10"/>
  <c r="AB161" i="10"/>
  <c r="B45" i="2"/>
  <c r="B33" i="3"/>
  <c r="B24" i="2"/>
  <c r="B47" i="4"/>
  <c r="AB107" i="10"/>
  <c r="B28" i="2"/>
  <c r="B16" i="3"/>
  <c r="B54" i="4"/>
  <c r="B13" i="13"/>
  <c r="B61" i="4"/>
  <c r="AB83" i="10"/>
  <c r="AB66" i="10"/>
  <c r="B14" i="3"/>
  <c r="AB179" i="10"/>
  <c r="B19" i="4"/>
  <c r="AB91" i="10"/>
  <c r="B10" i="13"/>
  <c r="B109" i="4"/>
  <c r="B19" i="2"/>
  <c r="AB115" i="10"/>
  <c r="B3" i="13"/>
  <c r="AB130" i="10"/>
  <c r="B34" i="3"/>
  <c r="B35" i="3"/>
  <c r="AB64" i="10"/>
  <c r="AB190" i="10"/>
  <c r="B120" i="4"/>
  <c r="B8" i="3"/>
  <c r="B60" i="4"/>
  <c r="AB155" i="10"/>
  <c r="AB78" i="10"/>
  <c r="B12" i="4"/>
  <c r="AB22" i="10"/>
  <c r="AB205" i="10"/>
  <c r="AB23" i="10"/>
  <c r="B28" i="3"/>
  <c r="B30" i="4"/>
  <c r="AB117" i="10"/>
  <c r="B29" i="3"/>
  <c r="B90" i="4"/>
  <c r="AB90" i="10"/>
  <c r="B13" i="3"/>
  <c r="AB89" i="10"/>
  <c r="AB14" i="10"/>
  <c r="B37" i="3"/>
  <c r="B94" i="4"/>
  <c r="B32" i="13"/>
  <c r="AB49" i="10"/>
  <c r="AB61" i="10"/>
  <c r="B119" i="4"/>
  <c r="AB178" i="10"/>
  <c r="AB96" i="10"/>
  <c r="AB201" i="10"/>
  <c r="B116" i="4"/>
  <c r="B44" i="4"/>
  <c r="B40" i="3"/>
  <c r="AB202" i="10"/>
  <c r="AB192" i="10"/>
  <c r="AB80" i="10"/>
  <c r="AB141" i="10"/>
  <c r="AB76" i="10"/>
  <c r="AB17" i="10"/>
  <c r="B122" i="4"/>
  <c r="B10" i="3"/>
  <c r="B29" i="4"/>
  <c r="B17" i="3"/>
  <c r="B41" i="13"/>
  <c r="B23" i="2"/>
  <c r="B53" i="4"/>
  <c r="B42" i="4"/>
  <c r="AB60" i="10"/>
  <c r="AB99" i="10"/>
  <c r="B8" i="4"/>
  <c r="B23" i="3"/>
  <c r="B45" i="4"/>
  <c r="B16" i="4"/>
  <c r="B7" i="3"/>
  <c r="AB156" i="10"/>
  <c r="AB85" i="10"/>
  <c r="B35" i="4"/>
  <c r="B98" i="4"/>
  <c r="AB102" i="10"/>
  <c r="AB138" i="10"/>
  <c r="B52" i="4"/>
  <c r="B9" i="13"/>
  <c r="B22" i="2"/>
  <c r="AB81" i="10"/>
  <c r="B96" i="4"/>
  <c r="B31" i="2"/>
  <c r="AB119" i="10"/>
  <c r="B38" i="3"/>
  <c r="B15" i="3"/>
  <c r="B5" i="13"/>
  <c r="AB122" i="10"/>
  <c r="B21" i="2"/>
  <c r="B25" i="4"/>
  <c r="AB111" i="10"/>
  <c r="AB112" i="10"/>
  <c r="B64" i="4"/>
  <c r="AB184" i="10"/>
  <c r="B59" i="13"/>
  <c r="B20" i="4"/>
  <c r="AB16" i="10"/>
  <c r="AB68" i="10"/>
  <c r="B8" i="13"/>
  <c r="B57" i="13"/>
  <c r="AB196" i="10"/>
  <c r="AB41" i="10"/>
  <c r="AB55" i="10"/>
  <c r="B79" i="4"/>
  <c r="B39" i="13"/>
  <c r="B77" i="4"/>
  <c r="B48" i="2"/>
  <c r="B65" i="4"/>
  <c r="AB176" i="10"/>
  <c r="B56" i="4"/>
  <c r="AB53" i="10"/>
  <c r="AB25" i="10"/>
  <c r="B63" i="2"/>
  <c r="B78" i="4"/>
  <c r="AB44" i="10"/>
  <c r="B34" i="2"/>
  <c r="AB175" i="10"/>
  <c r="B40" i="13"/>
  <c r="AB172" i="10"/>
  <c r="B33" i="4"/>
  <c r="B7" i="4"/>
  <c r="B121" i="4"/>
  <c r="B51" i="13"/>
  <c r="B84" i="4"/>
  <c r="B33" i="2"/>
  <c r="B39" i="3"/>
  <c r="AB207" i="10"/>
  <c r="B10" i="4"/>
  <c r="B83" i="4"/>
  <c r="AB154" i="10"/>
  <c r="AB84" i="10"/>
  <c r="AB82" i="10"/>
  <c r="B68" i="4"/>
  <c r="B60" i="13"/>
  <c r="AB92" i="10"/>
  <c r="AB28" i="10"/>
  <c r="B49" i="4"/>
  <c r="B115" i="4"/>
  <c r="B62" i="4"/>
  <c r="B43" i="4"/>
  <c r="B63" i="4"/>
  <c r="AB71" i="10"/>
  <c r="B42" i="13"/>
  <c r="B32" i="3"/>
  <c r="AB106" i="10"/>
  <c r="B46" i="13"/>
  <c r="AB21" i="10"/>
  <c r="AB43" i="10"/>
  <c r="AB121" i="10"/>
  <c r="AB204" i="10"/>
  <c r="B82" i="4"/>
  <c r="B72" i="4"/>
  <c r="B18" i="3"/>
  <c r="AB109" i="10"/>
  <c r="B112" i="4"/>
  <c r="B27" i="4"/>
  <c r="B18" i="2"/>
  <c r="AB195" i="10"/>
  <c r="AB47" i="10"/>
  <c r="AB206" i="10"/>
  <c r="AB169" i="10"/>
  <c r="AB62" i="10"/>
  <c r="B50" i="13"/>
  <c r="B9" i="4"/>
  <c r="B41" i="3"/>
  <c r="B123" i="4"/>
  <c r="B20" i="2"/>
  <c r="AB32" i="10"/>
  <c r="B26" i="2"/>
  <c r="B27" i="13"/>
  <c r="AB153" i="10"/>
  <c r="B40" i="2"/>
  <c r="AB159" i="10"/>
  <c r="AB142" i="10"/>
  <c r="B92" i="4"/>
  <c r="B7" i="13"/>
  <c r="B30" i="3"/>
  <c r="AB143" i="10"/>
  <c r="B21" i="4"/>
  <c r="AB3" i="10"/>
  <c r="AB144" i="10"/>
  <c r="AB137" i="10"/>
  <c r="B47" i="13"/>
  <c r="AB152" i="10"/>
  <c r="B41" i="4"/>
  <c r="B85" i="4"/>
  <c r="B36" i="13"/>
  <c r="B31" i="4"/>
  <c r="B14" i="13"/>
  <c r="AB58" i="10"/>
  <c r="B55" i="13"/>
  <c r="AB163" i="10"/>
  <c r="AB6" i="10"/>
  <c r="B93" i="4"/>
  <c r="AB35" i="10"/>
  <c r="AB164" i="10"/>
  <c r="AB98" i="10"/>
  <c r="B20" i="3"/>
  <c r="AB198" i="10"/>
  <c r="B29" i="2"/>
  <c r="AB167" i="10"/>
  <c r="AB40" i="10"/>
  <c r="B38" i="4"/>
  <c r="AB145" i="10"/>
  <c r="B53" i="13"/>
  <c r="AB42" i="10"/>
  <c r="AB74" i="10"/>
  <c r="AB200" i="10"/>
  <c r="B50" i="2"/>
  <c r="AB87" i="10"/>
  <c r="AB127" i="10"/>
  <c r="AB46" i="10"/>
  <c r="B49" i="13"/>
  <c r="AB86" i="10"/>
  <c r="B34" i="4"/>
  <c r="B27" i="3"/>
  <c r="B88" i="4"/>
  <c r="AB24" i="10"/>
  <c r="AB150" i="10"/>
  <c r="AB65" i="10"/>
  <c r="B25" i="2"/>
  <c r="AB95" i="10"/>
  <c r="AB126" i="10"/>
  <c r="AB38" i="10"/>
  <c r="AB173" i="10"/>
  <c r="B113" i="4"/>
  <c r="AB50" i="10"/>
  <c r="B25" i="3"/>
  <c r="B87" i="4"/>
  <c r="AB177" i="10"/>
  <c r="AB135" i="10"/>
  <c r="AB45" i="10"/>
  <c r="AB5" i="10"/>
  <c r="B43" i="13"/>
  <c r="AB171" i="10"/>
  <c r="AB18" i="10"/>
  <c r="B64" i="2"/>
  <c r="AB34" i="10"/>
  <c r="B40" i="4"/>
  <c r="B58" i="13"/>
  <c r="AB97" i="10"/>
  <c r="AB30" i="10"/>
  <c r="B51" i="2"/>
  <c r="B110" i="4"/>
  <c r="AB197" i="10"/>
  <c r="AB166" i="10"/>
  <c r="AB199" i="10"/>
  <c r="B50" i="4"/>
  <c r="B32" i="2"/>
  <c r="AB39" i="10"/>
  <c r="AB33" i="10"/>
  <c r="AB15" i="10"/>
  <c r="B37" i="13"/>
  <c r="B33" i="13"/>
  <c r="AB168" i="10"/>
  <c r="B36" i="3"/>
  <c r="AB125" i="10"/>
  <c r="B38" i="13"/>
  <c r="B71" i="4"/>
  <c r="AB8" i="10"/>
  <c r="B69" i="4"/>
  <c r="AB26" i="10"/>
  <c r="B43" i="2"/>
  <c r="AB101" i="10"/>
  <c r="AB120" i="10"/>
  <c r="AB183" i="10"/>
  <c r="B4" i="13"/>
  <c r="AB181" i="10"/>
  <c r="AB11" i="10"/>
  <c r="B74" i="4"/>
  <c r="AB128" i="10"/>
  <c r="B73" i="4"/>
  <c r="AB129" i="10"/>
  <c r="B48" i="13"/>
  <c r="B67" i="4"/>
  <c r="B45" i="13"/>
  <c r="AB100" i="10"/>
  <c r="B99" i="4"/>
  <c r="B59" i="2"/>
  <c r="B61" i="2"/>
  <c r="B91" i="4"/>
  <c r="B37" i="2"/>
  <c r="B9" i="3"/>
  <c r="AB63" i="10"/>
  <c r="B15" i="4"/>
  <c r="AB104" i="10"/>
  <c r="B6" i="13"/>
  <c r="AB94" i="10"/>
  <c r="B97" i="4"/>
  <c r="B28" i="4"/>
  <c r="AB139" i="10"/>
  <c r="AB75" i="10"/>
  <c r="AB77" i="10"/>
  <c r="B60" i="2"/>
  <c r="B12" i="13"/>
  <c r="B117" i="4"/>
  <c r="B57" i="2"/>
  <c r="AB51" i="10"/>
  <c r="AB105" i="10"/>
  <c r="AB7" i="10"/>
  <c r="AB67" i="10"/>
  <c r="AB170" i="10"/>
  <c r="AB194" i="10"/>
  <c r="AB69" i="10"/>
  <c r="AB157" i="10"/>
  <c r="B54" i="2"/>
  <c r="AB56" i="10"/>
  <c r="B26" i="3"/>
  <c r="AB13" i="10"/>
  <c r="AB151" i="10"/>
  <c r="AB4" i="10"/>
  <c r="AB133" i="10"/>
  <c r="AB185" i="10"/>
  <c r="B89" i="4"/>
  <c r="B52" i="2"/>
  <c r="AB180" i="10"/>
  <c r="AB158" i="10"/>
  <c r="AB186" i="10"/>
  <c r="B44" i="2"/>
  <c r="B14" i="4"/>
  <c r="AB27" i="10"/>
  <c r="B54" i="13"/>
  <c r="AB124" i="10"/>
  <c r="B21" i="3"/>
  <c r="AB193" i="10"/>
  <c r="AB160" i="10"/>
  <c r="B22" i="3"/>
  <c r="B35" i="13"/>
  <c r="AB132" i="10"/>
  <c r="B46" i="4"/>
  <c r="B58" i="2"/>
  <c r="AB31" i="10"/>
  <c r="B11" i="3"/>
  <c r="B49" i="2"/>
  <c r="AB113" i="10"/>
  <c r="AB182" i="10"/>
  <c r="AB72" i="10"/>
  <c r="AB187" i="10"/>
  <c r="B57" i="4"/>
  <c r="AB59" i="10"/>
  <c r="B76" i="4"/>
  <c r="B80" i="4"/>
  <c r="B31" i="3"/>
  <c r="B22" i="4"/>
  <c r="B66" i="4"/>
  <c r="AB36" i="10"/>
  <c r="B52" i="13"/>
  <c r="AB191" i="10"/>
  <c r="B11" i="13"/>
  <c r="AB116" i="10"/>
  <c r="AB73" i="10"/>
  <c r="B118" i="4"/>
  <c r="AB114" i="10"/>
  <c r="AB48" i="10"/>
  <c r="AB147" i="10"/>
  <c r="B17" i="4"/>
  <c r="B95" i="4"/>
  <c r="AB188" i="10"/>
  <c r="B11" i="4"/>
  <c r="B56" i="13"/>
  <c r="B36" i="2"/>
  <c r="B114" i="4"/>
  <c r="B23" i="4"/>
  <c r="B38" i="2"/>
  <c r="AB146" i="10"/>
  <c r="AB37" i="10"/>
  <c r="B75" i="4"/>
  <c r="B19" i="3"/>
  <c r="AB88" i="10"/>
  <c r="AB136" i="10"/>
  <c r="AB134" i="10"/>
  <c r="AB140" i="10"/>
  <c r="B32" i="4"/>
  <c r="B46" i="2"/>
  <c r="AB103" i="10"/>
  <c r="AB203" i="10"/>
  <c r="AB57" i="10"/>
  <c r="AB10" i="10"/>
  <c r="AB20" i="10"/>
  <c r="B70" i="4"/>
  <c r="B35" i="2"/>
  <c r="AB9" i="10"/>
  <c r="B86" i="4"/>
  <c r="AB70" i="10"/>
  <c r="B18" i="4"/>
  <c r="B81" i="4"/>
  <c r="AB19" i="10"/>
  <c r="AB118" i="10"/>
  <c r="B55" i="4"/>
  <c r="AB12" i="10"/>
  <c r="B53" i="2"/>
  <c r="B13" i="4"/>
  <c r="B111" i="4"/>
  <c r="AB189" i="10"/>
  <c r="B24" i="4"/>
  <c r="AB54" i="10"/>
  <c r="AB148" i="10"/>
  <c r="B26" i="4"/>
  <c r="AB174" i="10"/>
  <c r="B51" i="4"/>
  <c r="B9" i="2"/>
  <c r="B15" i="2"/>
  <c r="B10" i="2"/>
  <c r="B8" i="2"/>
  <c r="B104" i="4"/>
  <c r="B7" i="2"/>
  <c r="B101" i="4"/>
  <c r="B11" i="2"/>
  <c r="B106" i="4"/>
  <c r="AB209" i="10"/>
  <c r="B12" i="2"/>
  <c r="B55" i="2"/>
  <c r="B102" i="4"/>
  <c r="B16" i="2"/>
  <c r="B56" i="2"/>
  <c r="B107" i="4"/>
  <c r="B37"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<sst xmlns="http://schemas.openxmlformats.org/spreadsheetml/2006/main" count="22670" uniqueCount="7128">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</sst>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167640</xdr:rowOff>
        </xdr:from>
        <xdr:to>
          <xdr:col>7</xdr:col>
          <xdr:colOff>53340</xdr:colOff>
          <xdr:row>108</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V6" sqref="V6"/>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73</v>
      </c>
      <c r="C8" s="235">
        <f>COUNTIFS($D$15:$D$303,C2,$I$15:$I$303, "&gt;="&amp;A1, $I$15:$I$303, "&lt;="&amp;B1)</f>
        <v>1</v>
      </c>
      <c r="D8" s="236">
        <f>COUNTIFS($D$15:$D$303,D2,$I$15:$I$303, "&gt;="&amp;A1, $I$15:$I$303,"&lt;="&amp;B1)</f>
        <v>0</v>
      </c>
      <c r="E8" s="236">
        <f>COUNTIFS($D$15:$D$303,E2,$I$15:$I$303, "&gt;="&amp;A1, $I$15:$I$303,"&lt;="&amp;B1)</f>
        <v>2</v>
      </c>
      <c r="F8" s="236">
        <f>COUNTIFS($D$15:$D$303,F2,$I$15:$I$303, "&gt;="&amp;A1, $I$15:$I$303,"&lt;="&amp;B1)</f>
        <v>1</v>
      </c>
      <c r="G8" s="236">
        <f>COUNTIFS($D$15:$D$303,G2,$I$15:$I$303, "&gt;="&amp;A1, $I$15:$I$303,"&lt;="&amp;B1)</f>
        <v>3</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30</v>
      </c>
      <c r="M8" s="236">
        <f>COUNTIFS($D$15:$D$303,M2,$I$15:$I$303, "&gt;="&amp;A1, $I$15:$I$303,"&lt;="&amp;B1)</f>
        <v>12</v>
      </c>
      <c r="N8" s="236">
        <f>COUNTIFS($D$15:$D$303,N2,$I$15:$I$303, "&gt;="&amp;A1, $I$15:$I$303,"&lt;="&amp;B1)</f>
        <v>2</v>
      </c>
      <c r="O8" s="237">
        <f>COUNTIFS($D$15:$D$303,O2,$I$15:$I$303, "&gt;="&amp;A1, $I$15:$I$303,"&lt;="&amp;B1)</f>
        <v>12</v>
      </c>
      <c r="P8" s="140"/>
      <c r="Q8" s="140"/>
      <c r="R8" s="140"/>
      <c r="S8" s="140"/>
      <c r="T8" s="140"/>
      <c r="V8" s="140"/>
    </row>
    <row r="9" spans="1:26" s="5" customFormat="1" ht="18.600000000000001" customHeight="1">
      <c r="A9" s="243" t="s">
        <v>4137</v>
      </c>
      <c r="B9" s="244">
        <f t="shared" si="0"/>
        <v>137</v>
      </c>
      <c r="C9" s="168">
        <f t="shared" ref="C9:J9" si="6">C3-C8-C6-C5</f>
        <v>0</v>
      </c>
      <c r="D9" s="169">
        <f t="shared" si="6"/>
        <v>3</v>
      </c>
      <c r="E9" s="169">
        <f t="shared" si="6"/>
        <v>15</v>
      </c>
      <c r="F9" s="169">
        <f t="shared" si="6"/>
        <v>1</v>
      </c>
      <c r="G9" s="169">
        <f t="shared" si="6"/>
        <v>10</v>
      </c>
      <c r="H9" s="169">
        <f t="shared" si="6"/>
        <v>0</v>
      </c>
      <c r="I9" s="169">
        <f t="shared" si="6"/>
        <v>10</v>
      </c>
      <c r="J9" s="169">
        <f t="shared" si="6"/>
        <v>0</v>
      </c>
      <c r="K9" s="169">
        <f>K3-K8-K6-K5</f>
        <v>15</v>
      </c>
      <c r="L9" s="169">
        <f t="shared" ref="L9:O9" si="7">L3-L8-L6-L5</f>
        <v>41</v>
      </c>
      <c r="M9" s="169">
        <f t="shared" si="7"/>
        <v>18</v>
      </c>
      <c r="N9" s="169">
        <f t="shared" si="7"/>
        <v>1</v>
      </c>
      <c r="O9" s="288">
        <f t="shared" si="7"/>
        <v>23</v>
      </c>
      <c r="P9" s="144"/>
      <c r="Q9" s="144"/>
      <c r="R9" s="144"/>
      <c r="S9" s="144"/>
      <c r="T9" s="144"/>
      <c r="V9" s="144"/>
    </row>
    <row r="10" spans="1:26" ht="18.600000000000001" customHeight="1">
      <c r="A10" s="166" t="s">
        <v>4429</v>
      </c>
      <c r="B10" s="167">
        <f t="shared" ref="B10:B11" si="8">SUM(C10:O10)</f>
        <v>61</v>
      </c>
      <c r="C10" s="235">
        <f>COUNTIFS($D$15:$D$300,C2,$N$15:$N$300,$D$1)</f>
        <v>1</v>
      </c>
      <c r="D10" s="236">
        <f t="shared" ref="D10:O10" si="9">COUNTIFS($D$15:$D$300,D2,$N$15:$N$300,$D$1)</f>
        <v>0</v>
      </c>
      <c r="E10" s="236">
        <f t="shared" si="9"/>
        <v>1</v>
      </c>
      <c r="F10" s="236">
        <f t="shared" si="9"/>
        <v>1</v>
      </c>
      <c r="G10" s="236">
        <f t="shared" si="9"/>
        <v>2</v>
      </c>
      <c r="H10" s="236">
        <f t="shared" si="9"/>
        <v>5</v>
      </c>
      <c r="I10" s="236">
        <f t="shared" si="9"/>
        <v>2</v>
      </c>
      <c r="J10" s="236">
        <f t="shared" si="9"/>
        <v>0</v>
      </c>
      <c r="K10" s="236">
        <f t="shared" si="9"/>
        <v>0</v>
      </c>
      <c r="L10" s="236">
        <f t="shared" si="9"/>
        <v>29</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100</v>
      </c>
      <c r="C11" s="238">
        <f>C4-C10</f>
        <v>0</v>
      </c>
      <c r="D11" s="239">
        <f t="shared" ref="D11:O11" si="11">D4-D10</f>
        <v>1</v>
      </c>
      <c r="E11" s="239">
        <f t="shared" si="11"/>
        <v>10</v>
      </c>
      <c r="F11" s="239">
        <f t="shared" si="11"/>
        <v>0</v>
      </c>
      <c r="G11" s="239">
        <f t="shared" si="11"/>
        <v>6</v>
      </c>
      <c r="H11" s="239">
        <f t="shared" si="11"/>
        <v>0</v>
      </c>
      <c r="I11" s="239">
        <f t="shared" si="11"/>
        <v>9</v>
      </c>
      <c r="J11" s="239">
        <f t="shared" si="11"/>
        <v>0</v>
      </c>
      <c r="K11" s="239">
        <f t="shared" si="11"/>
        <v>11</v>
      </c>
      <c r="L11" s="239">
        <f t="shared" si="11"/>
        <v>34</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0.34433962264150941</v>
      </c>
      <c r="C12" s="289">
        <f t="shared" ref="C12:K12" si="13">C8/(C3-C6)</f>
        <v>1</v>
      </c>
      <c r="D12" s="290">
        <f t="shared" si="13"/>
        <v>0</v>
      </c>
      <c r="E12" s="290">
        <f t="shared" si="13"/>
        <v>0.11764705882352941</v>
      </c>
      <c r="F12" s="290">
        <f t="shared" si="13"/>
        <v>0.5</v>
      </c>
      <c r="G12" s="290">
        <f t="shared" si="13"/>
        <v>0.23076923076923078</v>
      </c>
      <c r="H12" s="290">
        <f t="shared" si="13"/>
        <v>1</v>
      </c>
      <c r="I12" s="290">
        <f t="shared" si="13"/>
        <v>0.16666666666666666</v>
      </c>
      <c r="J12" s="290" t="e">
        <f t="shared" si="13"/>
        <v>#DIV/0!</v>
      </c>
      <c r="K12" s="290">
        <f t="shared" si="13"/>
        <v>0</v>
      </c>
      <c r="L12" s="290">
        <f>L8/(L3-L6)</f>
        <v>0.42253521126760563</v>
      </c>
      <c r="M12" s="290">
        <f t="shared" ref="M12:O12" si="14">M8/(M3-M6)</f>
        <v>0.4</v>
      </c>
      <c r="N12" s="290">
        <f t="shared" si="14"/>
        <v>0.66666666666666663</v>
      </c>
      <c r="O12" s="291">
        <f t="shared" si="14"/>
        <v>0.34285714285714286</v>
      </c>
      <c r="P12" s="140"/>
      <c r="Q12" s="140"/>
      <c r="R12" s="140"/>
      <c r="S12" s="140"/>
      <c r="T12" s="140"/>
      <c r="V12" s="140"/>
    </row>
    <row r="13" spans="1:26" ht="18.600000000000001" customHeight="1">
      <c r="A13" s="171" t="s">
        <v>4145</v>
      </c>
      <c r="B13" s="292">
        <f>B10/B4</f>
        <v>0.37888198757763975</v>
      </c>
      <c r="C13" s="245">
        <f>C10/C4</f>
        <v>1</v>
      </c>
      <c r="D13" s="172">
        <f t="shared" ref="D13:O13" si="15">D10/D4</f>
        <v>0</v>
      </c>
      <c r="E13" s="172">
        <f t="shared" si="15"/>
        <v>9.0909090909090912E-2</v>
      </c>
      <c r="F13" s="172">
        <f t="shared" si="15"/>
        <v>1</v>
      </c>
      <c r="G13" s="172">
        <f t="shared" si="15"/>
        <v>0.25</v>
      </c>
      <c r="H13" s="172">
        <f t="shared" si="15"/>
        <v>1</v>
      </c>
      <c r="I13" s="172">
        <f t="shared" si="15"/>
        <v>0.18181818181818182</v>
      </c>
      <c r="J13" s="172" t="e">
        <f t="shared" si="15"/>
        <v>#DIV/0!</v>
      </c>
      <c r="K13" s="172">
        <f t="shared" si="15"/>
        <v>0</v>
      </c>
      <c r="L13" s="172">
        <f t="shared" si="15"/>
        <v>0.46031746031746029</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 t="shared" ref="H15:H78" si="16">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7" t="str" cm="1">
        <f t="array" ref="L15">IF(K15&gt;0,IFERROR(HYPERLINK("#'IM'!AC"&amp;MATCH(1,(IM!$F$1:$F$7700=A15)*(ISNUMBER(SEARCH("PMQ2",IM!$AC$1:$AC$7700))),0),"檢核"),"未登錄"),"")</f>
        <v>檢核</v>
      </c>
      <c r="M15" s="229" t="str" cm="1">
        <f t="array" ref="M15">IF(AND(SUMPRODUCT((IM!F2:F672=A15)*(ISNUMBER(SEARCH("EDC", IM!AC2:AC672))))&gt;0), "EDC", "")</f>
        <v>EDC</v>
      </c>
      <c r="N15" s="263" t="str" cm="1">
        <f t="array" ref="N15">IF(AND(SUMPRODUCT((IM!F2:F672=A15)*(ISNUMBER(SEARCH("STAR", IM!AC2:AC672))))&gt;0), "STAR", "")</f>
        <v>STAR</v>
      </c>
      <c r="O15" s="255" cm="1">
        <f t="array" ref="O15">IFERROR(INDEX(IM!$X$2:$X$650, MATCH(1, (IM!$F$2:$F$650=A15) * (ISNUMBER(SEARCH($D$1, IM!$AC$2:$AC$650))), 0)), "")</f>
        <v>45748.488888888889</v>
      </c>
      <c r="P15" s="189" t="str">
        <f t="shared" ref="P15:P78" si="17">(TEXT(I15,"yyyymmdd"))&amp;$T$3&amp;A15&amp;$T$3&amp;B15&amp;$R$3</f>
        <v>20250401-D070-三重重新店(定保)</v>
      </c>
      <c r="Q15" s="267"/>
      <c r="R15" s="267"/>
      <c r="S15" s="267"/>
      <c r="T15" s="267"/>
      <c r="U15" s="258">
        <f t="shared" ref="U15:U78" si="18">IF(AND(W15&lt;&gt;"", X15&lt;&gt;""), 2, IF(OR(W15&lt;&gt;"", X15&lt;&gt;""), 1, 0))</f>
        <v>2</v>
      </c>
      <c r="V15" s="246" t="str">
        <f t="shared" ref="V15:V78" si="19">IF(I15="", "未到店",
   IF(M15&lt;&gt;"EDC", "異常",
      IF(OR(AND(Y15="STAR", N15="STAR"), AND(Y15&lt;&gt;"STAR", N15="")), "已完工", "異常")
   )
)</f>
        <v>已完工</v>
      </c>
      <c r="W15" s="260" t="s">
        <v>4177</v>
      </c>
      <c r="X15" s="261" t="s">
        <v>4178</v>
      </c>
      <c r="Y15" s="269" t="str">
        <f t="shared" ref="Y15:Y46" si="20">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 t="shared" si="16"/>
        <v>20250401-3818-板橋漢江店(定保)</v>
      </c>
      <c r="I16" s="190">
        <v>45748.568749999999</v>
      </c>
      <c r="J16" s="188" cm="1">
        <f t="array" ref="J16">IFERROR(INDEX(IM!$X$2:$X$650, MATCH(1, (IM!$F$2:$F$650=A16) * (ISNUMBER(SEARCH($C$1, IM!$AC$2:$AC$650))), 0)), "")</f>
        <v>45748.568749999999</v>
      </c>
      <c r="K16" s="159">
        <f>COUNTIFS(IM!F:F,A16,IM!AD:AD,"O",IM!X:X,"&gt;="&amp;$A$1,IM!X:X,"&lt;="&amp;$B$1)</f>
        <v>1</v>
      </c>
      <c r="L16" s="228" t="str" cm="1">
        <f t="array" ref="L16">IF(K16&gt;0,IFERROR(HYPERLINK("#'IM'!AC"&amp;MATCH(1,(IM!$F$1:$F$7700=A16)*(ISNUMBER(SEARCH("PMQ2",IM!$AC$1:$AC$7700))),0),"檢核"),"未登錄"),"")</f>
        <v>檢核</v>
      </c>
      <c r="M16" s="230" t="str" cm="1">
        <f t="array" ref="M16">IF(AND(SUMPRODUCT((IM!F2:F693=A16)*(ISNUMBER(SEARCH("EDC", IM!AC2:AC693))))&gt;0), "EDC", "")</f>
        <v>EDC</v>
      </c>
      <c r="N16" s="264" t="str" cm="1">
        <f t="array" ref="N16">IF(AND(SUMPRODUCT((IM!F2:F693=A16)*(ISNUMBER(SEARCH("STAR", IM!AC2:AC693))))&gt;0), "STAR", "")</f>
        <v>STAR</v>
      </c>
      <c r="O16" s="256" cm="1">
        <f t="array" ref="O16">IFERROR(INDEX(IM!$X$2:$X$650, MATCH(1, (IM!$F$2:$F$650=A16) * (ISNUMBER(SEARCH($D$1, IM!$AC$2:$AC$650))), 0)), "")</f>
        <v>45748.568749999999</v>
      </c>
      <c r="P16" s="191" t="str">
        <f t="shared" si="17"/>
        <v>20250401-3818-板橋漢江店(定保)</v>
      </c>
      <c r="Q16" s="267"/>
      <c r="R16" s="267"/>
      <c r="S16" s="267"/>
      <c r="T16" s="267"/>
      <c r="U16" s="258">
        <f t="shared" si="18"/>
        <v>1</v>
      </c>
      <c r="V16" s="246" t="str">
        <f t="shared" si="19"/>
        <v>已完工</v>
      </c>
      <c r="W16" s="268"/>
      <c r="X16" s="269" t="s">
        <v>4212</v>
      </c>
      <c r="Y16" s="269" t="str">
        <f t="shared" si="20"/>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 t="shared" si="16"/>
        <v>20250401-3147-北縣板明店(定保)</v>
      </c>
      <c r="I17" s="190">
        <v>45748.603472222225</v>
      </c>
      <c r="J17" s="188" cm="1">
        <f t="array" ref="J17">IFERROR(INDEX(IM!$X$2:$X$650, MATCH(1, (IM!$F$2:$F$650=A17) * (ISNUMBER(SEARCH($C$1, IM!$AC$2:$AC$650))), 0)), "")</f>
        <v>45748.603472222225</v>
      </c>
      <c r="K17" s="159">
        <f>COUNTIFS(IM!F:F,A17,IM!AD:AD,"O",IM!X:X,"&gt;="&amp;$A$1,IM!X:X,"&lt;="&amp;$B$1)</f>
        <v>1</v>
      </c>
      <c r="L17" s="228" t="str" cm="1">
        <f t="array" ref="L17">IF(K17&gt;0,IFERROR(HYPERLINK("#'IM'!AC"&amp;MATCH(1,(IM!$F$1:$F$7700=A17)*(ISNUMBER(SEARCH("PMQ2",IM!$AC$1:$AC$7700))),0),"檢核"),"未登錄"),"")</f>
        <v>檢核</v>
      </c>
      <c r="M17" s="230" t="str" cm="1">
        <f t="array" ref="M17">IF(AND(SUMPRODUCT((IM!F2:F729=A17)*(ISNUMBER(SEARCH("EDC", IM!AC2:AC729))))&gt;0), "EDC", "")</f>
        <v>EDC</v>
      </c>
      <c r="N17" s="264" t="str" cm="1">
        <f t="array" ref="N17">IF(AND(SUMPRODUCT((IM!F2:F729=A17)*(ISNUMBER(SEARCH("STAR", IM!AC2:AC729))))&gt;0), "STAR", "")</f>
        <v>STAR</v>
      </c>
      <c r="O17" s="256" cm="1">
        <f t="array" ref="O17">IFERROR(INDEX(IM!$X$2:$X$650, MATCH(1, (IM!$F$2:$F$650=A17) * (ISNUMBER(SEARCH($D$1, IM!$AC$2:$AC$650))), 0)), "")</f>
        <v>45748.603472222225</v>
      </c>
      <c r="P17" s="191" t="str">
        <f t="shared" si="17"/>
        <v>20250401-3147-北縣板明店(定保)</v>
      </c>
      <c r="Q17" s="267"/>
      <c r="R17" s="267"/>
      <c r="S17" s="267"/>
      <c r="T17" s="267"/>
      <c r="U17" s="258">
        <f t="shared" si="18"/>
        <v>1</v>
      </c>
      <c r="V17" s="246" t="str">
        <f t="shared" si="19"/>
        <v>已完工</v>
      </c>
      <c r="W17" s="268"/>
      <c r="X17" s="269" t="s">
        <v>4252</v>
      </c>
      <c r="Y17" s="269" t="str">
        <f t="shared" si="20"/>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 t="shared" si="16"/>
        <v>20250401-4241-三重仁義店(定保)</v>
      </c>
      <c r="I18" s="190">
        <v>45748.661805555559</v>
      </c>
      <c r="J18" s="188" cm="1">
        <f t="array" ref="J18">IFERROR(INDEX(IM!$X$2:$X$650, MATCH(1, (IM!$F$2:$F$650=A18) * (ISNUMBER(SEARCH($C$1, IM!$AC$2:$AC$650))), 0)), "")</f>
        <v>45748.661805555559</v>
      </c>
      <c r="K18" s="159">
        <f>COUNTIFS(IM!F:F,A18,IM!AD:AD,"O",IM!X:X,"&gt;="&amp;$A$1,IM!X:X,"&lt;="&amp;$B$1)</f>
        <v>1</v>
      </c>
      <c r="L18" s="228" t="str" cm="1">
        <f t="array" ref="L18">IF(K18&gt;0,IFERROR(HYPERLINK("#'IM'!AC"&amp;MATCH(1,(IM!$F$1:$F$7700=A18)*(ISNUMBER(SEARCH("PMQ2",IM!$AC$1:$AC$7700))),0),"檢核"),"未登錄"),"")</f>
        <v>檢核</v>
      </c>
      <c r="M18" s="230" t="str" cm="1">
        <f t="array" ref="M18">IF(AND(SUMPRODUCT((IM!F2:F788=A18)*(ISNUMBER(SEARCH("EDC", IM!AC2:AC788))))&gt;0), "EDC", "")</f>
        <v>EDC</v>
      </c>
      <c r="N18" s="264" t="str" cm="1">
        <f t="array" ref="N18">IF(AND(SUMPRODUCT((IM!F2:F788=A18)*(ISNUMBER(SEARCH("STAR", IM!AC2:AC788))))&gt;0), "STAR", "")</f>
        <v>STAR</v>
      </c>
      <c r="O18" s="256" cm="1">
        <f t="array" ref="O18">IFERROR(INDEX(IM!$X$2:$X$650, MATCH(1, (IM!$F$2:$F$650=A18) * (ISNUMBER(SEARCH($D$1, IM!$AC$2:$AC$650))), 0)), "")</f>
        <v>45748.661805555559</v>
      </c>
      <c r="P18" s="191" t="str">
        <f t="shared" si="17"/>
        <v>20250401-4241-三重仁義店(定保)</v>
      </c>
      <c r="Q18" s="267"/>
      <c r="R18" s="267"/>
      <c r="S18" s="267"/>
      <c r="T18" s="267"/>
      <c r="U18" s="258">
        <f t="shared" si="18"/>
        <v>2</v>
      </c>
      <c r="V18" s="246" t="str">
        <f t="shared" si="19"/>
        <v>已完工</v>
      </c>
      <c r="W18" s="3" t="s">
        <v>4326</v>
      </c>
      <c r="X18" s="5" t="s">
        <v>4327</v>
      </c>
      <c r="Y18" s="5" t="str">
        <f t="shared" si="20"/>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 t="shared" si="16"/>
        <v>20250402-3627-三重重新橋(定保)</v>
      </c>
      <c r="I19" s="190">
        <v>45749.465277777781</v>
      </c>
      <c r="J19" s="188" cm="1">
        <f t="array" ref="J19">IFERROR(INDEX(IM!$X$2:$X$650, MATCH(1, (IM!$F$2:$F$650=A19) * (ISNUMBER(SEARCH($C$1, IM!$AC$2:$AC$650))), 0)), "")</f>
        <v>45749.465277777781</v>
      </c>
      <c r="K19" s="159">
        <f>COUNTIFS(IM!F:F,A19,IM!AD:AD,"O",IM!X:X,"&gt;="&amp;$A$1,IM!X:X,"&lt;="&amp;$B$1)</f>
        <v>1</v>
      </c>
      <c r="L19" s="228" t="str" cm="1">
        <f t="array" ref="L19">IF(K19&gt;0,IFERROR(HYPERLINK("#'IM'!AC"&amp;MATCH(1,(IM!$F$1:$F$7700=A19)*(ISNUMBER(SEARCH("PMQ2",IM!$AC$1:$AC$7700))),0),"檢核"),"未登錄"),"")</f>
        <v>檢核</v>
      </c>
      <c r="M19" s="230" t="str" cm="1">
        <f t="array" ref="M19">IF(AND(SUMPRODUCT((IM!F2:F671=A19)*(ISNUMBER(SEARCH("EDC", IM!AC2:AC671))))&gt;0), "EDC", "")</f>
        <v>EDC</v>
      </c>
      <c r="N19" s="264" t="str" cm="1">
        <f t="array" ref="N19">IF(AND(SUMPRODUCT((IM!F2:F671=A19)*(ISNUMBER(SEARCH("STAR", IM!AC2:AC671))))&gt;0), "STAR", "")</f>
        <v>STAR</v>
      </c>
      <c r="O19" s="256" cm="1">
        <f t="array" ref="O19">IFERROR(INDEX(IM!$X$2:$X$650, MATCH(1, (IM!$F$2:$F$650=A19) * (ISNUMBER(SEARCH($D$1, IM!$AC$2:$AC$650))), 0)), "")</f>
        <v>45749.465277777781</v>
      </c>
      <c r="P19" s="191" t="str">
        <f t="shared" si="17"/>
        <v>20250402-3627-三重重新橋(定保)</v>
      </c>
      <c r="Q19" s="267"/>
      <c r="R19" s="267"/>
      <c r="S19" s="267"/>
      <c r="T19" s="267"/>
      <c r="U19" s="258">
        <f t="shared" si="18"/>
        <v>2</v>
      </c>
      <c r="V19" s="246" t="str">
        <f t="shared" si="19"/>
        <v>已完工</v>
      </c>
      <c r="W19" s="3" t="s">
        <v>4175</v>
      </c>
      <c r="X19" s="5" t="s">
        <v>4176</v>
      </c>
      <c r="Y19" s="5" t="str">
        <f t="shared" si="20"/>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 t="shared" si="16"/>
        <v>20250402-4084-三重昌隆店(定保)</v>
      </c>
      <c r="I20" s="190">
        <v>45749.504861111112</v>
      </c>
      <c r="J20" s="188" cm="1">
        <f t="array" ref="J20">IFERROR(INDEX(IM!$X$2:$X$650, MATCH(1, (IM!$F$2:$F$650=A20) * (ISNUMBER(SEARCH($C$1, IM!$AC$2:$AC$650))), 0)), "")</f>
        <v>45749.504861111112</v>
      </c>
      <c r="K20" s="159">
        <f>COUNTIFS(IM!F:F,A20,IM!AD:AD,"O",IM!X:X,"&gt;="&amp;$A$1,IM!X:X,"&lt;="&amp;$B$1)</f>
        <v>1</v>
      </c>
      <c r="L20" s="228" t="str" cm="1">
        <f t="array" ref="L20">IF(K20&gt;0,IFERROR(HYPERLINK("#'IM'!AC"&amp;MATCH(1,(IM!$F$1:$F$7700=A20)*(ISNUMBER(SEARCH("PMQ2",IM!$AC$1:$AC$7700))),0),"檢核"),"未登錄"),"")</f>
        <v>檢核</v>
      </c>
      <c r="M20" s="230" t="str" cm="1">
        <f t="array" ref="M20">IF(AND(SUMPRODUCT((IM!F2:F673=A20)*(ISNUMBER(SEARCH("EDC", IM!AC2:AC673))))&gt;0), "EDC", "")</f>
        <v>EDC</v>
      </c>
      <c r="N20" s="264" t="str" cm="1">
        <f t="array" ref="N20">IF(AND(SUMPRODUCT((IM!F2:F673=A20)*(ISNUMBER(SEARCH("STAR", IM!AC2:AC673))))&gt;0), "STAR", "")</f>
        <v>STAR</v>
      </c>
      <c r="O20" s="256" cm="1">
        <f t="array" ref="O20">IFERROR(INDEX(IM!$X$2:$X$650, MATCH(1, (IM!$F$2:$F$650=A20) * (ISNUMBER(SEARCH($D$1, IM!$AC$2:$AC$650))), 0)), "")</f>
        <v>45749.504861111112</v>
      </c>
      <c r="P20" s="191" t="str">
        <f t="shared" si="17"/>
        <v>20250402-4084-三重昌隆店(定保)</v>
      </c>
      <c r="Q20" s="140"/>
      <c r="R20" s="140"/>
      <c r="S20" s="140"/>
      <c r="T20" s="140"/>
      <c r="U20" s="258">
        <f t="shared" si="18"/>
        <v>2</v>
      </c>
      <c r="V20" s="246" t="str">
        <f t="shared" si="19"/>
        <v>已完工</v>
      </c>
      <c r="W20" s="3" t="s">
        <v>4179</v>
      </c>
      <c r="X20" s="5" t="s">
        <v>4180</v>
      </c>
      <c r="Y20" s="5" t="str">
        <f t="shared" si="20"/>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 t="shared" si="16"/>
        <v>20250402-4260-三重重高店(定保)</v>
      </c>
      <c r="I21" s="190">
        <v>45749.620138888888</v>
      </c>
      <c r="J21" s="188" cm="1">
        <f t="array" ref="J21">IFERROR(INDEX(IM!$X$2:$X$650, MATCH(1, (IM!$F$2:$F$650=A21) * (ISNUMBER(SEARCH($C$1, IM!$AC$2:$AC$650))), 0)), "")</f>
        <v>45749.620138888888</v>
      </c>
      <c r="K21" s="159">
        <f>COUNTIFS(IM!F:F,A21,IM!AD:AD,"O",IM!X:X,"&gt;="&amp;$A$1,IM!X:X,"&lt;="&amp;$B$1)</f>
        <v>1</v>
      </c>
      <c r="L21" s="228" t="str" cm="1">
        <f t="array" ref="L21">IF(K21&gt;0,IFERROR(HYPERLINK("#'IM'!AC"&amp;MATCH(1,(IM!$F$1:$F$7700=A21)*(ISNUMBER(SEARCH("PMQ2",IM!$AC$1:$AC$7700))),0),"檢核"),"未登錄"),"")</f>
        <v>檢核</v>
      </c>
      <c r="M21" s="230" t="str" cm="1">
        <f t="array" ref="M21">IF(AND(SUMPRODUCT((IM!F2:F674=A21)*(ISNUMBER(SEARCH("EDC", IM!AC2:AC674))))&gt;0), "EDC", "")</f>
        <v>EDC</v>
      </c>
      <c r="N21" s="264" t="str" cm="1">
        <f t="array" ref="N21">IF(AND(SUMPRODUCT((IM!F2:F674=A21)*(ISNUMBER(SEARCH("STAR", IM!AC2:AC674))))&gt;0), "STAR", "")</f>
        <v>STAR</v>
      </c>
      <c r="O21" s="256" cm="1">
        <f t="array" ref="O21">IFERROR(INDEX(IM!$X$2:$X$650, MATCH(1, (IM!$F$2:$F$650=A21) * (ISNUMBER(SEARCH($D$1, IM!$AC$2:$AC$650))), 0)), "")</f>
        <v>45749.620138888888</v>
      </c>
      <c r="P21" s="191" t="str">
        <f t="shared" si="17"/>
        <v>20250402-4260-三重重高店(定保)</v>
      </c>
      <c r="Q21" s="140"/>
      <c r="R21" s="140"/>
      <c r="S21" s="140"/>
      <c r="T21" s="140"/>
      <c r="U21" s="258">
        <f t="shared" si="18"/>
        <v>2</v>
      </c>
      <c r="V21" s="246" t="str">
        <f t="shared" si="19"/>
        <v>已完工</v>
      </c>
      <c r="W21" s="3" t="s">
        <v>4181</v>
      </c>
      <c r="X21" s="5" t="s">
        <v>4182</v>
      </c>
      <c r="Y21" s="5" t="str">
        <f t="shared" si="20"/>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 t="shared" si="16"/>
        <v>20250402-2221-板橋雙十店(定保)</v>
      </c>
      <c r="I22" s="190">
        <v>45749.659722222219</v>
      </c>
      <c r="J22" s="188" cm="1">
        <f t="array" ref="J22">IFERROR(INDEX(IM!$X$2:$X$650, MATCH(1, (IM!$F$2:$F$650=A22) * (ISNUMBER(SEARCH($C$1, IM!$AC$2:$AC$650))), 0)), "")</f>
        <v>45749.659722222219</v>
      </c>
      <c r="K22" s="159">
        <f>COUNTIFS(IM!F:F,A22,IM!AD:AD,"O",IM!X:X,"&gt;="&amp;$A$1,IM!X:X,"&lt;="&amp;$B$1)</f>
        <v>1</v>
      </c>
      <c r="L22" s="228" t="str" cm="1">
        <f t="array" ref="L22">IF(K22&gt;0,IFERROR(HYPERLINK("#'IM'!AC"&amp;MATCH(1,(IM!$F$1:$F$7700=A22)*(ISNUMBER(SEARCH("PMQ2",IM!$AC$1:$AC$7700))),0),"檢核"),"未登錄"),"")</f>
        <v>檢核</v>
      </c>
      <c r="M22" s="230" t="str" cm="1">
        <f t="array" ref="M22">IF(AND(SUMPRODUCT((IM!F2:F812=A22)*(ISNUMBER(SEARCH("EDC", IM!AC2:AC812))))&gt;0), "EDC", "")</f>
        <v>EDC</v>
      </c>
      <c r="N22" s="264" t="str" cm="1">
        <f t="array" ref="N22">IF(AND(SUMPRODUCT((IM!F2:F812=A22)*(ISNUMBER(SEARCH("STAR", IM!AC2:AC812))))&gt;0), "STAR", "")</f>
        <v>STAR</v>
      </c>
      <c r="O22" s="256" cm="1">
        <f t="array" ref="O22">IFERROR(INDEX(IM!$X$2:$X$650, MATCH(1, (IM!$F$2:$F$650=A22) * (ISNUMBER(SEARCH($D$1, IM!$AC$2:$AC$650))), 0)), "")</f>
        <v>45749.659722222219</v>
      </c>
      <c r="P22" s="191" t="str">
        <f t="shared" si="17"/>
        <v>20250402-2221-板橋雙十店(定保)</v>
      </c>
      <c r="Q22" s="140"/>
      <c r="R22" s="140"/>
      <c r="S22" s="140"/>
      <c r="T22" s="140"/>
      <c r="U22" s="258">
        <f t="shared" si="18"/>
        <v>1</v>
      </c>
      <c r="V22" s="246" t="str">
        <f t="shared" si="19"/>
        <v>已完工</v>
      </c>
      <c r="X22" s="5" t="s">
        <v>4375</v>
      </c>
      <c r="Y22" s="5" t="str">
        <f t="shared" si="20"/>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 t="shared" si="16"/>
        <v>20250402-2321-北縣重鑫店(定保)</v>
      </c>
      <c r="I23" s="190">
        <v>45749.670138888891</v>
      </c>
      <c r="J23" s="188" cm="1">
        <f t="array" ref="J23">IFERROR(INDEX(IM!$X$2:$X$650, MATCH(1, (IM!$F$2:$F$650=A23) * (ISNUMBER(SEARCH($C$1, IM!$AC$2:$AC$650))), 0)), "")</f>
        <v>45749.670138888891</v>
      </c>
      <c r="K23" s="159">
        <f>COUNTIFS(IM!F:F,A23,IM!AD:AD,"O",IM!X:X,"&gt;="&amp;$A$1,IM!X:X,"&lt;="&amp;$B$1)</f>
        <v>1</v>
      </c>
      <c r="L23" s="228" t="str" cm="1">
        <f t="array" ref="L23">IF(K23&gt;0,IFERROR(HYPERLINK("#'IM'!AC"&amp;MATCH(1,(IM!$F$1:$F$7700=A23)*(ISNUMBER(SEARCH("PMQ2",IM!$AC$1:$AC$7700))),0),"檢核"),"未登錄"),"")</f>
        <v>檢核</v>
      </c>
      <c r="M23" s="230" t="str" cm="1">
        <f t="array" ref="M23">IF(AND(SUMPRODUCT((IM!F2:F675=A23)*(ISNUMBER(SEARCH("EDC", IM!AC2:AC675))))&gt;0), "EDC", "")</f>
        <v>EDC</v>
      </c>
      <c r="N23" s="264" t="str" cm="1">
        <f t="array" ref="N23">IF(AND(SUMPRODUCT((IM!F2:F675=A23)*(ISNUMBER(SEARCH("STAR", IM!AC2:AC675))))&gt;0), "STAR", "")</f>
        <v>STAR</v>
      </c>
      <c r="O23" s="256" cm="1">
        <f t="array" ref="O23">IFERROR(INDEX(IM!$X$2:$X$650, MATCH(1, (IM!$F$2:$F$650=A23) * (ISNUMBER(SEARCH($D$1, IM!$AC$2:$AC$650))), 0)), "")</f>
        <v>45749.670138888891</v>
      </c>
      <c r="P23" s="191" t="str">
        <f t="shared" si="17"/>
        <v>20250402-2321-北縣重鑫店(定保)</v>
      </c>
      <c r="Q23" s="140"/>
      <c r="R23" s="140"/>
      <c r="S23" s="140"/>
      <c r="T23" s="140"/>
      <c r="U23" s="258">
        <f t="shared" si="18"/>
        <v>2</v>
      </c>
      <c r="V23" s="246" t="str">
        <f t="shared" si="19"/>
        <v>已完工</v>
      </c>
      <c r="W23" s="3" t="s">
        <v>4183</v>
      </c>
      <c r="X23" s="5" t="s">
        <v>4184</v>
      </c>
      <c r="Y23" s="5" t="str">
        <f t="shared" si="20"/>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 t="shared" si="16"/>
        <v>20250402-D072-北縣僑福店(定保)</v>
      </c>
      <c r="I24" s="190">
        <v>45749.6875</v>
      </c>
      <c r="J24" s="188" cm="1">
        <f t="array" ref="J24">IFERROR(INDEX(IM!$X$2:$X$650, MATCH(1, (IM!$F$2:$F$650=A24) * (ISNUMBER(SEARCH($C$1, IM!$AC$2:$AC$650))), 0)), "")</f>
        <v>45749.6875</v>
      </c>
      <c r="K24" s="159">
        <f>COUNTIFS(IM!F:F,A24,IM!AD:AD,"O",IM!X:X,"&gt;="&amp;$A$1,IM!X:X,"&lt;="&amp;$B$1)</f>
        <v>1</v>
      </c>
      <c r="L24" s="228" t="str" cm="1">
        <f t="array" ref="L24">IF(K24&gt;0,IFERROR(HYPERLINK("#'IM'!AC"&amp;MATCH(1,(IM!$F$1:$F$7700=A24)*(ISNUMBER(SEARCH("PMQ2",IM!$AC$1:$AC$7700))),0),"檢核"),"未登錄"),"")</f>
        <v>檢核</v>
      </c>
      <c r="M24" s="230" t="str" cm="1">
        <f t="array" ref="M24">IF(AND(SUMPRODUCT((IM!F2:F803=A24)*(ISNUMBER(SEARCH("EDC", IM!AC2:AC803))))&gt;0), "EDC", "")</f>
        <v>EDC</v>
      </c>
      <c r="N24" s="264" t="str" cm="1">
        <f t="array" ref="N24">IF(AND(SUMPRODUCT((IM!F2:F803=A24)*(ISNUMBER(SEARCH("STAR", IM!AC2:AC803))))&gt;0), "STAR", "")</f>
        <v>STAR</v>
      </c>
      <c r="O24" s="256" cm="1">
        <f t="array" ref="O24">IFERROR(INDEX(IM!$X$2:$X$650, MATCH(1, (IM!$F$2:$F$650=A24) * (ISNUMBER(SEARCH($D$1, IM!$AC$2:$AC$650))), 0)), "")</f>
        <v>45749.6875</v>
      </c>
      <c r="P24" s="191" t="str">
        <f t="shared" si="17"/>
        <v>20250402-D072-北縣僑福店(定保)</v>
      </c>
      <c r="Q24" s="140"/>
      <c r="R24" s="140"/>
      <c r="S24" s="140"/>
      <c r="T24" s="140"/>
      <c r="U24" s="258">
        <f t="shared" si="18"/>
        <v>1</v>
      </c>
      <c r="V24" s="246" t="str">
        <f t="shared" si="19"/>
        <v>已完工</v>
      </c>
      <c r="W24" s="3" t="s">
        <v>4365</v>
      </c>
      <c r="X24" s="5"/>
      <c r="Y24" s="5" t="str">
        <f t="shared" si="20"/>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 t="shared" si="16"/>
        <v>20250407-4155-三重穀保店(定保)</v>
      </c>
      <c r="I25" s="190">
        <v>45754.461111111108</v>
      </c>
      <c r="J25" s="188" cm="1">
        <f t="array" ref="J25">IFERROR(INDEX(IM!$X$2:$X$650, MATCH(1, (IM!$F$2:$F$650=A25) * (ISNUMBER(SEARCH($C$1, IM!$AC$2:$AC$650))), 0)), "")</f>
        <v>45754.461111111108</v>
      </c>
      <c r="K25" s="159">
        <f>COUNTIFS(IM!F:F,A25,IM!AD:AD,"O",IM!X:X,"&gt;="&amp;$A$1,IM!X:X,"&lt;="&amp;$B$1)</f>
        <v>1</v>
      </c>
      <c r="L25" s="228" t="str" cm="1">
        <f t="array" ref="L25">IF(K25&gt;0,IFERROR(HYPERLINK("#'IM'!AC"&amp;MATCH(1,(IM!$F$1:$F$7700=A25)*(ISNUMBER(SEARCH("PMQ2",IM!$AC$1:$AC$7700))),0),"檢核"),"未登錄"),"")</f>
        <v>檢核</v>
      </c>
      <c r="M25" s="230" t="str" cm="1">
        <f t="array" ref="M25">IF(AND(SUMPRODUCT((IM!F2:F665=A25)*(ISNUMBER(SEARCH("EDC", IM!AC2:AC665))))&gt;0), "EDC", "")</f>
        <v>EDC</v>
      </c>
      <c r="N25" s="264" t="str" cm="1">
        <f t="array" ref="N25">IF(AND(SUMPRODUCT((IM!F2:F665=A25)*(ISNUMBER(SEARCH("STAR", IM!AC2:AC665))))&gt;0), "STAR", "")</f>
        <v>STAR</v>
      </c>
      <c r="O25" s="256" cm="1">
        <f t="array" ref="O25">IFERROR(INDEX(IM!$X$2:$X$650, MATCH(1, (IM!$F$2:$F$650=A25) * (ISNUMBER(SEARCH($D$1, IM!$AC$2:$AC$650))), 0)), "")</f>
        <v>45754.461111111108</v>
      </c>
      <c r="P25" s="191" t="str">
        <f t="shared" si="17"/>
        <v>20250407-4155-三重穀保店(定保)</v>
      </c>
      <c r="Q25" s="140"/>
      <c r="R25" s="140"/>
      <c r="S25" s="140"/>
      <c r="T25" s="140"/>
      <c r="U25" s="258">
        <f t="shared" si="18"/>
        <v>1</v>
      </c>
      <c r="V25" s="246" t="str">
        <f t="shared" si="19"/>
        <v>已完工</v>
      </c>
      <c r="W25" s="3" t="s">
        <v>4168</v>
      </c>
      <c r="X25" s="5"/>
      <c r="Y25" s="5" t="str">
        <f t="shared" si="20"/>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 t="shared" si="16"/>
        <v>20250407-4762-新莊巷口店(定保)</v>
      </c>
      <c r="I26" s="190">
        <v>45754.583333333336</v>
      </c>
      <c r="J26" s="188" cm="1">
        <f t="array" ref="J26">IFERROR(INDEX(IM!$X$2:$X$650, MATCH(1, (IM!$F$2:$F$650=A26) * (ISNUMBER(SEARCH($C$1, IM!$AC$2:$AC$650))), 0)), "")</f>
        <v>45754.583333333336</v>
      </c>
      <c r="K26" s="159">
        <f>COUNTIFS(IM!F:F,A26,IM!AD:AD,"O",IM!X:X,"&gt;="&amp;$A$1,IM!X:X,"&lt;="&amp;$B$1)</f>
        <v>1</v>
      </c>
      <c r="L26" s="228" t="str" cm="1">
        <f t="array" ref="L26">IF(K26&gt;0,IFERROR(HYPERLINK("#'IM'!AC"&amp;MATCH(1,(IM!$F$1:$F$7700=A26)*(ISNUMBER(SEARCH("PMQ2",IM!$AC$1:$AC$7700))),0),"檢核"),"未登錄"),"")</f>
        <v>檢核</v>
      </c>
      <c r="M26" s="230" t="str" cm="1">
        <f t="array" ref="M26">IF(AND(SUMPRODUCT((IM!F2:F780=A26)*(ISNUMBER(SEARCH("EDC", IM!AC2:AC780))))&gt;0), "EDC", "")</f>
        <v>EDC</v>
      </c>
      <c r="N26" s="264" t="str" cm="1">
        <f t="array" ref="N26">IF(AND(SUMPRODUCT((IM!F2:F780=A26)*(ISNUMBER(SEARCH("STAR", IM!AC2:AC780))))&gt;0), "STAR", "")</f>
        <v/>
      </c>
      <c r="O26" s="256" t="str" cm="1">
        <f t="array" ref="O26">IFERROR(INDEX(IM!$X$2:$X$650, MATCH(1, (IM!$F$2:$F$650=A26) * (ISNUMBER(SEARCH($D$1, IM!$AC$2:$AC$650))), 0)), "")</f>
        <v/>
      </c>
      <c r="P26" s="191" t="str">
        <f t="shared" si="17"/>
        <v>20250407-4762-新莊巷口店(定保)</v>
      </c>
      <c r="Q26" s="140"/>
      <c r="R26" s="140"/>
      <c r="S26" s="140"/>
      <c r="T26" s="140"/>
      <c r="U26" s="258">
        <f t="shared" si="18"/>
        <v>0</v>
      </c>
      <c r="V26" s="246" t="str">
        <f t="shared" si="19"/>
        <v>已完工</v>
      </c>
      <c r="X26" s="5"/>
      <c r="Y26" s="5" t="str">
        <f t="shared" si="20"/>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 t="shared" si="16"/>
        <v>20250407-A171-淡水金龍店(定保)</v>
      </c>
      <c r="I27" s="190">
        <v>45754.672222222223</v>
      </c>
      <c r="J27" s="188" cm="1">
        <f t="array" ref="J27">IFERROR(INDEX(IM!$X$2:$X$650, MATCH(1, (IM!$F$2:$F$650=A27) * (ISNUMBER(SEARCH($C$1, IM!$AC$2:$AC$650))), 0)), "")</f>
        <v>45754.672222222223</v>
      </c>
      <c r="K27" s="159">
        <f>COUNTIFS(IM!F:F,A27,IM!AD:AD,"O",IM!X:X,"&gt;="&amp;$A$1,IM!X:X,"&lt;="&amp;$B$1)</f>
        <v>1</v>
      </c>
      <c r="L27" s="228" t="str" cm="1">
        <f t="array" ref="L27">IF(K27&gt;0,IFERROR(HYPERLINK("#'IM'!AC"&amp;MATCH(1,(IM!$F$1:$F$7700=A27)*(ISNUMBER(SEARCH("PMQ2",IM!$AC$1:$AC$7700))),0),"檢核"),"未登錄"),"")</f>
        <v>檢核</v>
      </c>
      <c r="M27" s="230" t="str" cm="1">
        <f t="array" ref="M27">IF(AND(SUMPRODUCT((IM!F2:F656=A27)*(ISNUMBER(SEARCH("EDC", IM!AC2:AC656))))&gt;0), "EDC", "")</f>
        <v>EDC</v>
      </c>
      <c r="N27" s="264" t="str" cm="1">
        <f t="array" ref="N27">IF(AND(SUMPRODUCT((IM!F2:F656=A27)*(ISNUMBER(SEARCH("STAR", IM!AC2:AC656))))&gt;0), "STAR", "")</f>
        <v>STAR</v>
      </c>
      <c r="O27" s="256" cm="1">
        <f t="array" ref="O27">IFERROR(INDEX(IM!$X$2:$X$650, MATCH(1, (IM!$F$2:$F$650=A27) * (ISNUMBER(SEARCH($D$1, IM!$AC$2:$AC$650))), 0)), "")</f>
        <v>45754.672222222223</v>
      </c>
      <c r="P27" s="191" t="str">
        <f t="shared" si="17"/>
        <v>20250407-A171-淡水金龍店(定保)</v>
      </c>
      <c r="Q27" s="140"/>
      <c r="R27" s="140"/>
      <c r="S27" s="140"/>
      <c r="T27" s="140"/>
      <c r="U27" s="258">
        <f t="shared" si="18"/>
        <v>2</v>
      </c>
      <c r="V27" s="246" t="str">
        <f t="shared" si="19"/>
        <v>已完工</v>
      </c>
      <c r="W27" s="3" t="s">
        <v>4155</v>
      </c>
      <c r="X27" s="5" t="s">
        <v>4156</v>
      </c>
      <c r="Y27" s="5" t="str">
        <f t="shared" si="20"/>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 t="shared" si="16"/>
        <v>20250408-4326-林口建安店(定保)</v>
      </c>
      <c r="I28" s="190">
        <v>45755.479166666664</v>
      </c>
      <c r="J28" s="188" cm="1">
        <f t="array" ref="J28">IFERROR(INDEX(IM!$X$2:$X$650, MATCH(1, (IM!$F$2:$F$650=A28) * (ISNUMBER(SEARCH($C$1, IM!$AC$2:$AC$650))), 0)), "")</f>
        <v>45755.479166666664</v>
      </c>
      <c r="K28" s="159">
        <f>COUNTIFS(IM!F:F,A28,IM!AD:AD,"O",IM!X:X,"&gt;="&amp;$A$1,IM!X:X,"&lt;="&amp;$B$1)</f>
        <v>4</v>
      </c>
      <c r="L28" s="228" t="str" cm="1">
        <f t="array" ref="L28">IF(K28&gt;0,IFERROR(HYPERLINK("#'IM'!AC"&amp;MATCH(1,(IM!$F$1:$F$7700=A28)*(ISNUMBER(SEARCH("PMQ2",IM!$AC$1:$AC$7700))),0),"檢核"),"未登錄"),"")</f>
        <v>檢核</v>
      </c>
      <c r="M28" s="230" t="str" cm="1">
        <f t="array" ref="M28">IF(AND(SUMPRODUCT((IM!F2:F767=A28)*(ISNUMBER(SEARCH("EDC", IM!AC2:AC767))))&gt;0), "EDC", "")</f>
        <v>EDC</v>
      </c>
      <c r="N28" s="264" t="str" cm="1">
        <f t="array" ref="N28">IF(AND(SUMPRODUCT((IM!F2:F767=A28)*(ISNUMBER(SEARCH("STAR", IM!AC2:AC767))))&gt;0), "STAR", "")</f>
        <v>STAR</v>
      </c>
      <c r="O28" s="256" cm="1">
        <f t="array" ref="O28">IFERROR(INDEX(IM!$X$2:$X$650, MATCH(1, (IM!$F$2:$F$650=A28) * (ISNUMBER(SEARCH($D$1, IM!$AC$2:$AC$650))), 0)), "")</f>
        <v>45755.479166666664</v>
      </c>
      <c r="P28" s="191" t="str">
        <f t="shared" si="17"/>
        <v>20250408-4326-林口建安店(定保)</v>
      </c>
      <c r="Q28" s="140"/>
      <c r="R28" s="140"/>
      <c r="S28" s="140"/>
      <c r="T28" s="140"/>
      <c r="U28" s="258">
        <f t="shared" si="18"/>
        <v>2</v>
      </c>
      <c r="V28" s="246" t="str">
        <f t="shared" si="19"/>
        <v>已完工</v>
      </c>
      <c r="W28" s="3" t="s">
        <v>4400</v>
      </c>
      <c r="X28" s="5" t="s">
        <v>4401</v>
      </c>
      <c r="Y28" s="5" t="str">
        <f t="shared" si="20"/>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 t="shared" si="16"/>
        <v>20250408-2759-三重仁化店(定保)</v>
      </c>
      <c r="I29" s="190">
        <v>45755.508333333331</v>
      </c>
      <c r="J29" s="188" cm="1">
        <f t="array" ref="J29">IFERROR(INDEX(IM!$X$2:$X$650, MATCH(1, (IM!$F$2:$F$650=A29) * (ISNUMBER(SEARCH($C$1, IM!$AC$2:$AC$650))), 0)), "")</f>
        <v>45755.508333333331</v>
      </c>
      <c r="K29" s="159">
        <f>COUNTIFS(IM!F:F,A29,IM!AD:AD,"O",IM!X:X,"&gt;="&amp;$A$1,IM!X:X,"&lt;="&amp;$B$1)</f>
        <v>1</v>
      </c>
      <c r="L29" s="228" t="str" cm="1">
        <f t="array" ref="L29">IF(K29&gt;0,IFERROR(HYPERLINK("#'IM'!AC"&amp;MATCH(1,(IM!$F$1:$F$7700=A29)*(ISNUMBER(SEARCH("PMQ2",IM!$AC$1:$AC$7700))),0),"檢核"),"未登錄"),"")</f>
        <v>檢核</v>
      </c>
      <c r="M29" s="230" t="str" cm="1">
        <f t="array" ref="M29">IF(AND(SUMPRODUCT((IM!F2:F677=A29)*(ISNUMBER(SEARCH("EDC", IM!AC2:AC677))))&gt;0), "EDC", "")</f>
        <v>EDC</v>
      </c>
      <c r="N29" s="264" t="str" cm="1">
        <f t="array" ref="N29">IF(AND(SUMPRODUCT((IM!F2:F677=A29)*(ISNUMBER(SEARCH("STAR", IM!AC2:AC677))))&gt;0), "STAR", "")</f>
        <v>STAR</v>
      </c>
      <c r="O29" s="256" cm="1">
        <f t="array" ref="O29">IFERROR(INDEX(IM!$X$2:$X$650, MATCH(1, (IM!$F$2:$F$650=A29) * (ISNUMBER(SEARCH($D$1, IM!$AC$2:$AC$650))), 0)), "")</f>
        <v>45755.508333333331</v>
      </c>
      <c r="P29" s="191" t="str">
        <f t="shared" si="17"/>
        <v>20250408-2759-三重仁化店(定保)</v>
      </c>
      <c r="Q29" s="140"/>
      <c r="R29" s="140"/>
      <c r="S29" s="140"/>
      <c r="T29" s="140"/>
      <c r="U29" s="258">
        <f t="shared" si="18"/>
        <v>2</v>
      </c>
      <c r="V29" s="246" t="str">
        <f t="shared" si="19"/>
        <v>已完工</v>
      </c>
      <c r="W29" s="3" t="s">
        <v>4187</v>
      </c>
      <c r="X29" s="5" t="s">
        <v>4188</v>
      </c>
      <c r="Y29" s="5" t="str">
        <f t="shared" si="20"/>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 t="shared" si="16"/>
        <v>20250408-2422-北縣板億店(定保)</v>
      </c>
      <c r="I30" s="190">
        <v>45755.538194444445</v>
      </c>
      <c r="J30" s="188" cm="1">
        <f t="array" ref="J30">IFERROR(INDEX(IM!$X$2:$X$650, MATCH(1, (IM!$F$2:$F$650=A30) * (ISNUMBER(SEARCH($C$1, IM!$AC$2:$AC$650))), 0)), "")</f>
        <v>45755.538194444445</v>
      </c>
      <c r="K30" s="159">
        <f>COUNTIFS(IM!F:F,A30,IM!AD:AD,"O",IM!X:X,"&gt;="&amp;$A$1,IM!X:X,"&lt;="&amp;$B$1)</f>
        <v>1</v>
      </c>
      <c r="L30" s="228" t="str" cm="1">
        <f t="array" ref="L30">IF(K30&gt;0,IFERROR(HYPERLINK("#'IM'!AC"&amp;MATCH(1,(IM!$F$1:$F$7700=A30)*(ISNUMBER(SEARCH("PMQ2",IM!$AC$1:$AC$7700))),0),"檢核"),"未登錄"),"")</f>
        <v>檢核</v>
      </c>
      <c r="M30" s="230" t="str" cm="1">
        <f t="array" ref="M30">IF(AND(SUMPRODUCT((IM!F2:F847=A30)*(ISNUMBER(SEARCH("EDC", IM!AC2:AC847))))&gt;0), "EDC", "")</f>
        <v>EDC</v>
      </c>
      <c r="N30" s="264" t="str" cm="1">
        <f t="array" ref="N30">IF(AND(SUMPRODUCT((IM!F2:F847=A30)*(ISNUMBER(SEARCH("STAR", IM!AC2:AC847))))&gt;0), "STAR", "")</f>
        <v>STAR</v>
      </c>
      <c r="O30" s="256" cm="1">
        <f t="array" ref="O30">IFERROR(INDEX(IM!$X$2:$X$650, MATCH(1, (IM!$F$2:$F$650=A30) * (ISNUMBER(SEARCH($D$1, IM!$AC$2:$AC$650))), 0)), "")</f>
        <v>45755.538194444445</v>
      </c>
      <c r="P30" s="191" t="str">
        <f t="shared" si="17"/>
        <v>20250408-2422-北縣板億店(定保)</v>
      </c>
      <c r="Q30" s="140"/>
      <c r="R30" s="140"/>
      <c r="S30" s="140"/>
      <c r="T30" s="140"/>
      <c r="U30" s="258">
        <f t="shared" si="18"/>
        <v>2</v>
      </c>
      <c r="V30" s="246" t="str">
        <f t="shared" si="19"/>
        <v>已完工</v>
      </c>
      <c r="W30" s="3" t="s">
        <v>4388</v>
      </c>
      <c r="X30" s="5" t="s">
        <v>4389</v>
      </c>
      <c r="Y30" s="5" t="str">
        <f t="shared" si="20"/>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 t="shared" si="16"/>
        <v>20250408-4282-林口建林店(定保)</v>
      </c>
      <c r="I31" s="190">
        <v>45755.552083333336</v>
      </c>
      <c r="J31" s="188" cm="1">
        <f t="array" ref="J31">IFERROR(INDEX(IM!$X$2:$X$650, MATCH(1, (IM!$F$2:$F$650=A31) * (ISNUMBER(SEARCH($C$1, IM!$AC$2:$AC$650))), 0)), "")</f>
        <v>45755.552083333336</v>
      </c>
      <c r="K31" s="159">
        <f>COUNTIFS(IM!F:F,A31,IM!AD:AD,"O",IM!X:X,"&gt;="&amp;$A$1,IM!X:X,"&lt;="&amp;$B$1)</f>
        <v>1</v>
      </c>
      <c r="L31" s="228" t="str" cm="1">
        <f t="array" ref="L31">IF(K31&gt;0,IFERROR(HYPERLINK("#'IM'!AC"&amp;MATCH(1,(IM!$F$1:$F$7700=A31)*(ISNUMBER(SEARCH("PMQ2",IM!$AC$1:$AC$7700))),0),"檢核"),"未登錄"),"")</f>
        <v>檢核</v>
      </c>
      <c r="M31" s="230" t="str" cm="1">
        <f t="array" ref="M31">IF(AND(SUMPRODUCT((IM!F2:F764=A31)*(ISNUMBER(SEARCH("EDC", IM!AC2:AC764))))&gt;0), "EDC", "")</f>
        <v>EDC</v>
      </c>
      <c r="N31" s="264" t="str" cm="1">
        <f t="array" ref="N31">IF(AND(SUMPRODUCT((IM!F2:F764=A31)*(ISNUMBER(SEARCH("STAR", IM!AC2:AC764))))&gt;0), "STAR", "")</f>
        <v/>
      </c>
      <c r="O31" s="256" t="str" cm="1">
        <f t="array" ref="O31">IFERROR(INDEX(IM!$X$2:$X$650, MATCH(1, (IM!$F$2:$F$650=A31) * (ISNUMBER(SEARCH($D$1, IM!$AC$2:$AC$650))), 0)), "")</f>
        <v/>
      </c>
      <c r="P31" s="191" t="str">
        <f t="shared" si="17"/>
        <v>20250408-4282-林口建林店(定保)</v>
      </c>
      <c r="Q31" s="140"/>
      <c r="R31" s="140"/>
      <c r="S31" s="140"/>
      <c r="T31" s="140"/>
      <c r="U31" s="258">
        <f t="shared" si="18"/>
        <v>0</v>
      </c>
      <c r="V31" s="246" t="str">
        <f t="shared" si="19"/>
        <v>已完工</v>
      </c>
      <c r="X31" s="5"/>
      <c r="Y31" s="5" t="str">
        <f t="shared" si="20"/>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 t="shared" si="16"/>
        <v>20250408-4134-三重大同南(定保)</v>
      </c>
      <c r="I32" s="190">
        <v>45755.572916666664</v>
      </c>
      <c r="J32" s="188" cm="1">
        <f t="array" ref="J32">IFERROR(INDEX(IM!$X$2:$X$650, MATCH(1, (IM!$F$2:$F$650=A32) * (ISNUMBER(SEARCH($C$1, IM!$AC$2:$AC$650))), 0)), "")</f>
        <v>45755.572916666664</v>
      </c>
      <c r="K32" s="159">
        <f>COUNTIFS(IM!F:F,A32,IM!AD:AD,"O",IM!X:X,"&gt;="&amp;$A$1,IM!X:X,"&lt;="&amp;$B$1)</f>
        <v>1</v>
      </c>
      <c r="L32" s="228" t="str" cm="1">
        <f t="array" ref="L32">IF(K32&gt;0,IFERROR(HYPERLINK("#'IM'!AC"&amp;MATCH(1,(IM!$F$1:$F$7700=A32)*(ISNUMBER(SEARCH("PMQ2",IM!$AC$1:$AC$7700))),0),"檢核"),"未登錄"),"")</f>
        <v>檢核</v>
      </c>
      <c r="M32" s="230" t="str" cm="1">
        <f t="array" ref="M32">IF(AND(SUMPRODUCT((IM!F2:F676=A32)*(ISNUMBER(SEARCH("EDC", IM!AC2:AC676))))&gt;0), "EDC", "")</f>
        <v>EDC</v>
      </c>
      <c r="N32" s="264" t="str" cm="1">
        <f t="array" ref="N32">IF(AND(SUMPRODUCT((IM!F2:F676=A32)*(ISNUMBER(SEARCH("STAR", IM!AC2:AC676))))&gt;0), "STAR", "")</f>
        <v>STAR</v>
      </c>
      <c r="O32" s="256" cm="1">
        <f t="array" ref="O32">IFERROR(INDEX(IM!$X$2:$X$650, MATCH(1, (IM!$F$2:$F$650=A32) * (ISNUMBER(SEARCH($D$1, IM!$AC$2:$AC$650))), 0)), "")</f>
        <v>45755.572916666664</v>
      </c>
      <c r="P32" s="191" t="str">
        <f t="shared" si="17"/>
        <v>20250408-4134-三重大同南(定保)</v>
      </c>
      <c r="Q32" s="140"/>
      <c r="R32" s="140"/>
      <c r="S32" s="140"/>
      <c r="T32" s="140"/>
      <c r="U32" s="258">
        <f t="shared" si="18"/>
        <v>2</v>
      </c>
      <c r="V32" s="246" t="str">
        <f t="shared" si="19"/>
        <v>已完工</v>
      </c>
      <c r="W32" s="3" t="s">
        <v>4185</v>
      </c>
      <c r="X32" s="5" t="s">
        <v>4186</v>
      </c>
      <c r="Y32" s="5" t="str">
        <f t="shared" si="20"/>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 t="shared" si="16"/>
        <v>20250408-2259-三重興華店(定保)</v>
      </c>
      <c r="I33" s="190">
        <v>45755.693749999999</v>
      </c>
      <c r="J33" s="188" cm="1">
        <f t="array" ref="J33">IFERROR(INDEX(IM!$X$2:$X$650, MATCH(1, (IM!$F$2:$F$650=A33) * (ISNUMBER(SEARCH($C$1, IM!$AC$2:$AC$650))), 0)), "")</f>
        <v>45755.693749999999</v>
      </c>
      <c r="K33" s="159">
        <f>COUNTIFS(IM!F:F,A33,IM!AD:AD,"O",IM!X:X,"&gt;="&amp;$A$1,IM!X:X,"&lt;="&amp;$B$1)</f>
        <v>1</v>
      </c>
      <c r="L33" s="228" t="str" cm="1">
        <f t="array" ref="L33">IF(K33&gt;0,IFERROR(HYPERLINK("#'IM'!AC"&amp;MATCH(1,(IM!$F$1:$F$7700=A33)*(ISNUMBER(SEARCH("PMQ2",IM!$AC$1:$AC$7700))),0),"檢核"),"未登錄"),"")</f>
        <v>檢核</v>
      </c>
      <c r="M33" s="230" t="str" cm="1">
        <f t="array" ref="M33">IF(AND(SUMPRODUCT((IM!F2:F654=A33)*(ISNUMBER(SEARCH("EDC", IM!AC2:AC654))))&gt;0), "EDC", "")</f>
        <v>EDC</v>
      </c>
      <c r="N33" s="264" t="str" cm="1">
        <f t="array" ref="N33">IF(AND(SUMPRODUCT((IM!F2:F654=A33)*(ISNUMBER(SEARCH("STAR", IM!AC2:AC654))))&gt;0), "STAR", "")</f>
        <v>STAR</v>
      </c>
      <c r="O33" s="256" cm="1">
        <f t="array" ref="O33">IFERROR(INDEX(IM!$X$2:$X$650, MATCH(1, (IM!$F$2:$F$650=A33) * (ISNUMBER(SEARCH($D$1, IM!$AC$2:$AC$650))), 0)), "")</f>
        <v>45755.693749999999</v>
      </c>
      <c r="P33" s="191" t="str">
        <f t="shared" si="17"/>
        <v>20250408-2259-三重興華店(定保)</v>
      </c>
      <c r="Q33" s="140"/>
      <c r="R33" s="140"/>
      <c r="S33" s="140"/>
      <c r="T33" s="140"/>
      <c r="U33" s="258">
        <f t="shared" si="18"/>
        <v>2</v>
      </c>
      <c r="V33" s="246" t="str">
        <f t="shared" si="19"/>
        <v>已完工</v>
      </c>
      <c r="W33" s="3" t="s">
        <v>4151</v>
      </c>
      <c r="X33" s="5" t="s">
        <v>4152</v>
      </c>
      <c r="Y33" s="5" t="str">
        <f t="shared" si="20"/>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 t="shared" si="16"/>
        <v>20250408-2837-北縣重萬店(定保)</v>
      </c>
      <c r="I34" s="190">
        <v>45755.740277777775</v>
      </c>
      <c r="J34" s="188" cm="1">
        <f t="array" ref="J34">IFERROR(INDEX(IM!$X$2:$X$650, MATCH(1, (IM!$F$2:$F$650=A34) * (ISNUMBER(SEARCH($C$1, IM!$AC$2:$AC$650))), 0)), "")</f>
        <v>45755.740277777775</v>
      </c>
      <c r="K34" s="159">
        <f>COUNTIFS(IM!F:F,A34,IM!AD:AD,"O",IM!X:X,"&gt;="&amp;$A$1,IM!X:X,"&lt;="&amp;$B$1)</f>
        <v>1</v>
      </c>
      <c r="L34" s="228" t="str" cm="1">
        <f t="array" ref="L34">IF(K34&gt;0,IFERROR(HYPERLINK("#'IM'!AC"&amp;MATCH(1,(IM!$F$1:$F$7700=A34)*(ISNUMBER(SEARCH("PMQ2",IM!$AC$1:$AC$7700))),0),"檢核"),"未登錄"),"")</f>
        <v>檢核</v>
      </c>
      <c r="M34" s="230" t="str" cm="1">
        <f t="array" ref="M34">IF(AND(SUMPRODUCT((IM!F2:F655=A34)*(ISNUMBER(SEARCH("EDC", IM!AC2:AC655))))&gt;0), "EDC", "")</f>
        <v>EDC</v>
      </c>
      <c r="N34" s="264" t="str" cm="1">
        <f t="array" ref="N34">IF(AND(SUMPRODUCT((IM!F2:F655=A34)*(ISNUMBER(SEARCH("STAR", IM!AC2:AC655))))&gt;0), "STAR", "")</f>
        <v>STAR</v>
      </c>
      <c r="O34" s="256" cm="1">
        <f t="array" ref="O34">IFERROR(INDEX(IM!$X$2:$X$650, MATCH(1, (IM!$F$2:$F$650=A34) * (ISNUMBER(SEARCH($D$1, IM!$AC$2:$AC$650))), 0)), "")</f>
        <v>45755.740277777775</v>
      </c>
      <c r="P34" s="191" t="str">
        <f t="shared" si="17"/>
        <v>20250408-2837-北縣重萬店(定保)</v>
      </c>
      <c r="Q34" s="140"/>
      <c r="R34" s="140"/>
      <c r="S34" s="140"/>
      <c r="T34" s="140"/>
      <c r="U34" s="258">
        <f t="shared" si="18"/>
        <v>2</v>
      </c>
      <c r="V34" s="246" t="str">
        <f t="shared" si="19"/>
        <v>已完工</v>
      </c>
      <c r="W34" s="3" t="s">
        <v>4153</v>
      </c>
      <c r="X34" s="5" t="s">
        <v>4154</v>
      </c>
      <c r="Y34" s="5" t="str">
        <f t="shared" si="20"/>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 t="shared" si="16"/>
        <v>20250409-2362-新莊化成店(定保)</v>
      </c>
      <c r="I35" s="190">
        <v>45756.451388888891</v>
      </c>
      <c r="J35" s="188" cm="1">
        <f t="array" ref="J35">IFERROR(INDEX(IM!$X$2:$X$650, MATCH(1, (IM!$F$2:$F$650=A35) * (ISNUMBER(SEARCH($C$1, IM!$AC$2:$AC$650))), 0)), "")</f>
        <v>45756.451388888891</v>
      </c>
      <c r="K35" s="159">
        <f>COUNTIFS(IM!F:F,A35,IM!AD:AD,"O",IM!X:X,"&gt;="&amp;$A$1,IM!X:X,"&lt;="&amp;$B$1)</f>
        <v>1</v>
      </c>
      <c r="L35" s="228" t="str" cm="1">
        <f t="array" ref="L35">IF(K35&gt;0,IFERROR(HYPERLINK("#'IM'!AC"&amp;MATCH(1,(IM!$F$1:$F$7700=A35)*(ISNUMBER(SEARCH("PMQ2",IM!$AC$1:$AC$7700))),0),"檢核"),"未登錄"),"")</f>
        <v>檢核</v>
      </c>
      <c r="M35" s="230" t="str" cm="1">
        <f t="array" ref="M35">IF(AND(SUMPRODUCT((IM!F2:F855=A35)*(ISNUMBER(SEARCH("EDC", IM!AC2:AC855))))&gt;0), "EDC", "")</f>
        <v>EDC</v>
      </c>
      <c r="N35" s="264" t="str" cm="1">
        <f t="array" ref="N35">IF(AND(SUMPRODUCT((IM!F2:F855=A35)*(ISNUMBER(SEARCH("STAR", IM!AC2:AC855))))&gt;0), "STAR", "")</f>
        <v>STAR</v>
      </c>
      <c r="O35" s="256" cm="1">
        <f t="array" ref="O35">IFERROR(INDEX(IM!$X$2:$X$650, MATCH(1, (IM!$F$2:$F$650=A35) * (ISNUMBER(SEARCH($D$1, IM!$AC$2:$AC$650))), 0)), "")</f>
        <v>45756.451388888891</v>
      </c>
      <c r="P35" s="191" t="str">
        <f t="shared" si="17"/>
        <v>20250409-2362-新莊化成店(定保)</v>
      </c>
      <c r="Q35" s="140"/>
      <c r="R35" s="140"/>
      <c r="S35" s="140"/>
      <c r="T35" s="140"/>
      <c r="U35" s="258">
        <f t="shared" si="18"/>
        <v>2</v>
      </c>
      <c r="V35" s="246" t="str">
        <f t="shared" si="19"/>
        <v>已完工</v>
      </c>
      <c r="W35" s="3" t="s">
        <v>4420</v>
      </c>
      <c r="X35" s="5" t="s">
        <v>4421</v>
      </c>
      <c r="Y35" s="5" t="str">
        <f t="shared" si="20"/>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 t="shared" si="16"/>
        <v>20250409-3741-三重重新三(定保)</v>
      </c>
      <c r="I36" s="190">
        <v>45756.497916666667</v>
      </c>
      <c r="J36" s="188" cm="1">
        <f t="array" ref="J36">IFERROR(INDEX(IM!$X$2:$X$650, MATCH(1, (IM!$F$2:$F$650=A36) * (ISNUMBER(SEARCH($C$1, IM!$AC$2:$AC$650))), 0)), "")</f>
        <v>45756.497916666667</v>
      </c>
      <c r="K36" s="159">
        <f>COUNTIFS(IM!F:F,A36,IM!AD:AD,"O",IM!X:X,"&gt;="&amp;$A$1,IM!X:X,"&lt;="&amp;$B$1)</f>
        <v>1</v>
      </c>
      <c r="L36" s="228" t="str" cm="1">
        <f t="array" ref="L36">IF(K36&gt;0,IFERROR(HYPERLINK("#'IM'!AC"&amp;MATCH(1,(IM!$F$1:$F$7700=A36)*(ISNUMBER(SEARCH("PMQ2",IM!$AC$1:$AC$7700))),0),"檢核"),"未登錄"),"")</f>
        <v>檢核</v>
      </c>
      <c r="M36" s="230" t="str" cm="1">
        <f t="array" ref="M36">IF(AND(SUMPRODUCT((IM!F2:F756=A36)*(ISNUMBER(SEARCH("EDC", IM!AC2:AC756))))&gt;0), "EDC", "")</f>
        <v>EDC</v>
      </c>
      <c r="N36" s="264" t="str" cm="1">
        <f t="array" ref="N36">IF(AND(SUMPRODUCT((IM!F2:F756=A36)*(ISNUMBER(SEARCH("STAR", IM!AC2:AC756))))&gt;0), "STAR", "")</f>
        <v>STAR</v>
      </c>
      <c r="O36" s="256" cm="1">
        <f t="array" ref="O36">IFERROR(INDEX(IM!$X$2:$X$650, MATCH(1, (IM!$F$2:$F$650=A36) * (ISNUMBER(SEARCH($D$1, IM!$AC$2:$AC$650))), 0)), "")</f>
        <v>45756.497916666667</v>
      </c>
      <c r="P36" s="191" t="str">
        <f t="shared" si="17"/>
        <v>20250409-3741-三重重新三(定保)</v>
      </c>
      <c r="Q36" s="140"/>
      <c r="R36" s="140"/>
      <c r="S36" s="140"/>
      <c r="T36" s="140"/>
      <c r="U36" s="258">
        <f t="shared" si="18"/>
        <v>2</v>
      </c>
      <c r="V36" s="246" t="str">
        <f t="shared" si="19"/>
        <v>已完工</v>
      </c>
      <c r="W36" s="3" t="s">
        <v>4285</v>
      </c>
      <c r="X36" s="5" t="s">
        <v>4286</v>
      </c>
      <c r="Y36" s="5" t="str">
        <f t="shared" si="20"/>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 t="shared" si="16"/>
        <v>20250409-2302-北縣重安店(定保)</v>
      </c>
      <c r="I37" s="190">
        <v>45756.560416666667</v>
      </c>
      <c r="J37" s="188" cm="1">
        <f t="array" ref="J37">IFERROR(INDEX(IM!$X$2:$X$650, MATCH(1, (IM!$F$2:$F$650=A37) * (ISNUMBER(SEARCH($C$1, IM!$AC$2:$AC$650))), 0)), "")</f>
        <v>45756.560416666667</v>
      </c>
      <c r="K37" s="159">
        <f>COUNTIFS(IM!F:F,A37,IM!AD:AD,"O",IM!X:X,"&gt;="&amp;$A$1,IM!X:X,"&lt;="&amp;$B$1)</f>
        <v>1</v>
      </c>
      <c r="L37" s="228" t="str" cm="1">
        <f t="array" ref="L37">IF(K37&gt;0,IFERROR(HYPERLINK("#'IM'!AC"&amp;MATCH(1,(IM!$F$1:$F$7700=A37)*(ISNUMBER(SEARCH("PMQ2",IM!$AC$1:$AC$7700))),0),"檢核"),"未登錄"),"")</f>
        <v>檢核</v>
      </c>
      <c r="M37" s="230" t="str" cm="1">
        <f t="array" ref="M37">IF(AND(SUMPRODUCT((IM!F2:F799=A37)*(ISNUMBER(SEARCH("EDC", IM!AC2:AC799))))&gt;0), "EDC", "")</f>
        <v>EDC</v>
      </c>
      <c r="N37" s="264" t="str" cm="1">
        <f t="array" ref="N37">IF(AND(SUMPRODUCT((IM!F2:F799=A37)*(ISNUMBER(SEARCH("STAR", IM!AC2:AC799))))&gt;0), "STAR", "")</f>
        <v>STAR</v>
      </c>
      <c r="O37" s="256" cm="1">
        <f t="array" ref="O37">IFERROR(INDEX(IM!$X$2:$X$650, MATCH(1, (IM!$F$2:$F$650=A37) * (ISNUMBER(SEARCH($D$1, IM!$AC$2:$AC$650))), 0)), "")</f>
        <v>45756.560416666667</v>
      </c>
      <c r="P37" s="191" t="str">
        <f t="shared" si="17"/>
        <v>20250409-2302-北縣重安店(定保)</v>
      </c>
      <c r="Q37" s="140"/>
      <c r="R37" s="140"/>
      <c r="S37" s="140"/>
      <c r="T37" s="140"/>
      <c r="U37" s="258">
        <f t="shared" si="18"/>
        <v>2</v>
      </c>
      <c r="V37" s="246" t="str">
        <f t="shared" si="19"/>
        <v>已完工</v>
      </c>
      <c r="W37" s="3" t="s">
        <v>4309</v>
      </c>
      <c r="X37" s="5" t="s">
        <v>4310</v>
      </c>
      <c r="Y37" s="5" t="str">
        <f t="shared" si="20"/>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 t="shared" si="16"/>
        <v>20250409-3772-三重美溪店(定保)</v>
      </c>
      <c r="I38" s="190">
        <v>45756.634027777778</v>
      </c>
      <c r="J38" s="188" cm="1">
        <f t="array" ref="J38">IFERROR(INDEX(IM!$X$2:$X$650, MATCH(1, (IM!$F$2:$F$650=A38) * (ISNUMBER(SEARCH($C$1, IM!$AC$2:$AC$650))), 0)), "")</f>
        <v>45756.634027777778</v>
      </c>
      <c r="K38" s="159">
        <f>COUNTIFS(IM!F:F,A38,IM!AD:AD,"O",IM!X:X,"&gt;="&amp;$A$1,IM!X:X,"&lt;="&amp;$B$1)</f>
        <v>1</v>
      </c>
      <c r="L38" s="228" t="str" cm="1">
        <f t="array" ref="L38">IF(K38&gt;0,IFERROR(HYPERLINK("#'IM'!AC"&amp;MATCH(1,(IM!$F$1:$F$7700=A38)*(ISNUMBER(SEARCH("PMQ2",IM!$AC$1:$AC$7700))),0),"檢核"),"未登錄"),"")</f>
        <v>檢核</v>
      </c>
      <c r="M38" s="230" t="str" cm="1">
        <f t="array" ref="M38">IF(AND(SUMPRODUCT((IM!F2:F784=A38)*(ISNUMBER(SEARCH("EDC", IM!AC2:AC784))))&gt;0), "EDC", "")</f>
        <v>EDC</v>
      </c>
      <c r="N38" s="264" t="str" cm="1">
        <f t="array" ref="N38">IF(AND(SUMPRODUCT((IM!F2:F784=A38)*(ISNUMBER(SEARCH("STAR", IM!AC2:AC784))))&gt;0), "STAR", "")</f>
        <v/>
      </c>
      <c r="O38" s="256" t="str" cm="1">
        <f t="array" ref="O38">IFERROR(INDEX(IM!$X$2:$X$650, MATCH(1, (IM!$F$2:$F$650=A38) * (ISNUMBER(SEARCH($D$1, IM!$AC$2:$AC$650))), 0)), "")</f>
        <v/>
      </c>
      <c r="P38" s="191" t="str">
        <f t="shared" si="17"/>
        <v>20250409-3772-三重美溪店(定保)</v>
      </c>
      <c r="Q38" s="267"/>
      <c r="R38" s="267"/>
      <c r="S38" s="267"/>
      <c r="T38" s="267"/>
      <c r="U38" s="258">
        <f t="shared" si="18"/>
        <v>0</v>
      </c>
      <c r="V38" s="246" t="str">
        <f t="shared" si="19"/>
        <v>已完工</v>
      </c>
      <c r="W38" s="268"/>
      <c r="X38" s="269"/>
      <c r="Y38" s="269" t="str">
        <f t="shared" si="20"/>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 t="shared" si="16"/>
        <v>20250409-5316-三重五常店(定保)</v>
      </c>
      <c r="I39" s="190">
        <v>45756.638888888891</v>
      </c>
      <c r="J39" s="188" cm="1">
        <f t="array" ref="J39">IFERROR(INDEX(IM!$X$2:$X$650, MATCH(1, (IM!$F$2:$F$650=A39) * (ISNUMBER(SEARCH($C$1, IM!$AC$2:$AC$650))), 0)), "")</f>
        <v>45756.638888888891</v>
      </c>
      <c r="K39" s="159">
        <f>COUNTIFS(IM!F:F,A39,IM!AD:AD,"O",IM!X:X,"&gt;="&amp;$A$1,IM!X:X,"&lt;="&amp;$B$1)</f>
        <v>1</v>
      </c>
      <c r="L39" s="228" t="str" cm="1">
        <f t="array" ref="L39">IF(K39&gt;0,IFERROR(HYPERLINK("#'IM'!AC"&amp;MATCH(1,(IM!$F$1:$F$7700=A39)*(ISNUMBER(SEARCH("PMQ2",IM!$AC$1:$AC$7700))),0),"檢核"),"未登錄"),"")</f>
        <v>檢核</v>
      </c>
      <c r="M39" s="230" t="str" cm="1">
        <f t="array" ref="M39">IF(AND(SUMPRODUCT((IM!F2:F858=A39)*(ISNUMBER(SEARCH("EDC", IM!AC2:AC858))))&gt;0), "EDC", "")</f>
        <v>EDC</v>
      </c>
      <c r="N39" s="264" t="str" cm="1">
        <f t="array" ref="N39">IF(AND(SUMPRODUCT((IM!F2:F858=A39)*(ISNUMBER(SEARCH("STAR", IM!AC2:AC858))))&gt;0), "STAR", "")</f>
        <v/>
      </c>
      <c r="O39" s="256" t="str" cm="1">
        <f t="array" ref="O39">IFERROR(INDEX(IM!$X$2:$X$650, MATCH(1, (IM!$F$2:$F$650=A39) * (ISNUMBER(SEARCH($D$1, IM!$AC$2:$AC$650))), 0)), "")</f>
        <v/>
      </c>
      <c r="P39" s="191" t="str">
        <f t="shared" si="17"/>
        <v>20250409-5316-三重五常店(定保)</v>
      </c>
      <c r="Q39" s="251"/>
      <c r="R39" s="251"/>
      <c r="S39" s="251"/>
      <c r="T39" s="251"/>
      <c r="U39" s="258">
        <f t="shared" si="18"/>
        <v>0</v>
      </c>
      <c r="V39" s="246" t="str">
        <f t="shared" si="19"/>
        <v>已完工</v>
      </c>
      <c r="X39" s="5"/>
      <c r="Y39" s="5" t="str">
        <f t="shared" si="20"/>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 t="shared" si="16"/>
        <v>20250410-4528-八里鐵塔店(定保)</v>
      </c>
      <c r="I40" s="190">
        <v>45757.463194444441</v>
      </c>
      <c r="J40" s="188" cm="1">
        <f t="array" ref="J40">IFERROR(INDEX(IM!$X$2:$X$650, MATCH(1, (IM!$F$2:$F$650=A40) * (ISNUMBER(SEARCH($C$1, IM!$AC$2:$AC$650))), 0)), "")</f>
        <v>45757.463194444441</v>
      </c>
      <c r="K40" s="159">
        <f>COUNTIFS(IM!F:F,A40,IM!AD:AD,"O",IM!X:X,"&gt;="&amp;$A$1,IM!X:X,"&lt;="&amp;$B$1)</f>
        <v>1</v>
      </c>
      <c r="L40" s="228" t="str" cm="1">
        <f t="array" ref="L40">IF(K40&gt;0,IFERROR(HYPERLINK("#'IM'!AC"&amp;MATCH(1,(IM!$F$1:$F$7700=A40)*(ISNUMBER(SEARCH("PMQ2",IM!$AC$1:$AC$7700))),0),"檢核"),"未登錄"),"")</f>
        <v>檢核</v>
      </c>
      <c r="M40" s="230" t="str" cm="1">
        <f t="array" ref="M40">IF(AND(SUMPRODUCT((IM!F2:F703=A40)*(ISNUMBER(SEARCH("EDC", IM!AC2:AC703))))&gt;0), "EDC", "")</f>
        <v>EDC</v>
      </c>
      <c r="N40" s="264" t="str" cm="1">
        <f t="array" ref="N40">IF(AND(SUMPRODUCT((IM!F2:F703=A40)*(ISNUMBER(SEARCH("STAR", IM!AC2:AC703))))&gt;0), "STAR", "")</f>
        <v/>
      </c>
      <c r="O40" s="256" t="str" cm="1">
        <f t="array" ref="O40">IFERROR(INDEX(IM!$X$2:$X$650, MATCH(1, (IM!$F$2:$F$650=A40) * (ISNUMBER(SEARCH($D$1, IM!$AC$2:$AC$650))), 0)), "")</f>
        <v/>
      </c>
      <c r="P40" s="191" t="str">
        <f t="shared" si="17"/>
        <v>20250410-4528-八里鐵塔店(定保)</v>
      </c>
      <c r="Q40" s="140"/>
      <c r="R40" s="140"/>
      <c r="S40" s="140"/>
      <c r="T40" s="140"/>
      <c r="U40" s="258">
        <f t="shared" si="18"/>
        <v>0</v>
      </c>
      <c r="V40" s="246" t="str">
        <f t="shared" si="19"/>
        <v>已完工</v>
      </c>
      <c r="X40" s="5"/>
      <c r="Y40" s="5" t="str">
        <f t="shared" si="20"/>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 t="shared" si="16"/>
        <v>20250410-3851-北縣輔園店(定保)</v>
      </c>
      <c r="I41" s="190">
        <v>45757.496527777781</v>
      </c>
      <c r="J41" s="188" cm="1">
        <f t="array" ref="J41">IFERROR(INDEX(IM!$X$2:$X$650, MATCH(1, (IM!$F$2:$F$650=A41) * (ISNUMBER(SEARCH($C$1, IM!$AC$2:$AC$650))), 0)), "")</f>
        <v>45757.496527777781</v>
      </c>
      <c r="K41" s="159">
        <f>COUNTIFS(IM!F:F,A41,IM!AD:AD,"O",IM!X:X,"&gt;="&amp;$A$1,IM!X:X,"&lt;="&amp;$B$1)</f>
        <v>1</v>
      </c>
      <c r="L41" s="228" t="str" cm="1">
        <f t="array" ref="L41">IF(K41&gt;0,IFERROR(HYPERLINK("#'IM'!AC"&amp;MATCH(1,(IM!$F$1:$F$7700=A41)*(ISNUMBER(SEARCH("PMQ2",IM!$AC$1:$AC$7700))),0),"檢核"),"未登錄"),"")</f>
        <v>檢核</v>
      </c>
      <c r="M41" s="230" t="str" cm="1">
        <f t="array" ref="M41">IF(AND(SUMPRODUCT((IM!F2:F827=A41)*(ISNUMBER(SEARCH("EDC", IM!AC2:AC827))))&gt;0), "EDC", "")</f>
        <v>EDC</v>
      </c>
      <c r="N41" s="264" t="str" cm="1">
        <f t="array" ref="N41">IF(AND(SUMPRODUCT((IM!F2:F827=A41)*(ISNUMBER(SEARCH("STAR", IM!AC2:AC827))))&gt;0), "STAR", "")</f>
        <v>STAR</v>
      </c>
      <c r="O41" s="256" cm="1">
        <f t="array" ref="O41">IFERROR(INDEX(IM!$X$2:$X$650, MATCH(1, (IM!$F$2:$F$650=A41) * (ISNUMBER(SEARCH($D$1, IM!$AC$2:$AC$650))), 0)), "")</f>
        <v>45757.496527777781</v>
      </c>
      <c r="P41" s="191" t="str">
        <f t="shared" si="17"/>
        <v>20250410-3851-北縣輔園店(定保)</v>
      </c>
      <c r="Q41" s="140"/>
      <c r="R41" s="140"/>
      <c r="S41" s="140"/>
      <c r="T41" s="140"/>
      <c r="U41" s="258">
        <f t="shared" si="18"/>
        <v>2</v>
      </c>
      <c r="V41" s="246" t="str">
        <f t="shared" si="19"/>
        <v>已完工</v>
      </c>
      <c r="W41" s="3" t="s">
        <v>4414</v>
      </c>
      <c r="X41" s="5" t="s">
        <v>4415</v>
      </c>
      <c r="Y41" s="5" t="str">
        <f t="shared" si="20"/>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 t="shared" si="16"/>
        <v>20250410-4259-八里水灣店(定保)</v>
      </c>
      <c r="I42" s="190">
        <v>45757.509027777778</v>
      </c>
      <c r="J42" s="188" cm="1">
        <f t="array" ref="J42">IFERROR(INDEX(IM!$X$2:$X$650, MATCH(1, (IM!$F$2:$F$650=A42) * (ISNUMBER(SEARCH($C$1, IM!$AC$2:$AC$650))), 0)), "")</f>
        <v>45757.509027777778</v>
      </c>
      <c r="K42" s="159">
        <f>COUNTIFS(IM!F:F,A42,IM!AD:AD,"O",IM!X:X,"&gt;="&amp;$A$1,IM!X:X,"&lt;="&amp;$B$1)</f>
        <v>1</v>
      </c>
      <c r="L42" s="228" t="str" cm="1">
        <f t="array" ref="L42">IF(K42&gt;0,IFERROR(HYPERLINK("#'IM'!AC"&amp;MATCH(1,(IM!$F$1:$F$7700=A42)*(ISNUMBER(SEARCH("PMQ2",IM!$AC$1:$AC$7700))),0),"檢核"),"未登錄"),"")</f>
        <v>檢核</v>
      </c>
      <c r="M42" s="230" t="str" cm="1">
        <f t="array" ref="M42">IF(AND(SUMPRODUCT((IM!F2:F704=A42)*(ISNUMBER(SEARCH("EDC", IM!AC2:AC704))))&gt;0), "EDC", "")</f>
        <v>EDC</v>
      </c>
      <c r="N42" s="264" t="str" cm="1">
        <f t="array" ref="N42">IF(AND(SUMPRODUCT((IM!F2:F704=A42)*(ISNUMBER(SEARCH("STAR", IM!AC2:AC704))))&gt;0), "STAR", "")</f>
        <v>STAR</v>
      </c>
      <c r="O42" s="256" cm="1">
        <f t="array" ref="O42">IFERROR(INDEX(IM!$X$2:$X$650, MATCH(1, (IM!$F$2:$F$650=A42) * (ISNUMBER(SEARCH($D$1, IM!$AC$2:$AC$650))), 0)), "")</f>
        <v>45757.509027777778</v>
      </c>
      <c r="P42" s="191" t="str">
        <f t="shared" si="17"/>
        <v>20250410-4259-八里水灣店(定保)</v>
      </c>
      <c r="Q42" s="140"/>
      <c r="R42" s="140"/>
      <c r="S42" s="140"/>
      <c r="T42" s="140"/>
      <c r="U42" s="258">
        <f t="shared" si="18"/>
        <v>2</v>
      </c>
      <c r="V42" s="246" t="str">
        <f t="shared" si="19"/>
        <v>已完工</v>
      </c>
      <c r="W42" s="3" t="s">
        <v>4225</v>
      </c>
      <c r="X42" s="5" t="s">
        <v>4226</v>
      </c>
      <c r="Y42" s="5" t="str">
        <f t="shared" si="20"/>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 t="shared" si="16"/>
        <v>20250410-2306-八里凱旋門(定保)</v>
      </c>
      <c r="I43" s="190">
        <v>45757.544444444444</v>
      </c>
      <c r="J43" s="188" cm="1">
        <f t="array" ref="J43">IFERROR(INDEX(IM!$X$2:$X$650, MATCH(1, (IM!$F$2:$F$650=A43) * (ISNUMBER(SEARCH($C$1, IM!$AC$2:$AC$650))), 0)), "")</f>
        <v>45757.544444444444</v>
      </c>
      <c r="K43" s="159">
        <f>COUNTIFS(IM!F:F,A43,IM!AD:AD,"O",IM!X:X,"&gt;="&amp;$A$1,IM!X:X,"&lt;="&amp;$B$1)</f>
        <v>1</v>
      </c>
      <c r="L43" s="228" t="str" cm="1">
        <f t="array" ref="L43">IF(K43&gt;0,IFERROR(HYPERLINK("#'IM'!AC"&amp;MATCH(1,(IM!$F$1:$F$7700=A43)*(ISNUMBER(SEARCH("PMQ2",IM!$AC$1:$AC$7700))),0),"檢核"),"未登錄"),"")</f>
        <v>檢核</v>
      </c>
      <c r="M43" s="230" t="str" cm="1">
        <f t="array" ref="M43">IF(AND(SUMPRODUCT((IM!F2:F705=A43)*(ISNUMBER(SEARCH("EDC", IM!AC2:AC705))))&gt;0), "EDC", "")</f>
        <v>EDC</v>
      </c>
      <c r="N43" s="264" t="str" cm="1">
        <f t="array" ref="N43">IF(AND(SUMPRODUCT((IM!F2:F705=A43)*(ISNUMBER(SEARCH("STAR", IM!AC2:AC705))))&gt;0), "STAR", "")</f>
        <v>STAR</v>
      </c>
      <c r="O43" s="256" cm="1">
        <f t="array" ref="O43">IFERROR(INDEX(IM!$X$2:$X$650, MATCH(1, (IM!$F$2:$F$650=A43) * (ISNUMBER(SEARCH($D$1, IM!$AC$2:$AC$650))), 0)), "")</f>
        <v>45757.544444444444</v>
      </c>
      <c r="P43" s="191" t="str">
        <f t="shared" si="17"/>
        <v>20250410-2306-八里凱旋門(定保)</v>
      </c>
      <c r="Q43" s="140"/>
      <c r="R43" s="140"/>
      <c r="S43" s="140"/>
      <c r="T43" s="140"/>
      <c r="U43" s="258">
        <f t="shared" si="18"/>
        <v>2</v>
      </c>
      <c r="V43" s="246" t="str">
        <f t="shared" si="19"/>
        <v>已完工</v>
      </c>
      <c r="W43" s="3" t="s">
        <v>4227</v>
      </c>
      <c r="X43" s="5" t="s">
        <v>4228</v>
      </c>
      <c r="Y43" s="5" t="str">
        <f t="shared" si="20"/>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 t="shared" si="16"/>
        <v>20250410-4764-八里大船店(定保)</v>
      </c>
      <c r="I44" s="190">
        <v>45757.611805555556</v>
      </c>
      <c r="J44" s="188" cm="1">
        <f t="array" ref="J44">IFERROR(INDEX(IM!$X$2:$X$650, MATCH(1, (IM!$F$2:$F$650=A44) * (ISNUMBER(SEARCH($C$1, IM!$AC$2:$AC$650))), 0)), "")</f>
        <v>45757.611805555556</v>
      </c>
      <c r="K44" s="159">
        <f>COUNTIFS(IM!F:F,A44,IM!AD:AD,"O",IM!X:X,"&gt;="&amp;$A$1,IM!X:X,"&lt;="&amp;$B$1)</f>
        <v>1</v>
      </c>
      <c r="L44" s="228" t="str" cm="1">
        <f t="array" ref="L44">IF(K44&gt;0,IFERROR(HYPERLINK("#'IM'!AC"&amp;MATCH(1,(IM!$F$1:$F$7700=A44)*(ISNUMBER(SEARCH("PMQ2",IM!$AC$1:$AC$7700))),0),"檢核"),"未登錄"),"")</f>
        <v>檢核</v>
      </c>
      <c r="M44" s="230" t="str" cm="1">
        <f t="array" ref="M44">IF(AND(SUMPRODUCT((IM!F2:F706=A44)*(ISNUMBER(SEARCH("EDC", IM!AC2:AC706))))&gt;0), "EDC", "")</f>
        <v>EDC</v>
      </c>
      <c r="N44" s="264" t="str" cm="1">
        <f t="array" ref="N44">IF(AND(SUMPRODUCT((IM!F2:F706=A44)*(ISNUMBER(SEARCH("STAR", IM!AC2:AC706))))&gt;0), "STAR", "")</f>
        <v/>
      </c>
      <c r="O44" s="256" t="str" cm="1">
        <f t="array" ref="O44">IFERROR(INDEX(IM!$X$2:$X$650, MATCH(1, (IM!$F$2:$F$650=A44) * (ISNUMBER(SEARCH($D$1, IM!$AC$2:$AC$650))), 0)), "")</f>
        <v/>
      </c>
      <c r="P44" s="191" t="str">
        <f t="shared" si="17"/>
        <v>20250410-4764-八里大船店(定保)</v>
      </c>
      <c r="Q44" s="140"/>
      <c r="R44" s="140"/>
      <c r="S44" s="140"/>
      <c r="T44" s="140"/>
      <c r="U44" s="258">
        <f t="shared" si="18"/>
        <v>0</v>
      </c>
      <c r="V44" s="246" t="str">
        <f t="shared" si="19"/>
        <v>已完工</v>
      </c>
      <c r="X44" s="5"/>
      <c r="Y44" s="5" t="str">
        <f t="shared" si="20"/>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 t="shared" si="16"/>
        <v>20250410-2442-北縣商港店(定保)</v>
      </c>
      <c r="I45" s="190">
        <v>45757.661805555559</v>
      </c>
      <c r="J45" s="188" cm="1">
        <f t="array" ref="J45">IFERROR(INDEX(IM!$X$2:$X$650, MATCH(1, (IM!$F$2:$F$650=A45) * (ISNUMBER(SEARCH($C$1, IM!$AC$2:$AC$650))), 0)), "")</f>
        <v>45757.661805555559</v>
      </c>
      <c r="K45" s="159">
        <f>COUNTIFS(IM!F:F,A45,IM!AD:AD,"O",IM!X:X,"&gt;="&amp;$A$1,IM!X:X,"&lt;="&amp;$B$1)</f>
        <v>1</v>
      </c>
      <c r="L45" s="228" t="str" cm="1">
        <f t="array" ref="L45">IF(K45&gt;0,IFERROR(HYPERLINK("#'IM'!AC"&amp;MATCH(1,(IM!$F$1:$F$7700=A45)*(ISNUMBER(SEARCH("PMQ2",IM!$AC$1:$AC$7700))),0),"檢核"),"未登錄"),"")</f>
        <v>檢核</v>
      </c>
      <c r="M45" s="230" t="str" cm="1">
        <f t="array" ref="M45">IF(AND(SUMPRODUCT((IM!F2:F707=A45)*(ISNUMBER(SEARCH("EDC", IM!AC2:AC707))))&gt;0), "EDC", "")</f>
        <v>EDC</v>
      </c>
      <c r="N45" s="264" t="str" cm="1">
        <f t="array" ref="N45">IF(AND(SUMPRODUCT((IM!F2:F707=A45)*(ISNUMBER(SEARCH("STAR", IM!AC2:AC707))))&gt;0), "STAR", "")</f>
        <v>STAR</v>
      </c>
      <c r="O45" s="256" cm="1">
        <f t="array" ref="O45">IFERROR(INDEX(IM!$X$2:$X$650, MATCH(1, (IM!$F$2:$F$650=A45) * (ISNUMBER(SEARCH($D$1, IM!$AC$2:$AC$650))), 0)), "")</f>
        <v>45757.661805555559</v>
      </c>
      <c r="P45" s="191" t="str">
        <f t="shared" si="17"/>
        <v>20250410-2442-北縣商港店(定保)</v>
      </c>
      <c r="Q45" s="140"/>
      <c r="R45" s="140"/>
      <c r="S45" s="140"/>
      <c r="T45" s="140"/>
      <c r="U45" s="258">
        <f t="shared" si="18"/>
        <v>2</v>
      </c>
      <c r="V45" s="246" t="str">
        <f t="shared" si="19"/>
        <v>已完工</v>
      </c>
      <c r="W45" s="3" t="s">
        <v>4229</v>
      </c>
      <c r="X45" s="5" t="s">
        <v>4230</v>
      </c>
      <c r="Y45" s="5" t="str">
        <f t="shared" si="20"/>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 t="shared" si="16"/>
        <v>20250410-5074-八里福德新村(定保)</v>
      </c>
      <c r="I46" s="190">
        <v>45757.680555555555</v>
      </c>
      <c r="J46" s="188" cm="1">
        <f t="array" ref="J46">IFERROR(INDEX(IM!$X$2:$X$650, MATCH(1, (IM!$F$2:$F$650=A46) * (ISNUMBER(SEARCH($C$1, IM!$AC$2:$AC$650))), 0)), "")</f>
        <v>45757.680555555555</v>
      </c>
      <c r="K46" s="159">
        <f>COUNTIFS(IM!F:F,A46,IM!AD:AD,"O",IM!X:X,"&gt;="&amp;$A$1,IM!X:X,"&lt;="&amp;$B$1)</f>
        <v>1</v>
      </c>
      <c r="L46" s="228" t="str" cm="1">
        <f t="array" ref="L46">IF(K46&gt;0,IFERROR(HYPERLINK("#'IM'!AC"&amp;MATCH(1,(IM!$F$1:$F$7700=A46)*(ISNUMBER(SEARCH("PMQ2",IM!$AC$1:$AC$7700))),0),"檢核"),"未登錄"),"")</f>
        <v>檢核</v>
      </c>
      <c r="M46" s="230" t="str" cm="1">
        <f t="array" ref="M46">IF(AND(SUMPRODUCT((IM!F2:F708=A46)*(ISNUMBER(SEARCH("EDC", IM!AC2:AC708))))&gt;0), "EDC", "")</f>
        <v>EDC</v>
      </c>
      <c r="N46" s="264" t="str" cm="1">
        <f t="array" ref="N46">IF(AND(SUMPRODUCT((IM!F2:F708=A46)*(ISNUMBER(SEARCH("STAR", IM!AC2:AC708))))&gt;0), "STAR", "")</f>
        <v/>
      </c>
      <c r="O46" s="256" t="str" cm="1">
        <f t="array" ref="O46">IFERROR(INDEX(IM!$X$2:$X$650, MATCH(1, (IM!$F$2:$F$650=A46) * (ISNUMBER(SEARCH($D$1, IM!$AC$2:$AC$650))), 0)), "")</f>
        <v/>
      </c>
      <c r="P46" s="191" t="str">
        <f t="shared" si="17"/>
        <v>20250410-5074-八里福德新村(定保)</v>
      </c>
      <c r="Q46" s="140"/>
      <c r="R46" s="140"/>
      <c r="S46" s="140"/>
      <c r="T46" s="140"/>
      <c r="U46" s="258">
        <f t="shared" si="18"/>
        <v>0</v>
      </c>
      <c r="V46" s="246" t="str">
        <f t="shared" si="19"/>
        <v>已完工</v>
      </c>
      <c r="X46" s="5"/>
      <c r="Y46" s="5" t="str">
        <f t="shared" si="20"/>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 t="shared" si="16"/>
        <v>20250410-4243-八里聖心店(定保)</v>
      </c>
      <c r="I47" s="190">
        <v>45757.727777777778</v>
      </c>
      <c r="J47" s="188" cm="1">
        <f t="array" ref="J47">IFERROR(INDEX(IM!$X$2:$X$650, MATCH(1, (IM!$F$2:$F$650=A47) * (ISNUMBER(SEARCH($C$1, IM!$AC$2:$AC$650))), 0)), "")</f>
        <v>45757.727777777778</v>
      </c>
      <c r="K47" s="159">
        <f>COUNTIFS(IM!F:F,A47,IM!AD:AD,"O",IM!X:X,"&gt;="&amp;$A$1,IM!X:X,"&lt;="&amp;$B$1)</f>
        <v>1</v>
      </c>
      <c r="L47" s="228" t="str" cm="1">
        <f t="array" ref="L47">IF(K47&gt;0,IFERROR(HYPERLINK("#'IM'!AC"&amp;MATCH(1,(IM!$F$1:$F$7700=A47)*(ISNUMBER(SEARCH("PMQ2",IM!$AC$1:$AC$7700))),0),"檢核"),"未登錄"),"")</f>
        <v>檢核</v>
      </c>
      <c r="M47" s="230" t="str" cm="1">
        <f t="array" ref="M47">IF(AND(SUMPRODUCT((IM!F2:F751=A47)*(ISNUMBER(SEARCH("EDC", IM!AC2:AC751))))&gt;0), "EDC", "")</f>
        <v>EDC</v>
      </c>
      <c r="N47" s="264" t="str" cm="1">
        <f t="array" ref="N47">IF(AND(SUMPRODUCT((IM!F2:F751=A47)*(ISNUMBER(SEARCH("STAR", IM!AC2:AC751))))&gt;0), "STAR", "")</f>
        <v>STAR</v>
      </c>
      <c r="O47" s="256" cm="1">
        <f t="array" ref="O47">IFERROR(INDEX(IM!$X$2:$X$650, MATCH(1, (IM!$F$2:$F$650=A47) * (ISNUMBER(SEARCH($D$1, IM!$AC$2:$AC$650))), 0)), "")</f>
        <v>45757.727777777778</v>
      </c>
      <c r="P47" s="191" t="str">
        <f t="shared" si="17"/>
        <v>20250410-4243-八里聖心店(定保)</v>
      </c>
      <c r="Q47" s="140"/>
      <c r="R47" s="140"/>
      <c r="S47" s="140"/>
      <c r="T47" s="140"/>
      <c r="U47" s="258">
        <f t="shared" si="18"/>
        <v>2</v>
      </c>
      <c r="V47" s="246" t="str">
        <f t="shared" si="19"/>
        <v>已完工</v>
      </c>
      <c r="W47" s="3" t="s">
        <v>4277</v>
      </c>
      <c r="X47" s="5" t="s">
        <v>4278</v>
      </c>
      <c r="Y47" s="5" t="str">
        <f t="shared" ref="Y47:Y78" si="21">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 t="shared" si="16"/>
        <v>20250410-3458-八里龍米店(定保)</v>
      </c>
      <c r="I48" s="190">
        <v>45757.754166666666</v>
      </c>
      <c r="J48" s="188" cm="1">
        <f t="array" ref="J48">IFERROR(INDEX(IM!$X$2:$X$650, MATCH(1, (IM!$F$2:$F$650=A48) * (ISNUMBER(SEARCH($C$1, IM!$AC$2:$AC$650))), 0)), "")</f>
        <v>45757.754166666666</v>
      </c>
      <c r="K48" s="159">
        <f>COUNTIFS(IM!F:F,A48,IM!AD:AD,"O",IM!X:X,"&gt;="&amp;$A$1,IM!X:X,"&lt;="&amp;$B$1)</f>
        <v>1</v>
      </c>
      <c r="L48" s="228" t="str" cm="1">
        <f t="array" ref="L48">IF(K48&gt;0,IFERROR(HYPERLINK("#'IM'!AC"&amp;MATCH(1,(IM!$F$1:$F$7700=A48)*(ISNUMBER(SEARCH("PMQ2",IM!$AC$1:$AC$7700))),0),"檢核"),"未登錄"),"")</f>
        <v>檢核</v>
      </c>
      <c r="M48" s="230" t="str" cm="1">
        <f t="array" ref="M48">IF(AND(SUMPRODUCT((IM!F2:F752=A48)*(ISNUMBER(SEARCH("EDC", IM!AC2:AC752))))&gt;0), "EDC", "")</f>
        <v>EDC</v>
      </c>
      <c r="N48" s="264" t="str" cm="1">
        <f t="array" ref="N48">IF(AND(SUMPRODUCT((IM!F2:F752=A48)*(ISNUMBER(SEARCH("STAR", IM!AC2:AC752))))&gt;0), "STAR", "")</f>
        <v>STAR</v>
      </c>
      <c r="O48" s="256" cm="1">
        <f t="array" ref="O48">IFERROR(INDEX(IM!$X$2:$X$650, MATCH(1, (IM!$F$2:$F$650=A48) * (ISNUMBER(SEARCH($D$1, IM!$AC$2:$AC$650))), 0)), "")</f>
        <v>45757.754166666666</v>
      </c>
      <c r="P48" s="191" t="str">
        <f t="shared" si="17"/>
        <v>20250410-3458-八里龍米店(定保)</v>
      </c>
      <c r="Q48" s="140"/>
      <c r="R48" s="140"/>
      <c r="S48" s="140"/>
      <c r="T48" s="140"/>
      <c r="U48" s="258">
        <f t="shared" si="18"/>
        <v>1</v>
      </c>
      <c r="V48" s="246" t="str">
        <f t="shared" si="19"/>
        <v>已完工</v>
      </c>
      <c r="X48" s="5" t="s">
        <v>4279</v>
      </c>
      <c r="Y48" s="5" t="str">
        <f t="shared" si="21"/>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 t="shared" si="16"/>
        <v>20250411-4656-泰山新民店(定保)</v>
      </c>
      <c r="I49" s="190">
        <v>45758.451388888891</v>
      </c>
      <c r="J49" s="188" cm="1">
        <f t="array" ref="J49">IFERROR(INDEX(IM!$X$2:$X$650, MATCH(1, (IM!$F$2:$F$650=A49) * (ISNUMBER(SEARCH($C$1, IM!$AC$2:$AC$650))), 0)), "")</f>
        <v>45758.451388888891</v>
      </c>
      <c r="K49" s="159">
        <f>COUNTIFS(IM!F:F,A49,IM!AD:AD,"O",IM!X:X,"&gt;="&amp;$A$1,IM!X:X,"&lt;="&amp;$B$1)</f>
        <v>1</v>
      </c>
      <c r="L49" s="228" t="str" cm="1">
        <f t="array" ref="L49">IF(K49&gt;0,IFERROR(HYPERLINK("#'IM'!AC"&amp;MATCH(1,(IM!$F$1:$F$7700=A49)*(ISNUMBER(SEARCH("PMQ2",IM!$AC$1:$AC$7700))),0),"檢核"),"未登錄"),"")</f>
        <v>檢核</v>
      </c>
      <c r="M49" s="230" t="str" cm="1">
        <f t="array" ref="M49">IF(AND(SUMPRODUCT((IM!F2:F716=A49)*(ISNUMBER(SEARCH("EDC", IM!AC2:AC716))))&gt;0), "EDC", "")</f>
        <v>EDC</v>
      </c>
      <c r="N49" s="264" t="str" cm="1">
        <f t="array" ref="N49">IF(AND(SUMPRODUCT((IM!F2:F716=A49)*(ISNUMBER(SEARCH("STAR", IM!AC2:AC716))))&gt;0), "STAR", "")</f>
        <v>STAR</v>
      </c>
      <c r="O49" s="256" cm="1">
        <f t="array" ref="O49">IFERROR(INDEX(IM!$X$2:$X$650, MATCH(1, (IM!$F$2:$F$650=A49) * (ISNUMBER(SEARCH($D$1, IM!$AC$2:$AC$650))), 0)), "")</f>
        <v>45758.451388888891</v>
      </c>
      <c r="P49" s="191" t="str">
        <f t="shared" si="17"/>
        <v>20250411-4656-泰山新民店(定保)</v>
      </c>
      <c r="Q49" s="140"/>
      <c r="R49" s="140"/>
      <c r="S49" s="140"/>
      <c r="T49" s="140"/>
      <c r="U49" s="258">
        <f t="shared" si="18"/>
        <v>2</v>
      </c>
      <c r="V49" s="246" t="str">
        <f t="shared" si="19"/>
        <v>已完工</v>
      </c>
      <c r="W49" s="3" t="s">
        <v>4234</v>
      </c>
      <c r="X49" s="5" t="s">
        <v>4235</v>
      </c>
      <c r="Y49" s="5" t="str">
        <f t="shared" si="21"/>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 t="shared" si="16"/>
        <v>20250411-3606-北縣泰富店(定保)</v>
      </c>
      <c r="I50" s="190">
        <v>45758.493055555555</v>
      </c>
      <c r="J50" s="188" cm="1">
        <f t="array" ref="J50">IFERROR(INDEX(IM!$X$2:$X$650, MATCH(1, (IM!$F$2:$F$650=A50) * (ISNUMBER(SEARCH($C$1, IM!$AC$2:$AC$650))), 0)), "")</f>
        <v>45758.493055555555</v>
      </c>
      <c r="K50" s="159">
        <f>COUNTIFS(IM!F:F,A50,IM!AD:AD,"O",IM!X:X,"&gt;="&amp;$A$1,IM!X:X,"&lt;="&amp;$B$1)</f>
        <v>1</v>
      </c>
      <c r="L50" s="228" t="str" cm="1">
        <f t="array" ref="L50">IF(K50&gt;0,IFERROR(HYPERLINK("#'IM'!AC"&amp;MATCH(1,(IM!$F$1:$F$7700=A50)*(ISNUMBER(SEARCH("PMQ2",IM!$AC$1:$AC$7700))),0),"檢核"),"未登錄"),"")</f>
        <v>檢核</v>
      </c>
      <c r="M50" s="230" t="str" cm="1">
        <f t="array" ref="M50">IF(AND(SUMPRODUCT((IM!F2:F717=A50)*(ISNUMBER(SEARCH("EDC", IM!AC2:AC717))))&gt;0), "EDC", "")</f>
        <v>EDC</v>
      </c>
      <c r="N50" s="264" t="str" cm="1">
        <f t="array" ref="N50">IF(AND(SUMPRODUCT((IM!F2:F717=A50)*(ISNUMBER(SEARCH("STAR", IM!AC2:AC717))))&gt;0), "STAR", "")</f>
        <v>STAR</v>
      </c>
      <c r="O50" s="256" cm="1">
        <f t="array" ref="O50">IFERROR(INDEX(IM!$X$2:$X$650, MATCH(1, (IM!$F$2:$F$650=A50) * (ISNUMBER(SEARCH($D$1, IM!$AC$2:$AC$650))), 0)), "")</f>
        <v>45758.493055555555</v>
      </c>
      <c r="P50" s="191" t="str">
        <f t="shared" si="17"/>
        <v>20250411-3606-北縣泰富店(定保)</v>
      </c>
      <c r="Q50" s="140"/>
      <c r="R50" s="140"/>
      <c r="S50" s="140"/>
      <c r="T50" s="140"/>
      <c r="U50" s="258">
        <f t="shared" si="18"/>
        <v>2</v>
      </c>
      <c r="V50" s="246" t="str">
        <f t="shared" si="19"/>
        <v>已完工</v>
      </c>
      <c r="W50" s="3" t="s">
        <v>4236</v>
      </c>
      <c r="X50" s="5" t="s">
        <v>4237</v>
      </c>
      <c r="Y50" s="5" t="str">
        <f t="shared" si="21"/>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 t="shared" si="16"/>
        <v>20250411-D024-三重三民店(定保)</v>
      </c>
      <c r="I51" s="190">
        <v>45758.502083333333</v>
      </c>
      <c r="J51" s="188" cm="1">
        <f t="array" ref="J51">IFERROR(INDEX(IM!$X$2:$X$650, MATCH(1, (IM!$F$2:$F$650=A51) * (ISNUMBER(SEARCH($C$1, IM!$AC$2:$AC$650))), 0)), "")</f>
        <v>45758.502083333333</v>
      </c>
      <c r="K51" s="159">
        <f>COUNTIFS(IM!F:F,A51,IM!AD:AD,"O",IM!X:X,"&gt;="&amp;$A$1,IM!X:X,"&lt;="&amp;$B$1)</f>
        <v>1</v>
      </c>
      <c r="L51" s="228" t="str" cm="1">
        <f t="array" ref="L51">IF(K51&gt;0,IFERROR(HYPERLINK("#'IM'!AC"&amp;MATCH(1,(IM!$F$1:$F$7700=A51)*(ISNUMBER(SEARCH("PMQ2",IM!$AC$1:$AC$7700))),0),"檢核"),"未登錄"),"")</f>
        <v>檢核</v>
      </c>
      <c r="M51" s="230" t="str" cm="1">
        <f t="array" ref="M51">IF(AND(SUMPRODUCT((IM!F2:F688=A51)*(ISNUMBER(SEARCH("EDC", IM!AC2:AC688))))&gt;0), "EDC", "")</f>
        <v>EDC</v>
      </c>
      <c r="N51" s="264" t="str" cm="1">
        <f t="array" ref="N51">IF(AND(SUMPRODUCT((IM!F2:F688=A51)*(ISNUMBER(SEARCH("STAR", IM!AC2:AC688))))&gt;0), "STAR", "")</f>
        <v>STAR</v>
      </c>
      <c r="O51" s="256" cm="1">
        <f t="array" ref="O51">IFERROR(INDEX(IM!$X$2:$X$650, MATCH(1, (IM!$F$2:$F$650=A51) * (ISNUMBER(SEARCH($D$1, IM!$AC$2:$AC$650))), 0)), "")</f>
        <v>45758.502083333333</v>
      </c>
      <c r="P51" s="191" t="str">
        <f t="shared" si="17"/>
        <v>20250411-D024-三重三民店(定保)</v>
      </c>
      <c r="Q51" s="140"/>
      <c r="R51" s="140"/>
      <c r="S51" s="140"/>
      <c r="T51" s="140"/>
      <c r="U51" s="258">
        <f t="shared" si="18"/>
        <v>2</v>
      </c>
      <c r="V51" s="246" t="str">
        <f t="shared" si="19"/>
        <v>已完工</v>
      </c>
      <c r="W51" s="3" t="s">
        <v>4204</v>
      </c>
      <c r="X51" s="5" t="s">
        <v>4205</v>
      </c>
      <c r="Y51" s="5" t="str">
        <f t="shared" si="21"/>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 t="shared" si="16"/>
        <v>20250411-3676-三重田心店(定保)</v>
      </c>
      <c r="I52" s="190">
        <v>45758.548611111109</v>
      </c>
      <c r="J52" s="188" cm="1">
        <f t="array" ref="J52">IFERROR(INDEX(IM!$X$2:$X$650, MATCH(1, (IM!$F$2:$F$650=A52) * (ISNUMBER(SEARCH($C$1, IM!$AC$2:$AC$650))), 0)), "")</f>
        <v>45758.548611111109</v>
      </c>
      <c r="K52" s="159">
        <f>COUNTIFS(IM!F:F,A52,IM!AD:AD,"O",IM!X:X,"&gt;="&amp;$A$1,IM!X:X,"&lt;="&amp;$B$1)</f>
        <v>1</v>
      </c>
      <c r="L52" s="228" t="str" cm="1">
        <f t="array" ref="L52">IF(K52&gt;0,IFERROR(HYPERLINK("#'IM'!AC"&amp;MATCH(1,(IM!$F$1:$F$7700=A52)*(ISNUMBER(SEARCH("PMQ2",IM!$AC$1:$AC$7700))),0),"檢核"),"未登錄"),"")</f>
        <v>檢核</v>
      </c>
      <c r="M52" s="230" t="str" cm="1">
        <f t="array" ref="M52">IF(AND(SUMPRODUCT((IM!F2:F689=A52)*(ISNUMBER(SEARCH("EDC", IM!AC2:AC689))))&gt;0), "EDC", "")</f>
        <v>EDC</v>
      </c>
      <c r="N52" s="264" t="str" cm="1">
        <f t="array" ref="N52">IF(AND(SUMPRODUCT((IM!F2:F689=A52)*(ISNUMBER(SEARCH("STAR", IM!AC2:AC689))))&gt;0), "STAR", "")</f>
        <v>STAR</v>
      </c>
      <c r="O52" s="256" cm="1">
        <f t="array" ref="O52">IFERROR(INDEX(IM!$X$2:$X$650, MATCH(1, (IM!$F$2:$F$650=A52) * (ISNUMBER(SEARCH($D$1, IM!$AC$2:$AC$650))), 0)), "")</f>
        <v>45758.548611111109</v>
      </c>
      <c r="P52" s="191" t="str">
        <f t="shared" si="17"/>
        <v>20250411-3676-三重田心店(定保)</v>
      </c>
      <c r="Q52" s="140"/>
      <c r="R52" s="140"/>
      <c r="S52" s="140"/>
      <c r="T52" s="140"/>
      <c r="U52" s="258">
        <f t="shared" si="18"/>
        <v>2</v>
      </c>
      <c r="V52" s="246" t="str">
        <f t="shared" si="19"/>
        <v>已完工</v>
      </c>
      <c r="W52" s="3" t="s">
        <v>4206</v>
      </c>
      <c r="X52" s="5" t="s">
        <v>4207</v>
      </c>
      <c r="Y52" s="5" t="str">
        <f t="shared" si="21"/>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 t="shared" si="16"/>
        <v>20250411-3752-板橋豫章店(定保)</v>
      </c>
      <c r="I53" s="190">
        <v>45758.645833333336</v>
      </c>
      <c r="J53" s="188" cm="1">
        <f t="array" ref="J53">IFERROR(INDEX(IM!$X$2:$X$650, MATCH(1, (IM!$F$2:$F$650=A53) * (ISNUMBER(SEARCH($C$1, IM!$AC$2:$AC$650))), 0)), "")</f>
        <v>45758.645833333336</v>
      </c>
      <c r="K53" s="159">
        <f>COUNTIFS(IM!F:F,A53,IM!AD:AD,"O",IM!X:X,"&gt;="&amp;$A$1,IM!X:X,"&lt;="&amp;$B$1)</f>
        <v>1</v>
      </c>
      <c r="L53" s="228" t="str" cm="1">
        <f t="array" ref="L53">IF(K53&gt;0,IFERROR(HYPERLINK("#'IM'!AC"&amp;MATCH(1,(IM!$F$1:$F$7700=A53)*(ISNUMBER(SEARCH("PMQ2",IM!$AC$1:$AC$7700))),0),"檢核"),"未登錄"),"")</f>
        <v>檢核</v>
      </c>
      <c r="M53" s="230" t="str" cm="1">
        <f t="array" ref="M53">IF(AND(SUMPRODUCT((IM!F2:F848=A53)*(ISNUMBER(SEARCH("EDC", IM!AC2:AC848))))&gt;0), "EDC", "")</f>
        <v>EDC</v>
      </c>
      <c r="N53" s="264" t="str" cm="1">
        <f t="array" ref="N53">IF(AND(SUMPRODUCT((IM!F2:F848=A53)*(ISNUMBER(SEARCH("STAR", IM!AC2:AC848))))&gt;0), "STAR", "")</f>
        <v>STAR</v>
      </c>
      <c r="O53" s="256" cm="1">
        <f t="array" ref="O53">IFERROR(INDEX(IM!$X$2:$X$650, MATCH(1, (IM!$F$2:$F$650=A53) * (ISNUMBER(SEARCH($D$1, IM!$AC$2:$AC$650))), 0)), "")</f>
        <v>45758.645833333336</v>
      </c>
      <c r="P53" s="191" t="str">
        <f t="shared" si="17"/>
        <v>20250411-3752-板橋豫章店(定保)</v>
      </c>
      <c r="Q53" s="140"/>
      <c r="R53" s="140"/>
      <c r="S53" s="140"/>
      <c r="T53" s="140"/>
      <c r="U53" s="258">
        <f t="shared" si="18"/>
        <v>2</v>
      </c>
      <c r="V53" s="246" t="str">
        <f t="shared" si="19"/>
        <v>已完工</v>
      </c>
      <c r="W53" s="3" t="s">
        <v>4390</v>
      </c>
      <c r="X53" s="5" t="s">
        <v>4391</v>
      </c>
      <c r="Y53" s="5" t="str">
        <f t="shared" si="21"/>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 t="shared" si="16"/>
        <v>20250411-3977-板橋玉川店(定保)</v>
      </c>
      <c r="I54" s="190">
        <v>45758.659722222219</v>
      </c>
      <c r="J54" s="188" cm="1">
        <f t="array" ref="J54">IFERROR(INDEX(IM!$X$2:$X$650, MATCH(1, (IM!$F$2:$F$650=A54) * (ISNUMBER(SEARCH($C$1, IM!$AC$2:$AC$650))), 0)), "")</f>
        <v>45758.659722222219</v>
      </c>
      <c r="K54" s="159">
        <f>COUNTIFS(IM!F:F,A54,IM!AD:AD,"O",IM!X:X,"&gt;="&amp;$A$1,IM!X:X,"&lt;="&amp;$B$1)</f>
        <v>1</v>
      </c>
      <c r="L54" s="228" t="str" cm="1">
        <f t="array" ref="L54">IF(K54&gt;0,IFERROR(HYPERLINK("#'IM'!AC"&amp;MATCH(1,(IM!$F$1:$F$7700=A54)*(ISNUMBER(SEARCH("PMQ2",IM!$AC$1:$AC$7700))),0),"檢核"),"未登錄"),"")</f>
        <v>檢核</v>
      </c>
      <c r="M54" s="230" t="str" cm="1">
        <f t="array" ref="M54">IF(AND(SUMPRODUCT((IM!F2:F667=A54)*(ISNUMBER(SEARCH("EDC", IM!AC2:AC667))))&gt;0), "EDC", "")</f>
        <v>EDC</v>
      </c>
      <c r="N54" s="264" t="str" cm="1">
        <f t="array" ref="N54">IF(AND(SUMPRODUCT((IM!F2:F667=A54)*(ISNUMBER(SEARCH("STAR", IM!AC2:AC667))))&gt;0), "STAR", "")</f>
        <v/>
      </c>
      <c r="O54" s="256" t="str" cm="1">
        <f t="array" ref="O54">IFERROR(INDEX(IM!$X$2:$X$650, MATCH(1, (IM!$F$2:$F$650=A54) * (ISNUMBER(SEARCH($D$1, IM!$AC$2:$AC$650))), 0)), "")</f>
        <v/>
      </c>
      <c r="P54" s="191" t="str">
        <f t="shared" si="17"/>
        <v>20250411-3977-板橋玉川店(定保)</v>
      </c>
      <c r="Q54" s="140"/>
      <c r="R54" s="140"/>
      <c r="S54" s="140"/>
      <c r="T54" s="140"/>
      <c r="U54" s="258">
        <f t="shared" si="18"/>
        <v>0</v>
      </c>
      <c r="V54" s="246" t="str">
        <f t="shared" si="19"/>
        <v>已完工</v>
      </c>
      <c r="X54" s="5"/>
      <c r="Y54" s="5" t="str">
        <f t="shared" si="21"/>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 t="shared" si="16"/>
        <v>20250414-4005-新莊雙鳳店(定保)</v>
      </c>
      <c r="I55" s="190">
        <v>45761.479166666664</v>
      </c>
      <c r="J55" s="188" cm="1">
        <f t="array" ref="J55">IFERROR(INDEX(IM!$X$2:$X$650, MATCH(1, (IM!$F$2:$F$650=A55) * (ISNUMBER(SEARCH($C$1, IM!$AC$2:$AC$650))), 0)), "")</f>
        <v>45761.479166666664</v>
      </c>
      <c r="K55" s="159">
        <f>COUNTIFS(IM!F:F,A55,IM!AD:AD,"O",IM!X:X,"&gt;="&amp;$A$1,IM!X:X,"&lt;="&amp;$B$1)</f>
        <v>2</v>
      </c>
      <c r="L55" s="228" t="str" cm="1">
        <f t="array" ref="L55">IF(K55&gt;0,IFERROR(HYPERLINK("#'IM'!AC"&amp;MATCH(1,(IM!$F$1:$F$7700=A55)*(ISNUMBER(SEARCH("PMQ2",IM!$AC$1:$AC$7700))),0),"檢核"),"未登錄"),"")</f>
        <v>檢核</v>
      </c>
      <c r="M55" s="230" t="str" cm="1">
        <f t="array" ref="M55">IF(AND(SUMPRODUCT((IM!F2:F715=A55)*(ISNUMBER(SEARCH("EDC", IM!AC2:AC715))))&gt;0), "EDC", "")</f>
        <v>EDC</v>
      </c>
      <c r="N55" s="264" t="str" cm="1">
        <f t="array" ref="N55">IF(AND(SUMPRODUCT((IM!F2:F715=A55)*(ISNUMBER(SEARCH("STAR", IM!AC2:AC715))))&gt;0), "STAR", "")</f>
        <v>STAR</v>
      </c>
      <c r="O55" s="256" cm="1">
        <f t="array" ref="O55">IFERROR(INDEX(IM!$X$2:$X$650, MATCH(1, (IM!$F$2:$F$650=A55) * (ISNUMBER(SEARCH($D$1, IM!$AC$2:$AC$650))), 0)), "")</f>
        <v>45761.479166666664</v>
      </c>
      <c r="P55" s="191" t="str">
        <f t="shared" si="17"/>
        <v>20250414-4005-新莊雙鳳店(定保)</v>
      </c>
      <c r="Q55" s="140"/>
      <c r="R55" s="140"/>
      <c r="S55" s="140"/>
      <c r="T55" s="140"/>
      <c r="U55" s="258">
        <f t="shared" si="18"/>
        <v>2</v>
      </c>
      <c r="V55" s="246" t="str">
        <f t="shared" si="19"/>
        <v>已完工</v>
      </c>
      <c r="W55" s="3" t="s">
        <v>4232</v>
      </c>
      <c r="X55" s="5" t="s">
        <v>4233</v>
      </c>
      <c r="Y55" s="5" t="str">
        <f t="shared" si="21"/>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 t="shared" si="16"/>
        <v>20250414-D649-北縣中陽店(定保)</v>
      </c>
      <c r="I56" s="190">
        <v>45761.48333333333</v>
      </c>
      <c r="J56" s="188" cm="1">
        <f t="array" ref="J56">IFERROR(INDEX(IM!$X$2:$X$650, MATCH(1, (IM!$F$2:$F$650=A56) * (ISNUMBER(SEARCH($C$1, IM!$AC$2:$AC$650))), 0)), "")</f>
        <v>45761.48333333333</v>
      </c>
      <c r="K56" s="159">
        <f>COUNTIFS(IM!F:F,A56,IM!AD:AD,"O",IM!X:X,"&gt;="&amp;$A$1,IM!X:X,"&lt;="&amp;$B$1)</f>
        <v>1</v>
      </c>
      <c r="L56" s="228" t="str" cm="1">
        <f t="array" ref="L56">IF(K56&gt;0,IFERROR(HYPERLINK("#'IM'!AC"&amp;MATCH(1,(IM!$F$1:$F$7700=A56)*(ISNUMBER(SEARCH("PMQ2",IM!$AC$1:$AC$7700))),0),"檢核"),"未登錄"),"")</f>
        <v>檢核</v>
      </c>
      <c r="M56" s="230" t="str" cm="1">
        <f t="array" ref="M56">IF(AND(SUMPRODUCT((IM!F2:F681=A56)*(ISNUMBER(SEARCH("EDC", IM!AC2:AC681))))&gt;0), "EDC", "")</f>
        <v>EDC</v>
      </c>
      <c r="N56" s="264" t="str" cm="1">
        <f t="array" ref="N56">IF(AND(SUMPRODUCT((IM!F2:F681=A56)*(ISNUMBER(SEARCH("STAR", IM!AC2:AC681))))&gt;0), "STAR", "")</f>
        <v>STAR</v>
      </c>
      <c r="O56" s="256" cm="1">
        <f t="array" ref="O56">IFERROR(INDEX(IM!$X$2:$X$650, MATCH(1, (IM!$F$2:$F$650=A56) * (ISNUMBER(SEARCH($D$1, IM!$AC$2:$AC$650))), 0)), "")</f>
        <v>45761.48333333333</v>
      </c>
      <c r="P56" s="191" t="str">
        <f t="shared" si="17"/>
        <v>20250414-D649-北縣中陽店(定保)</v>
      </c>
      <c r="Q56" s="140"/>
      <c r="R56" s="140"/>
      <c r="S56" s="140"/>
      <c r="T56" s="140"/>
      <c r="U56" s="258">
        <f t="shared" si="18"/>
        <v>2</v>
      </c>
      <c r="V56" s="246" t="str">
        <f t="shared" si="19"/>
        <v>已完工</v>
      </c>
      <c r="W56" s="3" t="s">
        <v>4192</v>
      </c>
      <c r="X56" s="5" t="s">
        <v>4193</v>
      </c>
      <c r="Y56" s="5" t="str">
        <f t="shared" si="21"/>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 t="shared" si="16"/>
        <v>20250414-2014-三重中陽二店(定保)</v>
      </c>
      <c r="I57" s="190">
        <v>45761.527083333334</v>
      </c>
      <c r="J57" s="188" cm="1">
        <f t="array" ref="J57">IFERROR(INDEX(IM!$X$2:$X$650, MATCH(1, (IM!$F$2:$F$650=A57) * (ISNUMBER(SEARCH($C$1, IM!$AC$2:$AC$650))), 0)), "")</f>
        <v>45761.527083333334</v>
      </c>
      <c r="K57" s="159">
        <f>COUNTIFS(IM!F:F,A57,IM!AD:AD,"O",IM!X:X,"&gt;="&amp;$A$1,IM!X:X,"&lt;="&amp;$B$1)</f>
        <v>1</v>
      </c>
      <c r="L57" s="228" t="str" cm="1">
        <f t="array" ref="L57">IF(K57&gt;0,IFERROR(HYPERLINK("#'IM'!AC"&amp;MATCH(1,(IM!$F$1:$F$7700=A57)*(ISNUMBER(SEARCH("PMQ2",IM!$AC$1:$AC$7700))),0),"檢核"),"未登錄"),"")</f>
        <v>檢核</v>
      </c>
      <c r="M57" s="230" t="str" cm="1">
        <f t="array" ref="M57">IF(AND(SUMPRODUCT((IM!F2:F669=A57)*(ISNUMBER(SEARCH("EDC", IM!AC2:AC669))))&gt;0), "EDC", "")</f>
        <v>EDC</v>
      </c>
      <c r="N57" s="264" t="str" cm="1">
        <f t="array" ref="N57">IF(AND(SUMPRODUCT((IM!F2:F669=A57)*(ISNUMBER(SEARCH("STAR", IM!AC2:AC669))))&gt;0), "STAR", "")</f>
        <v>STAR</v>
      </c>
      <c r="O57" s="256" cm="1">
        <f t="array" ref="O57">IFERROR(INDEX(IM!$X$2:$X$650, MATCH(1, (IM!$F$2:$F$650=A57) * (ISNUMBER(SEARCH($D$1, IM!$AC$2:$AC$650))), 0)), "")</f>
        <v>45761.527083333334</v>
      </c>
      <c r="P57" s="191" t="str">
        <f t="shared" si="17"/>
        <v>20250414-2014-三重中陽二店(定保)</v>
      </c>
      <c r="Q57" s="140"/>
      <c r="R57" s="140"/>
      <c r="S57" s="140"/>
      <c r="T57" s="140"/>
      <c r="U57" s="258">
        <f t="shared" si="18"/>
        <v>2</v>
      </c>
      <c r="V57" s="246" t="str">
        <f t="shared" si="19"/>
        <v>已完工</v>
      </c>
      <c r="W57" s="3" t="s">
        <v>4173</v>
      </c>
      <c r="X57" s="5" t="s">
        <v>4172</v>
      </c>
      <c r="Y57" s="5" t="str">
        <f t="shared" si="21"/>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 t="shared" si="16"/>
        <v>20250414-5003-五股更寮店(定保)</v>
      </c>
      <c r="I58" s="190">
        <v>45761.618055555555</v>
      </c>
      <c r="J58" s="188" cm="1">
        <f t="array" ref="J58">IFERROR(INDEX(IM!$X$2:$X$650, MATCH(1, (IM!$F$2:$F$650=A58) * (ISNUMBER(SEARCH($C$1, IM!$AC$2:$AC$650))), 0)), "")</f>
        <v>45761.618055555555</v>
      </c>
      <c r="K58" s="159">
        <f>COUNTIFS(IM!F:F,A58,IM!AD:AD,"O",IM!X:X,"&gt;="&amp;$A$1,IM!X:X,"&lt;="&amp;$B$1)</f>
        <v>1</v>
      </c>
      <c r="L58" s="228" t="str" cm="1">
        <f t="array" ref="L58">IF(K58&gt;0,IFERROR(HYPERLINK("#'IM'!AC"&amp;MATCH(1,(IM!$F$1:$F$7700=A58)*(ISNUMBER(SEARCH("PMQ2",IM!$AC$1:$AC$7700))),0),"檢核"),"未登錄"),"")</f>
        <v>檢核</v>
      </c>
      <c r="M58" s="230" t="str" cm="1">
        <f t="array" ref="M58">IF(AND(SUMPRODUCT((IM!F2:F710=A58)*(ISNUMBER(SEARCH("EDC", IM!AC2:AC710))))&gt;0), "EDC", "")</f>
        <v>EDC</v>
      </c>
      <c r="N58" s="264" t="str" cm="1">
        <f t="array" ref="N58">IF(AND(SUMPRODUCT((IM!F2:F710=A58)*(ISNUMBER(SEARCH("STAR", IM!AC2:AC710))))&gt;0), "STAR", "")</f>
        <v/>
      </c>
      <c r="O58" s="256" t="str" cm="1">
        <f t="array" ref="O58">IFERROR(INDEX(IM!$X$2:$X$650, MATCH(1, (IM!$F$2:$F$650=A58) * (ISNUMBER(SEARCH($D$1, IM!$AC$2:$AC$650))), 0)), "")</f>
        <v/>
      </c>
      <c r="P58" s="191" t="str">
        <f t="shared" si="17"/>
        <v>20250414-5003-五股更寮店(定保)</v>
      </c>
      <c r="Q58" s="140"/>
      <c r="R58" s="140"/>
      <c r="S58" s="140"/>
      <c r="T58" s="140"/>
      <c r="U58" s="258">
        <f t="shared" si="18"/>
        <v>0</v>
      </c>
      <c r="V58" s="246" t="str">
        <f t="shared" si="19"/>
        <v>已完工</v>
      </c>
      <c r="X58" s="5"/>
      <c r="Y58" s="5" t="str">
        <f t="shared" si="21"/>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 t="shared" si="16"/>
        <v>20250414-3227-五股四維店(定保)</v>
      </c>
      <c r="I59" s="190">
        <v>45761.645833333336</v>
      </c>
      <c r="J59" s="188" cm="1">
        <f t="array" ref="J59">IFERROR(INDEX(IM!$X$2:$X$650, MATCH(1, (IM!$F$2:$F$650=A59) * (ISNUMBER(SEARCH($C$1, IM!$AC$2:$AC$650))), 0)), "")</f>
        <v>45761.645833333336</v>
      </c>
      <c r="K59" s="159">
        <f>COUNTIFS(IM!F:F,A59,IM!AD:AD,"O",IM!X:X,"&gt;="&amp;$A$1,IM!X:X,"&lt;="&amp;$B$1)</f>
        <v>2</v>
      </c>
      <c r="L59" s="228" t="str" cm="1">
        <f t="array" ref="L59">IF(K59&gt;0,IFERROR(HYPERLINK("#'IM'!AC"&amp;MATCH(1,(IM!$F$1:$F$7700=A59)*(ISNUMBER(SEARCH("PMQ2",IM!$AC$1:$AC$7700))),0),"檢核"),"未登錄"),"")</f>
        <v>檢核</v>
      </c>
      <c r="M59" s="230" t="str" cm="1">
        <f t="array" ref="M59">IF(AND(SUMPRODUCT((IM!F2:F709=A59)*(ISNUMBER(SEARCH("EDC", IM!AC2:AC709))))&gt;0), "EDC", "")</f>
        <v>EDC</v>
      </c>
      <c r="N59" s="264" t="str" cm="1">
        <f t="array" ref="N59">IF(AND(SUMPRODUCT((IM!F2:F709=A59)*(ISNUMBER(SEARCH("STAR", IM!AC2:AC709))))&gt;0), "STAR", "")</f>
        <v>STAR</v>
      </c>
      <c r="O59" s="256" cm="1">
        <f t="array" ref="O59">IFERROR(INDEX(IM!$X$2:$X$650, MATCH(1, (IM!$F$2:$F$650=A59) * (ISNUMBER(SEARCH($D$1, IM!$AC$2:$AC$650))), 0)), "")</f>
        <v>45761.645833333336</v>
      </c>
      <c r="P59" s="191" t="str">
        <f t="shared" si="17"/>
        <v>20250414-3227-五股四維店(定保)</v>
      </c>
      <c r="Q59" s="140"/>
      <c r="R59" s="140"/>
      <c r="S59" s="140"/>
      <c r="T59" s="140"/>
      <c r="U59" s="258">
        <f t="shared" si="18"/>
        <v>1</v>
      </c>
      <c r="V59" s="246" t="str">
        <f t="shared" si="19"/>
        <v>已完工</v>
      </c>
      <c r="X59" s="5" t="s">
        <v>4231</v>
      </c>
      <c r="Y59" s="5" t="str">
        <f t="shared" si="21"/>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 t="shared" si="16"/>
        <v>20250415-3983-三重星光店(定保)</v>
      </c>
      <c r="I60" s="190">
        <v>45762.490972222222</v>
      </c>
      <c r="J60" s="188" cm="1">
        <f t="array" ref="J60">IFERROR(INDEX(IM!$X$2:$X$650, MATCH(1, (IM!$F$2:$F$650=A60) * (ISNUMBER(SEARCH($C$1, IM!$AC$2:$AC$650))), 0)), "")</f>
        <v>45762.490972222222</v>
      </c>
      <c r="K60" s="159">
        <f>COUNTIFS(IM!F:F,A60,IM!AD:AD,"O",IM!X:X,"&gt;="&amp;$A$1,IM!X:X,"&lt;="&amp;$B$1)</f>
        <v>1</v>
      </c>
      <c r="L60" s="228" t="str" cm="1">
        <f t="array" ref="L60">IF(K60&gt;0,IFERROR(HYPERLINK("#'IM'!AC"&amp;MATCH(1,(IM!$F$1:$F$7700=A60)*(ISNUMBER(SEARCH("PMQ2",IM!$AC$1:$AC$7700))),0),"檢核"),"未登錄"),"")</f>
        <v>檢核</v>
      </c>
      <c r="M60" s="230" t="str" cm="1">
        <f t="array" ref="M60">IF(AND(SUMPRODUCT((IM!F2:F680=A60)*(ISNUMBER(SEARCH("EDC", IM!AC2:AC680))))&gt;0), "EDC", "")</f>
        <v>EDC</v>
      </c>
      <c r="N60" s="264" t="str" cm="1">
        <f t="array" ref="N60">IF(AND(SUMPRODUCT((IM!F2:F680=A60)*(ISNUMBER(SEARCH("STAR", IM!AC2:AC680))))&gt;0), "STAR", "")</f>
        <v>STAR</v>
      </c>
      <c r="O60" s="256" cm="1">
        <f t="array" ref="O60">IFERROR(INDEX(IM!$X$2:$X$650, MATCH(1, (IM!$F$2:$F$650=A60) * (ISNUMBER(SEARCH($D$1, IM!$AC$2:$AC$650))), 0)), "")</f>
        <v>45762.490972222222</v>
      </c>
      <c r="P60" s="191" t="str">
        <f t="shared" si="17"/>
        <v>20250415-3983-三重星光店(定保)</v>
      </c>
      <c r="Q60" s="140"/>
      <c r="R60" s="140"/>
      <c r="S60" s="140"/>
      <c r="T60" s="140"/>
      <c r="U60" s="258">
        <f t="shared" si="18"/>
        <v>1</v>
      </c>
      <c r="V60" s="246" t="str">
        <f t="shared" si="19"/>
        <v>已完工</v>
      </c>
      <c r="W60" s="3" t="s">
        <v>4191</v>
      </c>
      <c r="X60" s="5"/>
      <c r="Y60" s="5" t="str">
        <f t="shared" si="21"/>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 t="shared" si="16"/>
        <v>20250415-D174-新莊裕民店(定保)</v>
      </c>
      <c r="I61" s="190">
        <v>45762.541666666664</v>
      </c>
      <c r="J61" s="188" cm="1">
        <f t="array" ref="J61">IFERROR(INDEX(IM!$X$2:$X$650, MATCH(1, (IM!$F$2:$F$650=A61) * (ISNUMBER(SEARCH($C$1, IM!$AC$2:$AC$650))), 0)), "")</f>
        <v>45762.541666666664</v>
      </c>
      <c r="K61" s="159">
        <f>COUNTIFS(IM!F:F,A61,IM!AD:AD,"O",IM!X:X,"&gt;="&amp;$A$1,IM!X:X,"&lt;="&amp;$B$1)</f>
        <v>1</v>
      </c>
      <c r="L61" s="228" t="str" cm="1">
        <f t="array" ref="L61">IF(K61&gt;0,IFERROR(HYPERLINK("#'IM'!AC"&amp;MATCH(1,(IM!$F$1:$F$7700=A61)*(ISNUMBER(SEARCH("PMQ2",IM!$AC$1:$AC$7700))),0),"檢核"),"未登錄"),"")</f>
        <v>檢核</v>
      </c>
      <c r="M61" s="230" t="str" cm="1">
        <f t="array" ref="M61">IF(AND(SUMPRODUCT((IM!F2:F657=A61)*(ISNUMBER(SEARCH("EDC", IM!AC2:AC657))))&gt;0), "EDC", "")</f>
        <v>EDC</v>
      </c>
      <c r="N61" s="264" t="str" cm="1">
        <f t="array" ref="N61">IF(AND(SUMPRODUCT((IM!F2:F657=A61)*(ISNUMBER(SEARCH("STAR", IM!AC2:AC657))))&gt;0), "STAR", "")</f>
        <v>STAR</v>
      </c>
      <c r="O61" s="256" cm="1">
        <f t="array" ref="O61">IFERROR(INDEX(IM!$X$2:$X$650, MATCH(1, (IM!$F$2:$F$650=A61) * (ISNUMBER(SEARCH($D$1, IM!$AC$2:$AC$650))), 0)), "")</f>
        <v>45762.541666666664</v>
      </c>
      <c r="P61" s="191" t="str">
        <f t="shared" si="17"/>
        <v>20250415-D174-新莊裕民店(定保)</v>
      </c>
      <c r="Q61" s="140"/>
      <c r="R61" s="140"/>
      <c r="S61" s="140"/>
      <c r="T61" s="140"/>
      <c r="U61" s="258">
        <f t="shared" si="18"/>
        <v>1</v>
      </c>
      <c r="V61" s="246" t="str">
        <f t="shared" si="19"/>
        <v>已完工</v>
      </c>
      <c r="W61" s="3" t="s">
        <v>4157</v>
      </c>
      <c r="X61" s="5"/>
      <c r="Y61" s="5" t="str">
        <f t="shared" si="21"/>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 t="shared" si="16"/>
        <v>20250415-4804-三重國隆店(定保)</v>
      </c>
      <c r="I62" s="190">
        <v>45762.557638888888</v>
      </c>
      <c r="J62" s="188" cm="1">
        <f t="array" ref="J62">IFERROR(INDEX(IM!$X$2:$X$650, MATCH(1, (IM!$F$2:$F$650=A62) * (ISNUMBER(SEARCH($C$1, IM!$AC$2:$AC$650))), 0)), "")</f>
        <v>45762.557638888888</v>
      </c>
      <c r="K62" s="159">
        <f>COUNTIFS(IM!F:F,A62,IM!AD:AD,"O",IM!X:X,"&gt;="&amp;$A$1,IM!X:X,"&lt;="&amp;$B$1)</f>
        <v>1</v>
      </c>
      <c r="L62" s="228" t="str" cm="1">
        <f t="array" ref="L62">IF(K62&gt;0,IFERROR(HYPERLINK("#'IM'!AC"&amp;MATCH(1,(IM!$F$1:$F$7700=A62)*(ISNUMBER(SEARCH("PMQ2",IM!$AC$1:$AC$7700))),0),"檢核"),"未登錄"),"")</f>
        <v>檢核</v>
      </c>
      <c r="M62" s="230" t="str" cm="1">
        <f t="array" ref="M62">IF(AND(SUMPRODUCT((IM!F2:F682=A62)*(ISNUMBER(SEARCH("EDC", IM!AC2:AC682))))&gt;0), "EDC", "")</f>
        <v>EDC</v>
      </c>
      <c r="N62" s="264" t="str" cm="1">
        <f t="array" ref="N62">IF(AND(SUMPRODUCT((IM!F2:F682=A62)*(ISNUMBER(SEARCH("STAR", IM!AC2:AC682))))&gt;0), "STAR", "")</f>
        <v>STAR</v>
      </c>
      <c r="O62" s="256" cm="1">
        <f t="array" ref="O62">IFERROR(INDEX(IM!$X$2:$X$650, MATCH(1, (IM!$F$2:$F$650=A62) * (ISNUMBER(SEARCH($D$1, IM!$AC$2:$AC$650))), 0)), "")</f>
        <v>45762.557638888888</v>
      </c>
      <c r="P62" s="191" t="str">
        <f t="shared" si="17"/>
        <v>20250415-4804-三重國隆店(定保)</v>
      </c>
      <c r="Q62" s="140"/>
      <c r="R62" s="140"/>
      <c r="S62" s="140"/>
      <c r="T62" s="140"/>
      <c r="U62" s="258">
        <f t="shared" si="18"/>
        <v>2</v>
      </c>
      <c r="V62" s="246" t="str">
        <f t="shared" si="19"/>
        <v>已完工</v>
      </c>
      <c r="W62" s="3" t="s">
        <v>4194</v>
      </c>
      <c r="X62" s="5" t="s">
        <v>4195</v>
      </c>
      <c r="Y62" s="5" t="str">
        <f t="shared" si="21"/>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 t="shared" si="16"/>
        <v>20250415-D148-新莊福營店(定保)</v>
      </c>
      <c r="I63" s="190">
        <v>45762.576388888891</v>
      </c>
      <c r="J63" s="188" cm="1">
        <f t="array" ref="J63">IFERROR(INDEX(IM!$X$2:$X$650, MATCH(1, (IM!$F$2:$F$650=A63) * (ISNUMBER(SEARCH($C$1, IM!$AC$2:$AC$650))), 0)), "")</f>
        <v>45762.576388888891</v>
      </c>
      <c r="K63" s="159">
        <f>COUNTIFS(IM!F:F,A63,IM!AD:AD,"O",IM!X:X,"&gt;="&amp;$A$1,IM!X:X,"&lt;="&amp;$B$1)</f>
        <v>1</v>
      </c>
      <c r="L63" s="228" t="str" cm="1">
        <f t="array" ref="L63">IF(K63&gt;0,IFERROR(HYPERLINK("#'IM'!AC"&amp;MATCH(1,(IM!$F$1:$F$7700=A63)*(ISNUMBER(SEARCH("PMQ2",IM!$AC$1:$AC$7700))),0),"檢核"),"未登錄"),"")</f>
        <v>檢核</v>
      </c>
      <c r="M63" s="230" t="str" cm="1">
        <f t="array" ref="M63">IF(AND(SUMPRODUCT((IM!F2:F679=A63)*(ISNUMBER(SEARCH("EDC", IM!AC2:AC679))))&gt;0), "EDC", "")</f>
        <v>EDC</v>
      </c>
      <c r="N63" s="264" t="str" cm="1">
        <f t="array" ref="N63">IF(AND(SUMPRODUCT((IM!F2:F679=A63)*(ISNUMBER(SEARCH("STAR", IM!AC2:AC679))))&gt;0), "STAR", "")</f>
        <v>STAR</v>
      </c>
      <c r="O63" s="256" cm="1">
        <f t="array" ref="O63">IFERROR(INDEX(IM!$X$2:$X$650, MATCH(1, (IM!$F$2:$F$650=A63) * (ISNUMBER(SEARCH($D$1, IM!$AC$2:$AC$650))), 0)), "")</f>
        <v>45762.576388888891</v>
      </c>
      <c r="P63" s="191" t="str">
        <f t="shared" si="17"/>
        <v>20250415-D148-新莊福營店(定保)</v>
      </c>
      <c r="Q63" s="140"/>
      <c r="R63" s="140"/>
      <c r="S63" s="140"/>
      <c r="T63" s="140"/>
      <c r="U63" s="258">
        <f t="shared" si="18"/>
        <v>2</v>
      </c>
      <c r="V63" s="246" t="str">
        <f t="shared" si="19"/>
        <v>已完工</v>
      </c>
      <c r="W63" s="3" t="s">
        <v>4189</v>
      </c>
      <c r="X63" s="5" t="s">
        <v>4190</v>
      </c>
      <c r="Y63" s="5" t="str">
        <f t="shared" si="21"/>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 t="shared" si="16"/>
        <v>20250415-L562-田倉民安店(定保)</v>
      </c>
      <c r="I64" s="190">
        <v>45762.583333333336</v>
      </c>
      <c r="J64" s="188" cm="1">
        <f t="array" ref="J64">IFERROR(INDEX(IM!$X$2:$X$650, MATCH(1, (IM!$F$2:$F$650=A64) * (ISNUMBER(SEARCH($C$1, IM!$AC$2:$AC$650))), 0)), "")</f>
        <v>45762.583333333336</v>
      </c>
      <c r="K64" s="159">
        <f>COUNTIFS(IM!F:F,A64,IM!AD:AD,"O",IM!X:X,"&gt;="&amp;$A$1,IM!X:X,"&lt;="&amp;$B$1)</f>
        <v>1</v>
      </c>
      <c r="L64" s="228" t="str" cm="1">
        <f t="array" ref="L64">IF(K64&gt;0,IFERROR(HYPERLINK("#'IM'!AC"&amp;MATCH(1,(IM!$F$1:$F$7700=A64)*(ISNUMBER(SEARCH("PMQ2",IM!$AC$1:$AC$7700))),0),"檢核"),"未登錄"),"")</f>
        <v>檢核</v>
      </c>
      <c r="M64" s="230" t="str" cm="1">
        <f t="array" ref="M64">IF(AND(SUMPRODUCT((IM!F2:F678=A64)*(ISNUMBER(SEARCH("EDC", IM!AC2:AC678))))&gt;0), "EDC", "")</f>
        <v/>
      </c>
      <c r="N64" s="264" t="str" cm="1">
        <f t="array" ref="N64">IF(AND(SUMPRODUCT((IM!F2:F678=A64)*(ISNUMBER(SEARCH("STAR", IM!AC2:AC678))))&gt;0), "STAR", "")</f>
        <v/>
      </c>
      <c r="O64" s="256" t="str" cm="1">
        <f t="array" ref="O64">IFERROR(INDEX(IM!$X$2:$X$650, MATCH(1, (IM!$F$2:$F$650=A64) * (ISNUMBER(SEARCH($D$1, IM!$AC$2:$AC$650))), 0)), "")</f>
        <v/>
      </c>
      <c r="P64" s="191" t="str">
        <f t="shared" si="17"/>
        <v>20250415-L562-田倉民安店(定保)</v>
      </c>
      <c r="Q64" s="144"/>
      <c r="R64" s="140"/>
      <c r="S64" s="140"/>
      <c r="T64" s="140"/>
      <c r="U64" s="258">
        <f t="shared" si="18"/>
        <v>0</v>
      </c>
      <c r="V64" s="246" t="str">
        <f t="shared" si="19"/>
        <v>異常</v>
      </c>
      <c r="X64" s="5"/>
      <c r="Y64" s="5" t="str">
        <f t="shared" si="21"/>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 t="shared" si="16"/>
        <v>20250415-4046-板橋福康店(定保)</v>
      </c>
      <c r="I65" s="190">
        <v>45762.621527777781</v>
      </c>
      <c r="J65" s="188" cm="1">
        <f t="array" ref="J65">IFERROR(INDEX(IM!$X$2:$X$650, MATCH(1, (IM!$F$2:$F$650=A65) * (ISNUMBER(SEARCH($C$1, IM!$AC$2:$AC$650))), 0)), "")</f>
        <v>45762.621527777781</v>
      </c>
      <c r="K65" s="159">
        <f>COUNTIFS(IM!F:F,A65,IM!AD:AD,"O",IM!X:X,"&gt;="&amp;$A$1,IM!X:X,"&lt;="&amp;$B$1)</f>
        <v>1</v>
      </c>
      <c r="L65" s="228" t="str" cm="1">
        <f t="array" ref="L65">IF(K65&gt;0,IFERROR(HYPERLINK("#'IM'!AC"&amp;MATCH(1,(IM!$F$1:$F$7700=A65)*(ISNUMBER(SEARCH("PMQ2",IM!$AC$1:$AC$7700))),0),"檢核"),"未登錄"),"")</f>
        <v>檢核</v>
      </c>
      <c r="M65" s="230" t="str" cm="1">
        <f t="array" ref="M65">IF(AND(SUMPRODUCT((IM!F2:F830=A65)*(ISNUMBER(SEARCH("EDC", IM!AC2:AC830))))&gt;0), "EDC", "")</f>
        <v>EDC</v>
      </c>
      <c r="N65" s="264" t="str" cm="1">
        <f t="array" ref="N65">IF(AND(SUMPRODUCT((IM!F2:F830=A65)*(ISNUMBER(SEARCH("STAR", IM!AC2:AC830))))&gt;0), "STAR", "")</f>
        <v>STAR</v>
      </c>
      <c r="O65" s="256" cm="1">
        <f t="array" ref="O65">IFERROR(INDEX(IM!$X$2:$X$650, MATCH(1, (IM!$F$2:$F$650=A65) * (ISNUMBER(SEARCH($D$1, IM!$AC$2:$AC$650))), 0)), "")</f>
        <v>45762.621527777781</v>
      </c>
      <c r="P65" s="191" t="str">
        <f t="shared" si="17"/>
        <v>20250415-4046-板橋福康店(定保)</v>
      </c>
      <c r="Q65" s="140"/>
      <c r="R65" s="140"/>
      <c r="S65" s="140"/>
      <c r="T65" s="140"/>
      <c r="U65" s="258">
        <f t="shared" si="18"/>
        <v>2</v>
      </c>
      <c r="V65" s="246" t="str">
        <f t="shared" si="19"/>
        <v>已完工</v>
      </c>
      <c r="W65" s="3" t="s">
        <v>4382</v>
      </c>
      <c r="X65" s="5" t="s">
        <v>4383</v>
      </c>
      <c r="Y65" s="5" t="str">
        <f t="shared" si="21"/>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 t="shared" si="16"/>
        <v>20250415-4184-三重今大店(定保)</v>
      </c>
      <c r="I66" s="190">
        <v>45762.629166666666</v>
      </c>
      <c r="J66" s="188" cm="1">
        <f t="array" ref="J66">IFERROR(INDEX(IM!$X$2:$X$650, MATCH(1, (IM!$F$2:$F$650=A66) * (ISNUMBER(SEARCH($C$1, IM!$AC$2:$AC$650))), 0)), "")</f>
        <v>45762.629166666666</v>
      </c>
      <c r="K66" s="159">
        <f>COUNTIFS(IM!F:F,A66,IM!AD:AD,"O",IM!X:X,"&gt;="&amp;$A$1,IM!X:X,"&lt;="&amp;$B$1)</f>
        <v>1</v>
      </c>
      <c r="L66" s="228" t="str" cm="1">
        <f t="array" ref="L66">IF(K66&gt;0,IFERROR(HYPERLINK("#'IM'!AC"&amp;MATCH(1,(IM!$F$1:$F$7700=A66)*(ISNUMBER(SEARCH("PMQ2",IM!$AC$1:$AC$7700))),0),"檢核"),"未登錄"),"")</f>
        <v>檢核</v>
      </c>
      <c r="M66" s="230" t="str" cm="1">
        <f t="array" ref="M66">IF(AND(SUMPRODUCT((IM!F2:F683=A66)*(ISNUMBER(SEARCH("EDC", IM!AC2:AC683))))&gt;0), "EDC", "")</f>
        <v>EDC</v>
      </c>
      <c r="N66" s="264" t="str" cm="1">
        <f t="array" ref="N66">IF(AND(SUMPRODUCT((IM!F2:F683=A66)*(ISNUMBER(SEARCH("STAR", IM!AC2:AC683))))&gt;0), "STAR", "")</f>
        <v>STAR</v>
      </c>
      <c r="O66" s="256" cm="1">
        <f t="array" ref="O66">IFERROR(INDEX(IM!$X$2:$X$650, MATCH(1, (IM!$F$2:$F$650=A66) * (ISNUMBER(SEARCH($D$1, IM!$AC$2:$AC$650))), 0)), "")</f>
        <v>45762.629166666666</v>
      </c>
      <c r="P66" s="191" t="str">
        <f t="shared" si="17"/>
        <v>20250415-4184-三重今大店(定保)</v>
      </c>
      <c r="Q66" s="140"/>
      <c r="R66" s="140"/>
      <c r="S66" s="140"/>
      <c r="T66" s="140"/>
      <c r="U66" s="258">
        <f t="shared" si="18"/>
        <v>1</v>
      </c>
      <c r="V66" s="246" t="str">
        <f t="shared" si="19"/>
        <v>已完工</v>
      </c>
      <c r="W66" s="3" t="s">
        <v>4196</v>
      </c>
      <c r="X66" s="5"/>
      <c r="Y66" s="5" t="str">
        <f t="shared" si="21"/>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 t="shared" si="16"/>
        <v>20250415-L535-田倉新樹店(定保)</v>
      </c>
      <c r="I67" s="190">
        <v>45762.65625</v>
      </c>
      <c r="J67" s="188" cm="1">
        <f t="array" ref="J67">IFERROR(INDEX(IM!$X$2:$X$650, MATCH(1, (IM!$F$2:$F$650=A67) * (ISNUMBER(SEARCH($C$1, IM!$AC$2:$AC$650))), 0)), "")</f>
        <v>45762.65625</v>
      </c>
      <c r="K67" s="159">
        <f>COUNTIFS(IM!F:F,A67,IM!AD:AD,"O",IM!X:X,"&gt;="&amp;$A$1,IM!X:X,"&lt;="&amp;$B$1)</f>
        <v>1</v>
      </c>
      <c r="L67" s="228" t="str" cm="1">
        <f t="array" ref="L67">IF(K67&gt;0,IFERROR(HYPERLINK("#'IM'!AC"&amp;MATCH(1,(IM!$F$1:$F$7700=A67)*(ISNUMBER(SEARCH("PMQ2",IM!$AC$1:$AC$7700))),0),"檢核"),"未登錄"),"")</f>
        <v>檢核</v>
      </c>
      <c r="M67" s="230" t="str" cm="1">
        <f t="array" ref="M67">IF(AND(SUMPRODUCT((IM!F2:F741=A67)*(ISNUMBER(SEARCH("EDC", IM!AC2:AC741))))&gt;0), "EDC", "")</f>
        <v/>
      </c>
      <c r="N67" s="264" t="str" cm="1">
        <f t="array" ref="N67">IF(AND(SUMPRODUCT((IM!F2:F741=A67)*(ISNUMBER(SEARCH("STAR", IM!AC2:AC741))))&gt;0), "STAR", "")</f>
        <v>STAR</v>
      </c>
      <c r="O67" s="256" cm="1">
        <f t="array" ref="O67">IFERROR(INDEX(IM!$X$2:$X$650, MATCH(1, (IM!$F$2:$F$650=A67) * (ISNUMBER(SEARCH($D$1, IM!$AC$2:$AC$650))), 0)), "")</f>
        <v>45762.65625</v>
      </c>
      <c r="P67" s="191" t="str">
        <f t="shared" si="17"/>
        <v>20250415-L535-田倉新樹店(定保)</v>
      </c>
      <c r="Q67" s="140"/>
      <c r="R67" s="140"/>
      <c r="S67" s="140"/>
      <c r="T67" s="140"/>
      <c r="U67" s="258">
        <f t="shared" si="18"/>
        <v>1</v>
      </c>
      <c r="V67" s="246" t="str">
        <f t="shared" si="19"/>
        <v>異常</v>
      </c>
      <c r="W67" s="3" t="s">
        <v>4264</v>
      </c>
      <c r="X67" s="5"/>
      <c r="Y67" s="5" t="str">
        <f t="shared" si="21"/>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 t="shared" si="16"/>
        <v>20250416-4917-板橋翠華店(定保)</v>
      </c>
      <c r="I68" s="190">
        <v>45763.510416666664</v>
      </c>
      <c r="J68" s="188" cm="1">
        <f t="array" ref="J68">IFERROR(INDEX(IM!$X$2:$X$650, MATCH(1, (IM!$F$2:$F$650=A68) * (ISNUMBER(SEARCH($C$1, IM!$AC$2:$AC$650))), 0)), "")</f>
        <v>45763.510416666664</v>
      </c>
      <c r="K68" s="159">
        <f>COUNTIFS(IM!F:F,A68,IM!AD:AD,"O",IM!X:X,"&gt;="&amp;$A$1,IM!X:X,"&lt;="&amp;$B$1)</f>
        <v>1</v>
      </c>
      <c r="L68" s="228" t="str" cm="1">
        <f t="array" ref="L68">IF(K68&gt;0,IFERROR(HYPERLINK("#'IM'!AC"&amp;MATCH(1,(IM!$F$1:$F$7700=A68)*(ISNUMBER(SEARCH("PMQ2",IM!$AC$1:$AC$7700))),0),"檢核"),"未登錄"),"")</f>
        <v>檢核</v>
      </c>
      <c r="M68" s="230" t="str" cm="1">
        <f t="array" ref="M68">IF(AND(SUMPRODUCT((IM!F2:F843=A68)*(ISNUMBER(SEARCH("EDC", IM!AC2:AC843))))&gt;0), "EDC", "")</f>
        <v>EDC</v>
      </c>
      <c r="N68" s="264" t="str" cm="1">
        <f t="array" ref="N68">IF(AND(SUMPRODUCT((IM!F2:F843=A68)*(ISNUMBER(SEARCH("STAR", IM!AC2:AC843))))&gt;0), "STAR", "")</f>
        <v>STAR</v>
      </c>
      <c r="O68" s="256" cm="1">
        <f t="array" ref="O68">IFERROR(INDEX(IM!$X$2:$X$650, MATCH(1, (IM!$F$2:$F$650=A68) * (ISNUMBER(SEARCH($D$1, IM!$AC$2:$AC$650))), 0)), "")</f>
        <v>45763.510416666664</v>
      </c>
      <c r="P68" s="191" t="str">
        <f t="shared" si="17"/>
        <v>20250416-4917-板橋翠華店(定保)</v>
      </c>
      <c r="Q68" s="140"/>
      <c r="R68" s="140"/>
      <c r="S68" s="140"/>
      <c r="T68" s="140"/>
      <c r="U68" s="258">
        <f t="shared" si="18"/>
        <v>1</v>
      </c>
      <c r="V68" s="246" t="str">
        <f t="shared" si="19"/>
        <v>已完工</v>
      </c>
      <c r="W68" s="268"/>
      <c r="X68" s="269" t="s">
        <v>4374</v>
      </c>
      <c r="Y68" s="5" t="str">
        <f t="shared" si="21"/>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 t="shared" si="16"/>
        <v>20250416-4539-三重自信店(定保)</v>
      </c>
      <c r="I69" s="190">
        <v>45763.635416666664</v>
      </c>
      <c r="J69" s="188" cm="1">
        <f t="array" ref="J69">IFERROR(INDEX(IM!$X$2:$X$650, MATCH(1, (IM!$F$2:$F$650=A69) * (ISNUMBER(SEARCH($C$1, IM!$AC$2:$AC$650))), 0)), "")</f>
        <v>45763.635416666664</v>
      </c>
      <c r="K69" s="159">
        <f>COUNTIFS(IM!F:F,A69,IM!AD:AD,"O",IM!X:X,"&gt;="&amp;$A$1,IM!X:X,"&lt;="&amp;$B$1)</f>
        <v>1</v>
      </c>
      <c r="L69" s="228" t="str" cm="1">
        <f t="array" ref="L69">IF(K69&gt;0,IFERROR(HYPERLINK("#'IM'!AC"&amp;MATCH(1,(IM!$F$1:$F$7700=A69)*(ISNUMBER(SEARCH("PMQ2",IM!$AC$1:$AC$7700))),0),"檢核"),"未登錄"),"")</f>
        <v>檢核</v>
      </c>
      <c r="M69" s="230" t="str" cm="1">
        <f t="array" ref="M69">IF(AND(SUMPRODUCT((IM!F2:F686=A69)*(ISNUMBER(SEARCH("EDC", IM!AC2:AC686))))&gt;0), "EDC", "")</f>
        <v>EDC</v>
      </c>
      <c r="N69" s="264" t="str" cm="1">
        <f t="array" ref="N69">IF(AND(SUMPRODUCT((IM!F2:F686=A69)*(ISNUMBER(SEARCH("STAR", IM!AC2:AC686))))&gt;0), "STAR", "")</f>
        <v>STAR</v>
      </c>
      <c r="O69" s="256" cm="1">
        <f t="array" ref="O69">IFERROR(INDEX(IM!$X$2:$X$650, MATCH(1, (IM!$F$2:$F$650=A69) * (ISNUMBER(SEARCH($D$1, IM!$AC$2:$AC$650))), 0)), "")</f>
        <v>45763.635416666664</v>
      </c>
      <c r="P69" s="191" t="str">
        <f t="shared" si="17"/>
        <v>20250416-4539-三重自信店(定保)</v>
      </c>
      <c r="Q69" s="140"/>
      <c r="R69" s="140"/>
      <c r="S69" s="140"/>
      <c r="T69" s="140"/>
      <c r="U69" s="258">
        <f t="shared" si="18"/>
        <v>2</v>
      </c>
      <c r="V69" s="246" t="str">
        <f t="shared" si="19"/>
        <v>已完工</v>
      </c>
      <c r="W69" s="3" t="s">
        <v>4200</v>
      </c>
      <c r="X69" s="5" t="s">
        <v>4201</v>
      </c>
      <c r="Y69" s="5" t="str">
        <f t="shared" si="21"/>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 t="shared" si="16"/>
        <v>20250416-2543-三重大仁店(定保)</v>
      </c>
      <c r="I70" s="190">
        <v>45763.681250000001</v>
      </c>
      <c r="J70" s="188" cm="1">
        <f t="array" ref="J70">IFERROR(INDEX(IM!$X$2:$X$650, MATCH(1, (IM!$F$2:$F$650=A70) * (ISNUMBER(SEARCH($C$1, IM!$AC$2:$AC$650))), 0)), "")</f>
        <v>45763.681250000001</v>
      </c>
      <c r="K70" s="159">
        <f>COUNTIFS(IM!F:F,A70,IM!AD:AD,"O",IM!X:X,"&gt;="&amp;$A$1,IM!X:X,"&lt;="&amp;$B$1)</f>
        <v>1</v>
      </c>
      <c r="L70" s="228" t="str" cm="1">
        <f t="array" ref="L70">IF(K70&gt;0,IFERROR(HYPERLINK("#'IM'!AC"&amp;MATCH(1,(IM!$F$1:$F$7700=A70)*(ISNUMBER(SEARCH("PMQ2",IM!$AC$1:$AC$7700))),0),"檢核"),"未登錄"),"")</f>
        <v>檢核</v>
      </c>
      <c r="M70" s="230" t="str" cm="1">
        <f t="array" ref="M70">IF(AND(SUMPRODUCT((IM!F2:F684=A70)*(ISNUMBER(SEARCH("EDC", IM!AC2:AC684))))&gt;0), "EDC", "")</f>
        <v>EDC</v>
      </c>
      <c r="N70" s="264" t="str" cm="1">
        <f t="array" ref="N70">IF(AND(SUMPRODUCT((IM!F2:F684=A70)*(ISNUMBER(SEARCH("STAR", IM!AC2:AC684))))&gt;0), "STAR", "")</f>
        <v>STAR</v>
      </c>
      <c r="O70" s="256" cm="1">
        <f t="array" ref="O70">IFERROR(INDEX(IM!$X$2:$X$650, MATCH(1, (IM!$F$2:$F$650=A70) * (ISNUMBER(SEARCH($D$1, IM!$AC$2:$AC$650))), 0)), "")</f>
        <v>45763.681250000001</v>
      </c>
      <c r="P70" s="191" t="str">
        <f t="shared" si="17"/>
        <v>20250416-2543-三重大仁店(定保)</v>
      </c>
      <c r="Q70" s="140"/>
      <c r="R70" s="140"/>
      <c r="S70" s="140"/>
      <c r="T70" s="140"/>
      <c r="U70" s="258">
        <f t="shared" si="18"/>
        <v>2</v>
      </c>
      <c r="V70" s="246" t="str">
        <f t="shared" si="19"/>
        <v>已完工</v>
      </c>
      <c r="W70" s="3" t="s">
        <v>4197</v>
      </c>
      <c r="X70" s="5" t="s">
        <v>4198</v>
      </c>
      <c r="Y70" s="5" t="str">
        <f t="shared" si="21"/>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 t="shared" si="16"/>
        <v>20250417-4083-三重中央南(定保)</v>
      </c>
      <c r="I71" s="190">
        <v>45764.495833333334</v>
      </c>
      <c r="J71" s="188" cm="1">
        <f t="array" ref="J71">IFERROR(INDEX(IM!$X$2:$X$650, MATCH(1, (IM!$F$2:$F$650=A71) * (ISNUMBER(SEARCH($C$1, IM!$AC$2:$AC$650))), 0)), "")</f>
        <v>45764.495833333334</v>
      </c>
      <c r="K71" s="159">
        <f>COUNTIFS(IM!F:F,A71,IM!AD:AD,"O",IM!X:X,"&gt;="&amp;$A$1,IM!X:X,"&lt;="&amp;$B$1)</f>
        <v>1</v>
      </c>
      <c r="L71" s="228" t="str" cm="1">
        <f t="array" ref="L71">IF(K71&gt;0,IFERROR(HYPERLINK("#'IM'!AC"&amp;MATCH(1,(IM!$F$1:$F$7700=A71)*(ISNUMBER(SEARCH("PMQ2",IM!$AC$1:$AC$7700))),0),"檢核"),"未登錄"),"")</f>
        <v>檢核</v>
      </c>
      <c r="M71" s="230" t="str" cm="1">
        <f t="array" ref="M71">IF(AND(SUMPRODUCT((IM!F2:F740=A71)*(ISNUMBER(SEARCH("EDC", IM!AC2:AC740))))&gt;0), "EDC", "")</f>
        <v>EDC</v>
      </c>
      <c r="N71" s="264" t="str" cm="1">
        <f t="array" ref="N71">IF(AND(SUMPRODUCT((IM!F2:F740=A71)*(ISNUMBER(SEARCH("STAR", IM!AC2:AC740))))&gt;0), "STAR", "")</f>
        <v>STAR</v>
      </c>
      <c r="O71" s="256" cm="1">
        <f t="array" ref="O71">IFERROR(INDEX(IM!$X$2:$X$650, MATCH(1, (IM!$F$2:$F$650=A71) * (ISNUMBER(SEARCH($D$1, IM!$AC$2:$AC$650))), 0)), "")</f>
        <v>45764.495833333334</v>
      </c>
      <c r="P71" s="191" t="str">
        <f t="shared" si="17"/>
        <v>20250417-4083-三重中央南(定保)</v>
      </c>
      <c r="Q71" s="140"/>
      <c r="R71" s="140"/>
      <c r="S71" s="140"/>
      <c r="T71" s="140"/>
      <c r="U71" s="258">
        <f t="shared" si="18"/>
        <v>2</v>
      </c>
      <c r="V71" s="246" t="str">
        <f t="shared" si="19"/>
        <v>已完工</v>
      </c>
      <c r="W71" s="3" t="s">
        <v>4262</v>
      </c>
      <c r="X71" s="5" t="s">
        <v>4263</v>
      </c>
      <c r="Y71" s="5" t="str">
        <f t="shared" si="21"/>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 t="shared" si="16"/>
        <v>20250417-2935-三重夜市口(定保)</v>
      </c>
      <c r="I72" s="190">
        <v>45764.577777777777</v>
      </c>
      <c r="J72" s="188" cm="1">
        <f t="array" ref="J72">IFERROR(INDEX(IM!$X$2:$X$650, MATCH(1, (IM!$F$2:$F$650=A72) * (ISNUMBER(SEARCH($C$1, IM!$AC$2:$AC$650))), 0)), "")</f>
        <v>45764.577777777777</v>
      </c>
      <c r="K72" s="159">
        <f>COUNTIFS(IM!F:F,A72,IM!AD:AD,"O",IM!X:X,"&gt;="&amp;$A$1,IM!X:X,"&lt;="&amp;$B$1)</f>
        <v>1</v>
      </c>
      <c r="L72" s="228" t="str" cm="1">
        <f t="array" ref="L72">IF(K72&gt;0,IFERROR(HYPERLINK("#'IM'!AC"&amp;MATCH(1,(IM!$F$1:$F$7700=A72)*(ISNUMBER(SEARCH("PMQ2",IM!$AC$1:$AC$7700))),0),"檢核"),"未登錄"),"")</f>
        <v>檢核</v>
      </c>
      <c r="M72" s="230" t="str" cm="1">
        <f t="array" ref="M72">IF(AND(SUMPRODUCT((IM!F2:F755=A72)*(ISNUMBER(SEARCH("EDC", IM!AC2:AC755))))&gt;0), "EDC", "")</f>
        <v>EDC</v>
      </c>
      <c r="N72" s="264" t="str" cm="1">
        <f t="array" ref="N72">IF(AND(SUMPRODUCT((IM!F2:F755=A72)*(ISNUMBER(SEARCH("STAR", IM!AC2:AC755))))&gt;0), "STAR", "")</f>
        <v>STAR</v>
      </c>
      <c r="O72" s="256" cm="1">
        <f t="array" ref="O72">IFERROR(INDEX(IM!$X$2:$X$650, MATCH(1, (IM!$F$2:$F$650=A72) * (ISNUMBER(SEARCH($D$1, IM!$AC$2:$AC$650))), 0)), "")</f>
        <v>45764.577777777777</v>
      </c>
      <c r="P72" s="191" t="str">
        <f t="shared" si="17"/>
        <v>20250417-2935-三重夜市口(定保)</v>
      </c>
      <c r="Q72" s="140"/>
      <c r="R72" s="140"/>
      <c r="S72" s="140"/>
      <c r="T72" s="140"/>
      <c r="U72" s="258">
        <f t="shared" si="18"/>
        <v>2</v>
      </c>
      <c r="V72" s="246" t="str">
        <f t="shared" si="19"/>
        <v>已完工</v>
      </c>
      <c r="W72" s="3" t="s">
        <v>4283</v>
      </c>
      <c r="X72" s="5" t="s">
        <v>4284</v>
      </c>
      <c r="Y72" s="5" t="str">
        <f t="shared" si="21"/>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 t="shared" si="16"/>
        <v>20250418-2619-三重大榮店(定保)</v>
      </c>
      <c r="I73" s="190">
        <v>45765.463888888888</v>
      </c>
      <c r="J73" s="188" cm="1">
        <f t="array" ref="J73">IFERROR(INDEX(IM!$X$2:$X$650, MATCH(1, (IM!$F$2:$F$650=A73) * (ISNUMBER(SEARCH($C$1, IM!$AC$2:$AC$650))), 0)), "")</f>
        <v>45765.463888888888</v>
      </c>
      <c r="K73" s="159">
        <f>COUNTIFS(IM!F:F,A73,IM!AD:AD,"O",IM!X:X,"&gt;="&amp;$A$1,IM!X:X,"&lt;="&amp;$B$1)</f>
        <v>1</v>
      </c>
      <c r="L73" s="228" t="str" cm="1">
        <f t="array" ref="L73">IF(K73&gt;0,IFERROR(HYPERLINK("#'IM'!AC"&amp;MATCH(1,(IM!$F$1:$F$7700=A73)*(ISNUMBER(SEARCH("PMQ2",IM!$AC$1:$AC$7700))),0),"檢核"),"未登錄"),"")</f>
        <v>檢核</v>
      </c>
      <c r="M73" s="230" t="str" cm="1">
        <f t="array" ref="M73">IF(AND(SUMPRODUCT((IM!F2:F692=A73)*(ISNUMBER(SEARCH("EDC", IM!AC2:AC692))))&gt;0), "EDC", "")</f>
        <v>EDC</v>
      </c>
      <c r="N73" s="264" t="str" cm="1">
        <f t="array" ref="N73">IF(AND(SUMPRODUCT((IM!F2:F692=A73)*(ISNUMBER(SEARCH("STAR", IM!AC2:AC692))))&gt;0), "STAR", "")</f>
        <v>STAR</v>
      </c>
      <c r="O73" s="256" cm="1">
        <f t="array" ref="O73">IFERROR(INDEX(IM!$X$2:$X$650, MATCH(1, (IM!$F$2:$F$650=A73) * (ISNUMBER(SEARCH($D$1, IM!$AC$2:$AC$650))), 0)), "")</f>
        <v>45765.463888888888</v>
      </c>
      <c r="P73" s="191" t="str">
        <f t="shared" si="17"/>
        <v>20250418-2619-三重大榮店(定保)</v>
      </c>
      <c r="Q73" s="140"/>
      <c r="R73" s="140"/>
      <c r="S73" s="140"/>
      <c r="T73" s="140"/>
      <c r="U73" s="258">
        <f t="shared" si="18"/>
        <v>2</v>
      </c>
      <c r="V73" s="246" t="str">
        <f t="shared" si="19"/>
        <v>已完工</v>
      </c>
      <c r="W73" s="3" t="s">
        <v>4210</v>
      </c>
      <c r="X73" s="5" t="s">
        <v>4211</v>
      </c>
      <c r="Y73" s="5" t="str">
        <f t="shared" si="21"/>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 t="shared" si="16"/>
        <v>20250418-4312-三重文化北(定保)</v>
      </c>
      <c r="I74" s="190">
        <v>45765.504166666666</v>
      </c>
      <c r="J74" s="188" cm="1">
        <f t="array" ref="J74">IFERROR(INDEX(IM!$X$2:$X$650, MATCH(1, (IM!$F$2:$F$650=A74) * (ISNUMBER(SEARCH($C$1, IM!$AC$2:$AC$650))), 0)), "")</f>
        <v>45765.504166666666</v>
      </c>
      <c r="K74" s="159">
        <f>COUNTIFS(IM!F:F,A74,IM!AD:AD,"O",IM!X:X,"&gt;="&amp;$A$1,IM!X:X,"&lt;="&amp;$B$1)</f>
        <v>1</v>
      </c>
      <c r="L74" s="228" t="str" cm="1">
        <f t="array" ref="L74">IF(K74&gt;0,IFERROR(HYPERLINK("#'IM'!AC"&amp;MATCH(1,(IM!$F$1:$F$7700=A74)*(ISNUMBER(SEARCH("PMQ2",IM!$AC$1:$AC$7700))),0),"檢核"),"未登錄"),"")</f>
        <v>檢核</v>
      </c>
      <c r="M74" s="230" t="str" cm="1">
        <f t="array" ref="M74">IF(AND(SUMPRODUCT((IM!F2:F691=A74)*(ISNUMBER(SEARCH("EDC", IM!AC2:AC691))))&gt;0), "EDC", "")</f>
        <v>EDC</v>
      </c>
      <c r="N74" s="264" t="str" cm="1">
        <f t="array" ref="N74">IF(AND(SUMPRODUCT((IM!F2:F691=A74)*(ISNUMBER(SEARCH("STAR", IM!AC2:AC691))))&gt;0), "STAR", "")</f>
        <v>STAR</v>
      </c>
      <c r="O74" s="256" cm="1">
        <f t="array" ref="O74">IFERROR(INDEX(IM!$X$2:$X$650, MATCH(1, (IM!$F$2:$F$650=A74) * (ISNUMBER(SEARCH($D$1, IM!$AC$2:$AC$650))), 0)), "")</f>
        <v>45765.504166666666</v>
      </c>
      <c r="P74" s="191" t="str">
        <f t="shared" si="17"/>
        <v>20250418-4312-三重文化北(定保)</v>
      </c>
      <c r="Q74" s="140"/>
      <c r="R74" s="140"/>
      <c r="S74" s="140"/>
      <c r="T74" s="140"/>
      <c r="U74" s="258">
        <f t="shared" si="18"/>
        <v>2</v>
      </c>
      <c r="V74" s="246" t="str">
        <f t="shared" si="19"/>
        <v>已完工</v>
      </c>
      <c r="W74" s="3" t="s">
        <v>4208</v>
      </c>
      <c r="X74" s="5" t="s">
        <v>4209</v>
      </c>
      <c r="Y74" s="5" t="str">
        <f t="shared" si="21"/>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 t="shared" si="16"/>
        <v>20250418-4406-板橋稚暉店(定保)</v>
      </c>
      <c r="I75" s="190">
        <v>45765.642361111109</v>
      </c>
      <c r="J75" s="188" cm="1">
        <f t="array" ref="J75">IFERROR(INDEX(IM!$X$2:$X$650, MATCH(1, (IM!$F$2:$F$650=A75) * (ISNUMBER(SEARCH($C$1, IM!$AC$2:$AC$650))), 0)), "")</f>
        <v>45765.642361111109</v>
      </c>
      <c r="K75" s="159">
        <f>COUNTIFS(IM!F:F,A75,IM!AD:AD,"O",IM!X:X,"&gt;="&amp;$A$1,IM!X:X,"&lt;="&amp;$B$1)</f>
        <v>1</v>
      </c>
      <c r="L75" s="228" t="str" cm="1">
        <f t="array" ref="L75">IF(K75&gt;0,IFERROR(HYPERLINK("#'IM'!AC"&amp;MATCH(1,(IM!$F$1:$F$7700=A75)*(ISNUMBER(SEARCH("PMQ2",IM!$AC$1:$AC$7700))),0),"檢核"),"未登錄"),"")</f>
        <v>檢核</v>
      </c>
      <c r="M75" s="230" t="str" cm="1">
        <f t="array" ref="M75">IF(AND(SUMPRODUCT((IM!F2:F722=A75)*(ISNUMBER(SEARCH("EDC", IM!AC2:AC722))))&gt;0), "EDC", "")</f>
        <v>EDC</v>
      </c>
      <c r="N75" s="264" t="str" cm="1">
        <f t="array" ref="N75">IF(AND(SUMPRODUCT((IM!F2:F722=A75)*(ISNUMBER(SEARCH("STAR", IM!AC2:AC722))))&gt;0), "STAR", "")</f>
        <v/>
      </c>
      <c r="O75" s="256" t="str" cm="1">
        <f t="array" ref="O75">IFERROR(INDEX(IM!$X$2:$X$650, MATCH(1, (IM!$F$2:$F$650=A75) * (ISNUMBER(SEARCH($D$1, IM!$AC$2:$AC$650))), 0)), "")</f>
        <v/>
      </c>
      <c r="P75" s="191" t="str">
        <f t="shared" si="17"/>
        <v>20250418-4406-板橋稚暉店(定保)</v>
      </c>
      <c r="Q75" s="140"/>
      <c r="R75" s="140"/>
      <c r="S75" s="140"/>
      <c r="T75" s="140"/>
      <c r="U75" s="258">
        <f t="shared" si="18"/>
        <v>0</v>
      </c>
      <c r="V75" s="246" t="str">
        <f t="shared" si="19"/>
        <v>已完工</v>
      </c>
      <c r="X75" s="5"/>
      <c r="Y75" s="5" t="str">
        <f t="shared" si="21"/>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 t="shared" si="16"/>
        <v>20250418-4025-新莊祐信店(定保)</v>
      </c>
      <c r="I76" s="190">
        <v>45765.645833333336</v>
      </c>
      <c r="J76" s="188" cm="1">
        <f t="array" ref="J76">IFERROR(INDEX(IM!$X$2:$X$650, MATCH(1, (IM!$F$2:$F$650=A76) * (ISNUMBER(SEARCH($C$1, IM!$AC$2:$AC$650))), 0)), "")</f>
        <v>45765.645833333336</v>
      </c>
      <c r="K76" s="159">
        <f>COUNTIFS(IM!F:F,A76,IM!AD:AD,"O",IM!X:X,"&gt;="&amp;$A$1,IM!X:X,"&lt;="&amp;$B$1)</f>
        <v>1</v>
      </c>
      <c r="L76" s="228" t="str" cm="1">
        <f t="array" ref="L76">IF(K76&gt;0,IFERROR(HYPERLINK("#'IM'!AC"&amp;MATCH(1,(IM!$F$1:$F$7700=A76)*(ISNUMBER(SEARCH("PMQ2",IM!$AC$1:$AC$7700))),0),"檢核"),"未登錄"),"")</f>
        <v>檢核</v>
      </c>
      <c r="M76" s="230" t="str" cm="1">
        <f t="array" ref="M76">IF(AND(SUMPRODUCT((IM!F2:F833=A76)*(ISNUMBER(SEARCH("EDC", IM!AC2:AC833))))&gt;0), "EDC", "")</f>
        <v>EDC</v>
      </c>
      <c r="N76" s="264" t="str" cm="1">
        <f t="array" ref="N76">IF(AND(SUMPRODUCT((IM!F2:F833=A76)*(ISNUMBER(SEARCH("STAR", IM!AC2:AC833))))&gt;0), "STAR", "")</f>
        <v>STAR</v>
      </c>
      <c r="O76" s="256" cm="1">
        <f t="array" ref="O76">IFERROR(INDEX(IM!$X$2:$X$650, MATCH(1, (IM!$F$2:$F$650=A76) * (ISNUMBER(SEARCH($D$1, IM!$AC$2:$AC$650))), 0)), "")</f>
        <v>45765.645833333336</v>
      </c>
      <c r="P76" s="191" t="str">
        <f t="shared" si="17"/>
        <v>20250418-4025-新莊祐信店(定保)</v>
      </c>
      <c r="Q76" s="140"/>
      <c r="R76" s="140"/>
      <c r="S76" s="140"/>
      <c r="T76" s="140"/>
      <c r="U76" s="258">
        <f t="shared" si="18"/>
        <v>2</v>
      </c>
      <c r="V76" s="246" t="str">
        <f t="shared" si="19"/>
        <v>已完工</v>
      </c>
      <c r="W76" s="3" t="s">
        <v>4422</v>
      </c>
      <c r="X76" s="5" t="s">
        <v>4423</v>
      </c>
      <c r="Y76" s="5" t="str">
        <f t="shared" si="21"/>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 t="shared" si="16"/>
        <v>20250418-4163-新莊中泉店(定保)</v>
      </c>
      <c r="I77" s="190">
        <v>45765.677083333336</v>
      </c>
      <c r="J77" s="188" cm="1">
        <f t="array" ref="J77">IFERROR(INDEX(IM!$X$2:$X$650, MATCH(1, (IM!$F$2:$F$650=A77) * (ISNUMBER(SEARCH($C$1, IM!$AC$2:$AC$650))), 0)), "")</f>
        <v>45765.677083333336</v>
      </c>
      <c r="K77" s="159">
        <f>COUNTIFS(IM!F:F,A77,IM!AD:AD,"O",IM!X:X,"&gt;="&amp;$A$1,IM!X:X,"&lt;="&amp;$B$1)</f>
        <v>1</v>
      </c>
      <c r="L77" s="228" t="str" cm="1">
        <f t="array" ref="L77">IF(K77&gt;0,IFERROR(HYPERLINK("#'IM'!AC"&amp;MATCH(1,(IM!$F$1:$F$7700=A77)*(ISNUMBER(SEARCH("PMQ2",IM!$AC$1:$AC$7700))),0),"檢核"),"未登錄"),"")</f>
        <v>檢核</v>
      </c>
      <c r="M77" s="230" t="str" cm="1">
        <f t="array" ref="M77">IF(AND(SUMPRODUCT((IM!F2:F687=A77)*(ISNUMBER(SEARCH("EDC", IM!AC2:AC687))))&gt;0), "EDC", "")</f>
        <v>EDC</v>
      </c>
      <c r="N77" s="264" t="str" cm="1">
        <f t="array" ref="N77">IF(AND(SUMPRODUCT((IM!F2:F687=A77)*(ISNUMBER(SEARCH("STAR", IM!AC2:AC687))))&gt;0), "STAR", "")</f>
        <v>STAR</v>
      </c>
      <c r="O77" s="256" cm="1">
        <f t="array" ref="O77">IFERROR(INDEX(IM!$X$2:$X$650, MATCH(1, (IM!$F$2:$F$650=A77) * (ISNUMBER(SEARCH($D$1, IM!$AC$2:$AC$650))), 0)), "")</f>
        <v>45765.677083333336</v>
      </c>
      <c r="P77" s="191" t="str">
        <f t="shared" si="17"/>
        <v>20250418-4163-新莊中泉店(定保)</v>
      </c>
      <c r="Q77" s="140"/>
      <c r="R77" s="140"/>
      <c r="S77" s="140"/>
      <c r="T77" s="140"/>
      <c r="U77" s="258">
        <f t="shared" si="18"/>
        <v>2</v>
      </c>
      <c r="V77" s="246" t="str">
        <f t="shared" si="19"/>
        <v>已完工</v>
      </c>
      <c r="W77" s="3" t="s">
        <v>4202</v>
      </c>
      <c r="X77" s="5" t="s">
        <v>4203</v>
      </c>
      <c r="Y77" s="5" t="str">
        <f t="shared" si="21"/>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 t="shared" si="16"/>
        <v>20250418-2995-板橋湳雅夜市(定保)</v>
      </c>
      <c r="I78" s="190">
        <v>45765.677083333336</v>
      </c>
      <c r="J78" s="188" cm="1">
        <f t="array" ref="J78">IFERROR(INDEX(IM!$X$2:$X$650, MATCH(1, (IM!$F$2:$F$650=A78) * (ISNUMBER(SEARCH($C$1, IM!$AC$2:$AC$650))), 0)), "")</f>
        <v>45765.677083333336</v>
      </c>
      <c r="K78" s="159">
        <f>COUNTIFS(IM!F:F,A78,IM!AD:AD,"O",IM!X:X,"&gt;="&amp;$A$1,IM!X:X,"&lt;="&amp;$B$1)</f>
        <v>1</v>
      </c>
      <c r="L78" s="228" t="str" cm="1">
        <f t="array" ref="L78">IF(K78&gt;0,IFERROR(HYPERLINK("#'IM'!AC"&amp;MATCH(1,(IM!$F$1:$F$7700=A78)*(ISNUMBER(SEARCH("PMQ2",IM!$AC$1:$AC$7700))),0),"檢核"),"未登錄"),"")</f>
        <v>檢核</v>
      </c>
      <c r="M78" s="230" t="str" cm="1">
        <f t="array" ref="M78">IF(AND(SUMPRODUCT((IM!F2:F828=A78)*(ISNUMBER(SEARCH("EDC", IM!AC2:AC828))))&gt;0), "EDC", "")</f>
        <v>EDC</v>
      </c>
      <c r="N78" s="264" t="str" cm="1">
        <f t="array" ref="N78">IF(AND(SUMPRODUCT((IM!F2:F828=A78)*(ISNUMBER(SEARCH("STAR", IM!AC2:AC828))))&gt;0), "STAR", "")</f>
        <v>STAR</v>
      </c>
      <c r="O78" s="256" cm="1">
        <f t="array" ref="O78">IFERROR(INDEX(IM!$X$2:$X$650, MATCH(1, (IM!$F$2:$F$650=A78) * (ISNUMBER(SEARCH($D$1, IM!$AC$2:$AC$650))), 0)), "")</f>
        <v>45765.677083333336</v>
      </c>
      <c r="P78" s="191" t="str">
        <f t="shared" si="17"/>
        <v>20250418-2995-板橋湳雅夜市(定保)</v>
      </c>
      <c r="Q78" s="140"/>
      <c r="R78" s="140"/>
      <c r="S78" s="140"/>
      <c r="T78" s="140"/>
      <c r="U78" s="258">
        <f t="shared" si="18"/>
        <v>2</v>
      </c>
      <c r="V78" s="246" t="str">
        <f t="shared" si="19"/>
        <v>已完工</v>
      </c>
      <c r="W78" s="3" t="s">
        <v>4392</v>
      </c>
      <c r="X78" s="5" t="s">
        <v>4393</v>
      </c>
      <c r="Y78" s="5" t="str">
        <f t="shared" si="21"/>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 t="shared" ref="H79:H142" si="22">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8" t="str" cm="1">
        <f t="array" ref="L79">IF(K79&gt;0,IFERROR(HYPERLINK("#'IM'!AC"&amp;MATCH(1,(IM!$F$1:$F$7700=A79)*(ISNUMBER(SEARCH("PMQ2",IM!$AC$1:$AC$7700))),0),"檢核"),"未登錄"),"")</f>
        <v>檢核</v>
      </c>
      <c r="M79" s="230" t="str" cm="1">
        <f t="array" ref="M79">IF(AND(SUMPRODUCT((IM!F2:F738=A79)*(ISNUMBER(SEARCH("EDC", IM!AC2:AC738))))&gt;0), "EDC", "")</f>
        <v>EDC</v>
      </c>
      <c r="N79" s="264" t="str" cm="1">
        <f t="array" ref="N79">IF(AND(SUMPRODUCT((IM!F2:F738=A79)*(ISNUMBER(SEARCH("STAR", IM!AC2:AC738))))&gt;0), "STAR", "")</f>
        <v>STAR</v>
      </c>
      <c r="O79" s="256" cm="1">
        <f t="array" ref="O79">IFERROR(INDEX(IM!$X$2:$X$650, MATCH(1, (IM!$F$2:$F$650=A79) * (ISNUMBER(SEARCH($D$1, IM!$AC$2:$AC$650))), 0)), "")</f>
        <v>45768.708333333336</v>
      </c>
      <c r="P79" s="191" t="str">
        <f t="shared" ref="P79:P142" si="23">(TEXT(I79,"yyyymmdd"))&amp;$T$3&amp;A79&amp;$T$3&amp;B79&amp;$R$3</f>
        <v>20250421-3878-林口清梅店(定保)</v>
      </c>
      <c r="Q79" s="140"/>
      <c r="R79" s="140"/>
      <c r="S79" s="140"/>
      <c r="T79" s="140"/>
      <c r="U79" s="258">
        <f t="shared" ref="U79:U142" si="24">IF(AND(W79&lt;&gt;"", X79&lt;&gt;""), 2, IF(OR(W79&lt;&gt;"", X79&lt;&gt;""), 1, 0))</f>
        <v>1</v>
      </c>
      <c r="V79" s="246" t="str">
        <f t="shared" ref="V79:V142" si="25">IF(I79="", "未到店",
   IF(M79&lt;&gt;"EDC", "異常",
      IF(OR(AND(Y79="STAR", N79="STAR"), AND(Y79&lt;&gt;"STAR", N79="")), "已完工", "異常")
   )
)</f>
        <v>已完工</v>
      </c>
      <c r="W79" s="3" t="s">
        <v>4261</v>
      </c>
      <c r="X79" s="5"/>
      <c r="Y79" s="5" t="str">
        <f t="shared" ref="Y79:Y110" si="26">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 t="shared" si="22"/>
        <v>20250422-3652-北縣莊民店(定保)</v>
      </c>
      <c r="I80" s="190">
        <v>45769.416666666664</v>
      </c>
      <c r="J80" s="188" cm="1">
        <f t="array" ref="J80">IFERROR(INDEX(IM!$X$2:$X$650, MATCH(1, (IM!$F$2:$F$650=A80) * (ISNUMBER(SEARCH($C$1, IM!$AC$2:$AC$650))), 0)), "")</f>
        <v>45769.416666666664</v>
      </c>
      <c r="K80" s="159">
        <f>COUNTIFS(IM!F:F,A80,IM!AD:AD,"O",IM!X:X,"&gt;="&amp;$A$1,IM!X:X,"&lt;="&amp;$B$1)</f>
        <v>1</v>
      </c>
      <c r="L80" s="228" t="str" cm="1">
        <f t="array" ref="L80">IF(K80&gt;0,IFERROR(HYPERLINK("#'IM'!AC"&amp;MATCH(1,(IM!$F$1:$F$7700=A80)*(ISNUMBER(SEARCH("PMQ2",IM!$AC$1:$AC$7700))),0),"檢核"),"未登錄"),"")</f>
        <v>檢核</v>
      </c>
      <c r="M80" s="230" t="str" cm="1">
        <f t="array" ref="M80">IF(AND(SUMPRODUCT((IM!F2:F824=A80)*(ISNUMBER(SEARCH("EDC", IM!AC2:AC824))))&gt;0), "EDC", "")</f>
        <v>EDC</v>
      </c>
      <c r="N80" s="264" t="str" cm="1">
        <f t="array" ref="N80">IF(AND(SUMPRODUCT((IM!F2:F824=A80)*(ISNUMBER(SEARCH("STAR", IM!AC2:AC824))))&gt;0), "STAR", "")</f>
        <v>STAR</v>
      </c>
      <c r="O80" s="256" cm="1">
        <f t="array" ref="O80">IFERROR(INDEX(IM!$X$2:$X$650, MATCH(1, (IM!$F$2:$F$650=A80) * (ISNUMBER(SEARCH($D$1, IM!$AC$2:$AC$650))), 0)), "")</f>
        <v>45769.416666666664</v>
      </c>
      <c r="P80" s="191" t="str">
        <f t="shared" si="23"/>
        <v>20250422-3652-北縣莊民店(定保)</v>
      </c>
      <c r="Q80" s="140"/>
      <c r="R80" s="140"/>
      <c r="S80" s="140"/>
      <c r="T80" s="140"/>
      <c r="U80" s="258">
        <f t="shared" si="24"/>
        <v>2</v>
      </c>
      <c r="V80" s="246" t="str">
        <f t="shared" si="25"/>
        <v>已完工</v>
      </c>
      <c r="W80" s="3" t="s">
        <v>4416</v>
      </c>
      <c r="X80" s="5" t="s">
        <v>4417</v>
      </c>
      <c r="Y80" s="5" t="str">
        <f t="shared" si="26"/>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 t="shared" si="22"/>
        <v>20250422-4845-石門海角店(定保)</v>
      </c>
      <c r="I81" s="190">
        <v>45769.544444444444</v>
      </c>
      <c r="J81" s="188" cm="1">
        <f t="array" ref="J81">IFERROR(INDEX(IM!$X$2:$X$650, MATCH(1, (IM!$F$2:$F$650=A81) * (ISNUMBER(SEARCH($C$1, IM!$AC$2:$AC$650))), 0)), "")</f>
        <v>45769.544444444444</v>
      </c>
      <c r="K81" s="159">
        <f>COUNTIFS(IM!F:F,A81,IM!AD:AD,"O",IM!X:X,"&gt;="&amp;$A$1,IM!X:X,"&lt;="&amp;$B$1)</f>
        <v>1</v>
      </c>
      <c r="L81" s="228" t="str" cm="1">
        <f t="array" ref="L81">IF(K81&gt;0,IFERROR(HYPERLINK("#'IM'!AC"&amp;MATCH(1,(IM!$F$1:$F$7700=A81)*(ISNUMBER(SEARCH("PMQ2",IM!$AC$1:$AC$7700))),0),"檢核"),"未登錄"),"")</f>
        <v>檢核</v>
      </c>
      <c r="M81" s="230" t="str" cm="1">
        <f t="array" ref="M81">IF(AND(SUMPRODUCT((IM!F2:F721=A81)*(ISNUMBER(SEARCH("EDC", IM!AC2:AC721))))&gt;0), "EDC", "")</f>
        <v>EDC</v>
      </c>
      <c r="N81" s="264" t="str" cm="1">
        <f t="array" ref="N81">IF(AND(SUMPRODUCT((IM!F2:F721=A81)*(ISNUMBER(SEARCH("STAR", IM!AC2:AC721))))&gt;0), "STAR", "")</f>
        <v>STAR</v>
      </c>
      <c r="O81" s="256" cm="1">
        <f t="array" ref="O81">IFERROR(INDEX(IM!$X$2:$X$650, MATCH(1, (IM!$F$2:$F$650=A81) * (ISNUMBER(SEARCH($D$1, IM!$AC$2:$AC$650))), 0)), "")</f>
        <v>45769.544444444444</v>
      </c>
      <c r="P81" s="191" t="str">
        <f t="shared" si="23"/>
        <v>20250422-4845-石門海角店(定保)</v>
      </c>
      <c r="Q81" s="140"/>
      <c r="R81" s="140"/>
      <c r="S81" s="140"/>
      <c r="T81" s="140"/>
      <c r="U81" s="258">
        <f t="shared" si="24"/>
        <v>2</v>
      </c>
      <c r="V81" s="246" t="str">
        <f t="shared" si="25"/>
        <v>已完工</v>
      </c>
      <c r="W81" s="3" t="s">
        <v>4242</v>
      </c>
      <c r="X81" s="5" t="s">
        <v>4243</v>
      </c>
      <c r="Y81" s="5" t="str">
        <f t="shared" si="26"/>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 t="shared" si="22"/>
        <v>20250422-2154-北縣板莊店(定保)</v>
      </c>
      <c r="I82" s="190">
        <v>45769.570138888892</v>
      </c>
      <c r="J82" s="188" cm="1">
        <f t="array" ref="J82">IFERROR(INDEX(IM!$X$2:$X$650, MATCH(1, (IM!$F$2:$F$650=A82) * (ISNUMBER(SEARCH($C$1, IM!$AC$2:$AC$650))), 0)), "")</f>
        <v>45769.570138888892</v>
      </c>
      <c r="K82" s="159">
        <f>COUNTIFS(IM!F:F,A82,IM!AD:AD,"O",IM!X:X,"&gt;="&amp;$A$1,IM!X:X,"&lt;="&amp;$B$1)</f>
        <v>1</v>
      </c>
      <c r="L82" s="228" t="str" cm="1">
        <f t="array" ref="L82">IF(K82&gt;0,IFERROR(HYPERLINK("#'IM'!AC"&amp;MATCH(1,(IM!$F$1:$F$7700=A82)*(ISNUMBER(SEARCH("PMQ2",IM!$AC$1:$AC$7700))),0),"檢核"),"未登錄"),"")</f>
        <v>檢核</v>
      </c>
      <c r="M82" s="230" t="str" cm="1">
        <f t="array" ref="M82">IF(AND(SUMPRODUCT((IM!F2:F844=A82)*(ISNUMBER(SEARCH("EDC", IM!AC2:AC844))))&gt;0), "EDC", "")</f>
        <v>EDC</v>
      </c>
      <c r="N82" s="264" t="str" cm="1">
        <f t="array" ref="N82">IF(AND(SUMPRODUCT((IM!F2:F844=A82)*(ISNUMBER(SEARCH("STAR", IM!AC2:AC844))))&gt;0), "STAR", "")</f>
        <v/>
      </c>
      <c r="O82" s="256" t="str" cm="1">
        <f t="array" ref="O82">IFERROR(INDEX(IM!$X$2:$X$650, MATCH(1, (IM!$F$2:$F$650=A82) * (ISNUMBER(SEARCH($D$1, IM!$AC$2:$AC$650))), 0)), "")</f>
        <v/>
      </c>
      <c r="P82" s="191" t="str">
        <f t="shared" si="23"/>
        <v>20250422-2154-北縣板莊店(定保)</v>
      </c>
      <c r="Q82" s="140"/>
      <c r="R82" s="140"/>
      <c r="S82" s="140"/>
      <c r="T82" s="140"/>
      <c r="U82" s="258">
        <f t="shared" si="24"/>
        <v>0</v>
      </c>
      <c r="V82" s="246" t="str">
        <f t="shared" si="25"/>
        <v>已完工</v>
      </c>
      <c r="X82" s="5"/>
      <c r="Y82" s="5" t="str">
        <f t="shared" si="26"/>
        <v/>
      </c>
    </row>
    <row r="83" spans="1:25" ht="15.75" customHeight="1">
      <c r="A83" s="179">
        <v>3362</v>
      </c>
      <c r="B83" s="180" t="str">
        <f>VLOOKUP(A83,'0919門市清單主檔'!B:C,2,FALSE)</f>
        <v>北縣重武店</v>
      </c>
      <c r="C83" s="181" t="str">
        <f>VLOOKUP($A83,'0919門市清單主檔'!B:V,20,FALSE)</f>
        <v>新北市</v>
      </c>
      <c r="D83" s="182" t="str">
        <f>VLOOKUP($A83,'0919門市清單主檔'!B:V,21,FALSE)</f>
        <v>三重區</v>
      </c>
      <c r="E83" s="183" t="str">
        <f>VLOOKUP(D83,區域表!A:B,2,FALSE)</f>
        <v>吳宗鴻</v>
      </c>
      <c r="F83" s="184" t="str">
        <f>IFERROR(IF(VLOOKUP(A83,門市狀態!A:D,4,FALSE)=0,"",VLOOKUP(A83,門市狀態!A:D,4,FALSE)),"")</f>
        <v/>
      </c>
      <c r="G83" s="185" t="s">
        <v>1746</v>
      </c>
      <c r="H83" s="186" t="str">
        <f t="shared" si="22"/>
        <v>-3362-北縣重武店(定保)</v>
      </c>
      <c r="I83" s="190" t="s">
        <v>1746</v>
      </c>
      <c r="J83" s="188" t="str" cm="1">
        <f t="array" ref="J83">IFERROR(INDEX(IM!$X$2:$X$650, MATCH(1, (IM!$F$2:$F$650=A83) * (ISNUMBER(SEARCH($C$1, IM!$AC$2:$AC$650))), 0)), "")</f>
        <v/>
      </c>
      <c r="K83" s="159">
        <f>COUNTIFS(IM!F:F,A83,IM!AD:AD,"O",IM!X:X,"&gt;="&amp;$A$1,IM!X:X,"&lt;="&amp;$B$1)</f>
        <v>0</v>
      </c>
      <c r="L83" s="228" t="str" cm="1">
        <f t="array" ref="L83">IF(K83&gt;0,IFERROR(HYPERLINK("#'IM'!AC"&amp;MATCH(1,(IM!$F$1:$F$7700=A83)*(ISNUMBER(SEARCH("PMQ2",IM!$AC$1:$AC$7700))),0),"檢核"),"未登錄"),"")</f>
        <v/>
      </c>
      <c r="M83" s="230" t="str" cm="1">
        <f t="array" ref="M83">IF(AND(SUMPRODUCT((IM!F2:F650=A83)*(ISNUMBER(SEARCH("EDC", IM!AC2:AC650))))&gt;0), "EDC", "")</f>
        <v/>
      </c>
      <c r="N83" s="264" t="str" cm="1">
        <f t="array" ref="N83">IF(AND(SUMPRODUCT((IM!F2:F650=A83)*(ISNUMBER(SEARCH("STAR", IM!AC2:AC650))))&gt;0), "STAR", "")</f>
        <v/>
      </c>
      <c r="O83" s="256" t="str" cm="1">
        <f t="array" ref="O83">IFERROR(INDEX(IM!$X$2:$X$650, MATCH(1, (IM!$F$2:$F$650=A83) * (ISNUMBER(SEARCH($D$1, IM!$AC$2:$AC$650))), 0)), "")</f>
        <v/>
      </c>
      <c r="P83" s="191" t="str">
        <f t="shared" si="23"/>
        <v>-3362-北縣重武店(定保)</v>
      </c>
      <c r="Q83" s="267"/>
      <c r="R83" s="267"/>
      <c r="S83" s="267"/>
      <c r="T83" s="267"/>
      <c r="U83" s="258">
        <f t="shared" si="24"/>
        <v>1</v>
      </c>
      <c r="V83" s="246" t="str">
        <f t="shared" si="25"/>
        <v>未到店</v>
      </c>
      <c r="W83" s="268"/>
      <c r="X83" s="269" t="s">
        <v>4146</v>
      </c>
      <c r="Y83" s="5" t="str">
        <f t="shared" si="26"/>
        <v>STAR</v>
      </c>
    </row>
    <row r="84" spans="1:25" ht="15.75" customHeight="1">
      <c r="A84" s="179">
        <v>3890</v>
      </c>
      <c r="B84" s="180" t="str">
        <f>VLOOKUP(A84,'0919門市清單主檔'!B:C,2,FALSE)</f>
        <v>三重美堤店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1746</v>
      </c>
      <c r="H84" s="186" t="str">
        <f t="shared" si="22"/>
        <v>-3890-三重美堤店(定保)</v>
      </c>
      <c r="I84" s="190" t="s">
        <v>1746</v>
      </c>
      <c r="J84" s="188" t="str" cm="1">
        <f t="array" ref="J84">IFERROR(INDEX(IM!$X$2:$X$650, MATCH(1, (IM!$F$2:$F$650=A84) * (ISNUMBER(SEARCH($C$1, IM!$AC$2:$AC$650))), 0)), "")</f>
        <v/>
      </c>
      <c r="K84" s="159">
        <f>COUNTIFS(IM!F:F,A84,IM!AD:AD,"O",IM!X:X,"&gt;="&amp;$A$1,IM!X:X,"&lt;="&amp;$B$1)</f>
        <v>0</v>
      </c>
      <c r="L84" s="228" t="str" cm="1">
        <f t="array" ref="L84">IF(K84&gt;0,IFERROR(HYPERLINK("#'IM'!AC"&amp;MATCH(1,(IM!$F$1:$F$7700=A84)*(ISNUMBER(SEARCH("PMQ2",IM!$AC$1:$AC$7700))),0),"檢核"),"未登錄"),"")</f>
        <v/>
      </c>
      <c r="M84" s="230" t="str" cm="1">
        <f t="array" ref="M84">IF(AND(SUMPRODUCT((IM!F2:F651=A84)*(ISNUMBER(SEARCH("EDC", IM!AC2:AC651))))&gt;0), "EDC", "")</f>
        <v/>
      </c>
      <c r="N84" s="264" t="str" cm="1">
        <f t="array" ref="N84">IF(AND(SUMPRODUCT((IM!F2:F651=A84)*(ISNUMBER(SEARCH("STAR", IM!AC2:AC651))))&gt;0), "STAR", "")</f>
        <v/>
      </c>
      <c r="O84" s="256" t="str" cm="1">
        <f t="array" ref="O84">IFERROR(INDEX(IM!$X$2:$X$650, MATCH(1, (IM!$F$2:$F$650=A84) * (ISNUMBER(SEARCH($D$1, IM!$AC$2:$AC$650))), 0)), "")</f>
        <v/>
      </c>
      <c r="P84" s="191" t="str">
        <f t="shared" si="23"/>
        <v>-3890-三重美堤店(定保)</v>
      </c>
      <c r="Q84" s="267"/>
      <c r="R84" s="267"/>
      <c r="S84" s="267"/>
      <c r="T84" s="267"/>
      <c r="U84" s="258">
        <f t="shared" si="24"/>
        <v>2</v>
      </c>
      <c r="V84" s="246" t="str">
        <f t="shared" si="25"/>
        <v>未到店</v>
      </c>
      <c r="W84" s="3" t="s">
        <v>4147</v>
      </c>
      <c r="X84" s="5" t="s">
        <v>4148</v>
      </c>
      <c r="Y84" s="5" t="str">
        <f t="shared" si="26"/>
        <v>STAR</v>
      </c>
    </row>
    <row r="85" spans="1:25" ht="15.75" customHeight="1">
      <c r="A85" s="179">
        <v>4191</v>
      </c>
      <c r="B85" s="180" t="str">
        <f>VLOOKUP(A85,'0919門市清單主檔'!B:C,2,FALSE)</f>
        <v>三重溪美店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 t="shared" si="22"/>
        <v>-4191-三重溪美店(定保)</v>
      </c>
      <c r="I85" s="190" t="s">
        <v>1746</v>
      </c>
      <c r="J85" s="188" t="str" cm="1">
        <f t="array" ref="J85">IFERROR(INDEX(IM!$X$2:$X$650, MATCH(1, (IM!$F$2:$F$650=A85) * (ISNUMBER(SEARCH($C$1, IM!$AC$2:$AC$650))), 0)), "")</f>
        <v/>
      </c>
      <c r="K85" s="159">
        <f>COUNTIFS(IM!F:F,A85,IM!AD:AD,"O",IM!X:X,"&gt;="&amp;$A$1,IM!X:X,"&lt;="&amp;$B$1)</f>
        <v>0</v>
      </c>
      <c r="L85" s="228" t="str" cm="1">
        <f t="array" ref="L85">IF(K85&gt;0,IFERROR(HYPERLINK("#'IM'!AC"&amp;MATCH(1,(IM!$F$1:$F$7700=A85)*(ISNUMBER(SEARCH("PMQ2",IM!$AC$1:$AC$7700))),0),"檢核"),"未登錄"),"")</f>
        <v/>
      </c>
      <c r="M85" s="230" t="str" cm="1">
        <f t="array" ref="M85">IF(AND(SUMPRODUCT((IM!F2:F652=A85)*(ISNUMBER(SEARCH("EDC", IM!AC2:AC652))))&gt;0), "EDC", "")</f>
        <v/>
      </c>
      <c r="N85" s="264" t="str" cm="1">
        <f t="array" ref="N85">IF(AND(SUMPRODUCT((IM!F2:F652=A85)*(ISNUMBER(SEARCH("STAR", IM!AC2:AC652))))&gt;0), "STAR", "")</f>
        <v/>
      </c>
      <c r="O85" s="256" t="str" cm="1">
        <f t="array" ref="O85">IFERROR(INDEX(IM!$X$2:$X$650, MATCH(1, (IM!$F$2:$F$650=A85) * (ISNUMBER(SEARCH($D$1, IM!$AC$2:$AC$650))), 0)), "")</f>
        <v/>
      </c>
      <c r="P85" s="191" t="str">
        <f t="shared" si="23"/>
        <v>-4191-三重溪美店(定保)</v>
      </c>
      <c r="Q85" s="267"/>
      <c r="R85" s="267"/>
      <c r="S85" s="267"/>
      <c r="T85" s="267"/>
      <c r="U85" s="258">
        <f t="shared" si="24"/>
        <v>2</v>
      </c>
      <c r="V85" s="246" t="str">
        <f t="shared" si="25"/>
        <v>未到店</v>
      </c>
      <c r="W85" s="3" t="s">
        <v>4149</v>
      </c>
      <c r="X85" s="5" t="s">
        <v>4150</v>
      </c>
      <c r="Y85" s="5" t="str">
        <f t="shared" si="26"/>
        <v>STAR</v>
      </c>
    </row>
    <row r="86" spans="1:25" ht="15.75" customHeight="1">
      <c r="A86" s="179">
        <v>5245</v>
      </c>
      <c r="B86" s="180" t="str">
        <f>VLOOKUP(A86,'0919門市清單主檔'!B:C,2,FALSE)</f>
        <v>三重護山店</v>
      </c>
      <c r="C86" s="181" t="str">
        <f>VLOOKUP($A86,'0919門市清單主檔'!B:V,20,FALSE)</f>
        <v>新北市</v>
      </c>
      <c r="D86" s="182" t="str">
        <f>VLOOKUP($A86,'0919門市清單主檔'!B:V,21,FALSE)</f>
        <v>三重區</v>
      </c>
      <c r="E86" s="183" t="str">
        <f>VLOOKUP(D86,區域表!A:B,2,FALSE)</f>
        <v>吳宗鴻</v>
      </c>
      <c r="F86" s="184" t="str">
        <f>IFERROR(IF(VLOOKUP(A86,門市狀態!A:D,4,FALSE)=0,"",VLOOKUP(A86,門市狀態!A:D,4,FALSE)),"")</f>
        <v/>
      </c>
      <c r="G86" s="185" t="s">
        <v>1746</v>
      </c>
      <c r="H86" s="186" t="str">
        <f t="shared" si="22"/>
        <v>-5245-三重護山店(定保)</v>
      </c>
      <c r="I86" s="190" t="s">
        <v>1746</v>
      </c>
      <c r="J86" s="188" t="str" cm="1">
        <f t="array" ref="J86">IFERROR(INDEX(IM!$X$2:$X$650, MATCH(1, (IM!$F$2:$F$650=A86) * (ISNUMBER(SEARCH($C$1, IM!$AC$2:$AC$650))), 0)), "")</f>
        <v/>
      </c>
      <c r="K86" s="159">
        <f>COUNTIFS(IM!F:F,A86,IM!AD:AD,"O",IM!X:X,"&gt;="&amp;$A$1,IM!X:X,"&lt;="&amp;$B$1)</f>
        <v>0</v>
      </c>
      <c r="L86" s="228" t="str" cm="1">
        <f t="array" ref="L86">IF(K86&gt;0,IFERROR(HYPERLINK("#'IM'!AC"&amp;MATCH(1,(IM!$F$1:$F$7700=A86)*(ISNUMBER(SEARCH("PMQ2",IM!$AC$1:$AC$7700))),0),"檢核"),"未登錄"),"")</f>
        <v/>
      </c>
      <c r="M86" s="230" t="str" cm="1">
        <f t="array" ref="M86">IF(AND(SUMPRODUCT((IM!F2:F653=A86)*(ISNUMBER(SEARCH("EDC", IM!AC2:AC653))))&gt;0), "EDC", "")</f>
        <v/>
      </c>
      <c r="N86" s="264" t="str" cm="1">
        <f t="array" ref="N86">IF(AND(SUMPRODUCT((IM!F2:F653=A86)*(ISNUMBER(SEARCH("STAR", IM!AC2:AC653))))&gt;0), "STAR", "")</f>
        <v/>
      </c>
      <c r="O86" s="256" t="str" cm="1">
        <f t="array" ref="O86">IFERROR(INDEX(IM!$X$2:$X$650, MATCH(1, (IM!$F$2:$F$650=A86) * (ISNUMBER(SEARCH($D$1, IM!$AC$2:$AC$650))), 0)), "")</f>
        <v/>
      </c>
      <c r="P86" s="191" t="str">
        <f t="shared" si="23"/>
        <v>-5245-三重護山店(定保)</v>
      </c>
      <c r="Q86" s="140"/>
      <c r="R86" s="140"/>
      <c r="S86" s="140"/>
      <c r="T86" s="140"/>
      <c r="U86" s="258">
        <f t="shared" si="24"/>
        <v>0</v>
      </c>
      <c r="V86" s="246" t="str">
        <f t="shared" si="25"/>
        <v>未到店</v>
      </c>
      <c r="X86" s="5"/>
      <c r="Y86" s="5" t="str">
        <f t="shared" si="26"/>
        <v/>
      </c>
    </row>
    <row r="87" spans="1:25" ht="15.75" customHeight="1">
      <c r="A87" s="179" t="s">
        <v>34</v>
      </c>
      <c r="B87" s="180" t="str">
        <f>VLOOKUP(A87,'0919門市清單主檔'!B:C,2,FALSE)</f>
        <v>板橋寶翠店</v>
      </c>
      <c r="C87" s="181" t="str">
        <f>VLOOKUP($A87,'0919門市清單主檔'!B:V,20,FALSE)</f>
        <v>新北市</v>
      </c>
      <c r="D87" s="182" t="str">
        <f>VLOOKUP($A87,'0919門市清單主檔'!B:V,21,FALSE)</f>
        <v>板橋區</v>
      </c>
      <c r="E87" s="183" t="str">
        <f>VLOOKUP(D87,區域表!A:B,2,FALSE)</f>
        <v>狄澤洋</v>
      </c>
      <c r="F87" s="184" t="str">
        <f>IFERROR(IF(VLOOKUP(A87,門市狀態!A:D,4,FALSE)=0,"",VLOOKUP(A87,門市狀態!A:D,4,FALSE)),"")</f>
        <v/>
      </c>
      <c r="G87" s="185" t="s">
        <v>1746</v>
      </c>
      <c r="H87" s="186" t="str">
        <f t="shared" si="22"/>
        <v>-D767-板橋寶翠店(定保)</v>
      </c>
      <c r="I87" s="190" t="s">
        <v>1746</v>
      </c>
      <c r="J87" s="188" t="str" cm="1">
        <f t="array" ref="J87">IFERROR(INDEX(IM!$X$2:$X$650, MATCH(1, (IM!$F$2:$F$650=A87) * (ISNUMBER(SEARCH($C$1, IM!$AC$2:$AC$650))), 0)), "")</f>
        <v/>
      </c>
      <c r="K87" s="159">
        <f>COUNTIFS(IM!F:F,A87,IM!AD:AD,"O",IM!X:X,"&gt;="&amp;$A$1,IM!X:X,"&lt;="&amp;$B$1)</f>
        <v>0</v>
      </c>
      <c r="L87" s="228" t="str" cm="1">
        <f t="array" ref="L87">IF(K87&gt;0,IFERROR(HYPERLINK("#'IM'!AC"&amp;MATCH(1,(IM!$F$1:$F$7700=A87)*(ISNUMBER(SEARCH("PMQ2",IM!$AC$1:$AC$7700))),0),"檢核"),"未登錄"),"")</f>
        <v/>
      </c>
      <c r="M87" s="230" t="str" cm="1">
        <f t="array" ref="M87">IF(AND(SUMPRODUCT((IM!F2:F658=A87)*(ISNUMBER(SEARCH("EDC", IM!AC2:AC658))))&gt;0), "EDC", "")</f>
        <v/>
      </c>
      <c r="N87" s="264" t="str" cm="1">
        <f t="array" ref="N87">IF(AND(SUMPRODUCT((IM!F2:F658=A87)*(ISNUMBER(SEARCH("STAR", IM!AC2:AC658))))&gt;0), "STAR", "")</f>
        <v/>
      </c>
      <c r="O87" s="256" t="str" cm="1">
        <f t="array" ref="O87">IFERROR(INDEX(IM!$X$2:$X$650, MATCH(1, (IM!$F$2:$F$650=A87) * (ISNUMBER(SEARCH($D$1, IM!$AC$2:$AC$650))), 0)), "")</f>
        <v/>
      </c>
      <c r="P87" s="191" t="str">
        <f t="shared" si="23"/>
        <v>-D767-板橋寶翠店(定保)</v>
      </c>
      <c r="Q87" s="140"/>
      <c r="R87" s="140"/>
      <c r="S87" s="140"/>
      <c r="T87" s="140"/>
      <c r="U87" s="258">
        <f t="shared" si="24"/>
        <v>2</v>
      </c>
      <c r="V87" s="246" t="str">
        <f t="shared" si="25"/>
        <v>未到店</v>
      </c>
      <c r="W87" s="3" t="s">
        <v>4158</v>
      </c>
      <c r="X87" s="5" t="s">
        <v>4159</v>
      </c>
      <c r="Y87" s="5" t="str">
        <f t="shared" si="26"/>
        <v>STAR</v>
      </c>
    </row>
    <row r="88" spans="1:25" ht="15.75" customHeight="1">
      <c r="A88" s="179">
        <v>4036</v>
      </c>
      <c r="B88" s="180" t="str">
        <f>VLOOKUP(A88,'0919門市清單主檔'!B:C,2,FALSE)</f>
        <v>蘆洲永樂店</v>
      </c>
      <c r="C88" s="181" t="str">
        <f>VLOOKUP($A88,'0919門市清單主檔'!B:V,20,FALSE)</f>
        <v>新北市</v>
      </c>
      <c r="D88" s="182" t="str">
        <f>VLOOKUP($A88,'0919門市清單主檔'!B:V,21,FALSE)</f>
        <v>蘆洲區</v>
      </c>
      <c r="E88" s="183" t="str">
        <f>VLOOKUP(D88,區域表!A:B,2,FALSE)</f>
        <v>吳宗鴻</v>
      </c>
      <c r="F88" s="184" t="str">
        <f>IFERROR(IF(VLOOKUP(A88,門市狀態!A:D,4,FALSE)=0,"",VLOOKUP(A88,門市狀態!A:D,4,FALSE)),"")</f>
        <v/>
      </c>
      <c r="G88" s="185" t="s">
        <v>1746</v>
      </c>
      <c r="H88" s="186" t="str">
        <f t="shared" si="22"/>
        <v>-4036-蘆洲永樂店(定保)</v>
      </c>
      <c r="I88" s="190" t="s">
        <v>1746</v>
      </c>
      <c r="J88" s="188" t="str" cm="1">
        <f t="array" ref="J88">IFERROR(INDEX(IM!$X$2:$X$650, MATCH(1, (IM!$F$2:$F$650=A88) * (ISNUMBER(SEARCH($C$1, IM!$AC$2:$AC$650))), 0)), "")</f>
        <v/>
      </c>
      <c r="K88" s="159">
        <f>COUNTIFS(IM!F:F,A88,IM!AD:AD,"O",IM!X:X,"&gt;="&amp;$A$1,IM!X:X,"&lt;="&amp;$B$1)</f>
        <v>0</v>
      </c>
      <c r="L88" s="228" t="str" cm="1">
        <f t="array" ref="L88">IF(K88&gt;0,IFERROR(HYPERLINK("#'IM'!AC"&amp;MATCH(1,(IM!$F$1:$F$7700=A88)*(ISNUMBER(SEARCH("PMQ2",IM!$AC$1:$AC$7700))),0),"檢核"),"未登錄"),"")</f>
        <v/>
      </c>
      <c r="M88" s="230" t="str" cm="1">
        <f t="array" ref="M88">IF(AND(SUMPRODUCT((IM!F2:F659=A88)*(ISNUMBER(SEARCH("EDC", IM!AC2:AC659))))&gt;0), "EDC", "")</f>
        <v/>
      </c>
      <c r="N88" s="264" t="str" cm="1">
        <f t="array" ref="N88">IF(AND(SUMPRODUCT((IM!F2:F659=A88)*(ISNUMBER(SEARCH("STAR", IM!AC2:AC659))))&gt;0), "STAR", "")</f>
        <v/>
      </c>
      <c r="O88" s="256" t="str" cm="1">
        <f t="array" ref="O88">IFERROR(INDEX(IM!$X$2:$X$650, MATCH(1, (IM!$F$2:$F$650=A88) * (ISNUMBER(SEARCH($D$1, IM!$AC$2:$AC$650))), 0)), "")</f>
        <v/>
      </c>
      <c r="P88" s="191" t="str">
        <f t="shared" si="23"/>
        <v>-4036-蘆洲永樂店(定保)</v>
      </c>
      <c r="Q88" s="140"/>
      <c r="R88" s="140"/>
      <c r="S88" s="140"/>
      <c r="T88" s="140"/>
      <c r="U88" s="258">
        <f t="shared" si="24"/>
        <v>1</v>
      </c>
      <c r="V88" s="246" t="str">
        <f t="shared" si="25"/>
        <v>未到店</v>
      </c>
      <c r="W88" s="3" t="s">
        <v>4160</v>
      </c>
      <c r="X88" s="5"/>
      <c r="Y88" s="5" t="str">
        <f t="shared" si="26"/>
        <v>STAR</v>
      </c>
    </row>
    <row r="89" spans="1:25" ht="15.75" customHeight="1">
      <c r="A89" s="179">
        <v>3052</v>
      </c>
      <c r="B89" s="180" t="str">
        <f>VLOOKUP(A89,'0919門市清單主檔'!B:C,2,FALSE)</f>
        <v>北縣莊玲店</v>
      </c>
      <c r="C89" s="181" t="str">
        <f>VLOOKUP($A89,'0919門市清單主檔'!B:V,20,FALSE)</f>
        <v>新北市</v>
      </c>
      <c r="D89" s="182" t="str">
        <f>VLOOKUP($A89,'0919門市清單主檔'!B:V,21,FALSE)</f>
        <v>新莊區</v>
      </c>
      <c r="E89" s="183" t="str">
        <f>VLOOKUP(D89,區域表!A:B,2,FALSE)</f>
        <v>湯家瑋</v>
      </c>
      <c r="F89" s="184" t="str">
        <f>IFERROR(IF(VLOOKUP(A89,門市狀態!A:D,4,FALSE)=0,"",VLOOKUP(A89,門市狀態!A:D,4,FALSE)),"")</f>
        <v/>
      </c>
      <c r="G89" s="185" t="s">
        <v>1746</v>
      </c>
      <c r="H89" s="186" t="str">
        <f t="shared" si="22"/>
        <v>-3052-北縣莊玲店(定保)</v>
      </c>
      <c r="I89" s="190" t="s">
        <v>1746</v>
      </c>
      <c r="J89" s="188" t="str" cm="1">
        <f t="array" ref="J89">IFERROR(INDEX(IM!$X$2:$X$650, MATCH(1, (IM!$F$2:$F$650=A89) * (ISNUMBER(SEARCH($C$1, IM!$AC$2:$AC$650))), 0)), "")</f>
        <v/>
      </c>
      <c r="K89" s="159">
        <f>COUNTIFS(IM!F:F,A89,IM!AD:AD,"O",IM!X:X,"&gt;="&amp;$A$1,IM!X:X,"&lt;="&amp;$B$1)</f>
        <v>0</v>
      </c>
      <c r="L89" s="228" t="str" cm="1">
        <f t="array" ref="L89">IF(K89&gt;0,IFERROR(HYPERLINK("#'IM'!AC"&amp;MATCH(1,(IM!$F$1:$F$7700=A89)*(ISNUMBER(SEARCH("PMQ2",IM!$AC$1:$AC$7700))),0),"檢核"),"未登錄"),"")</f>
        <v/>
      </c>
      <c r="M89" s="230" t="str" cm="1">
        <f t="array" ref="M89">IF(AND(SUMPRODUCT((IM!F2:F660=A89)*(ISNUMBER(SEARCH("EDC", IM!AC2:AC660))))&gt;0), "EDC", "")</f>
        <v/>
      </c>
      <c r="N89" s="264" t="str" cm="1">
        <f t="array" ref="N89">IF(AND(SUMPRODUCT((IM!F2:F660=A89)*(ISNUMBER(SEARCH("STAR", IM!AC2:AC660))))&gt;0), "STAR", "")</f>
        <v/>
      </c>
      <c r="O89" s="256" t="str" cm="1">
        <f t="array" ref="O89">IFERROR(INDEX(IM!$X$2:$X$650, MATCH(1, (IM!$F$2:$F$650=A89) * (ISNUMBER(SEARCH($D$1, IM!$AC$2:$AC$650))), 0)), "")</f>
        <v/>
      </c>
      <c r="P89" s="191" t="str">
        <f t="shared" si="23"/>
        <v>-3052-北縣莊玲店(定保)</v>
      </c>
      <c r="Q89" s="140"/>
      <c r="R89" s="140"/>
      <c r="S89" s="140"/>
      <c r="T89" s="140"/>
      <c r="U89" s="258">
        <f t="shared" si="24"/>
        <v>2</v>
      </c>
      <c r="V89" s="246" t="str">
        <f t="shared" si="25"/>
        <v>未到店</v>
      </c>
      <c r="W89" s="3" t="s">
        <v>4161</v>
      </c>
      <c r="X89" s="5" t="s">
        <v>4162</v>
      </c>
      <c r="Y89" s="5" t="str">
        <f t="shared" si="26"/>
        <v>STAR</v>
      </c>
    </row>
    <row r="90" spans="1:25" ht="15.75" customHeight="1">
      <c r="A90" s="179">
        <v>3380</v>
      </c>
      <c r="B90" s="180" t="str">
        <f>VLOOKUP(A90,'0919門市清單主檔'!B:C,2,FALSE)</f>
        <v>北縣莊勝店</v>
      </c>
      <c r="C90" s="181" t="str">
        <f>VLOOKUP($A90,'0919門市清單主檔'!B:V,20,FALSE)</f>
        <v>新北市</v>
      </c>
      <c r="D90" s="182" t="str">
        <f>VLOOKUP($A90,'0919門市清單主檔'!B:V,21,FALSE)</f>
        <v>新莊區</v>
      </c>
      <c r="E90" s="183" t="str">
        <f>VLOOKUP(D90,區域表!A:B,2,FALSE)</f>
        <v>湯家瑋</v>
      </c>
      <c r="F90" s="184" t="str">
        <f>IFERROR(IF(VLOOKUP(A90,門市狀態!A:D,4,FALSE)=0,"",VLOOKUP(A90,門市狀態!A:D,4,FALSE)),"")</f>
        <v/>
      </c>
      <c r="G90" s="185" t="s">
        <v>1746</v>
      </c>
      <c r="H90" s="186" t="str">
        <f t="shared" si="22"/>
        <v>-3380-北縣莊勝店(定保)</v>
      </c>
      <c r="I90" s="190" t="s">
        <v>1746</v>
      </c>
      <c r="J90" s="188" t="str" cm="1">
        <f t="array" ref="J90">IFERROR(INDEX(IM!$X$2:$X$650, MATCH(1, (IM!$F$2:$F$650=A90) * (ISNUMBER(SEARCH($C$1, IM!$AC$2:$AC$650))), 0)), "")</f>
        <v/>
      </c>
      <c r="K90" s="159">
        <f>COUNTIFS(IM!F:F,A90,IM!AD:AD,"O",IM!X:X,"&gt;="&amp;$A$1,IM!X:X,"&lt;="&amp;$B$1)</f>
        <v>0</v>
      </c>
      <c r="L90" s="228" t="str" cm="1">
        <f t="array" ref="L90">IF(K90&gt;0,IFERROR(HYPERLINK("#'IM'!AC"&amp;MATCH(1,(IM!$F$1:$F$7700=A90)*(ISNUMBER(SEARCH("PMQ2",IM!$AC$1:$AC$7700))),0),"檢核"),"未登錄"),"")</f>
        <v/>
      </c>
      <c r="M90" s="230" t="str" cm="1">
        <f t="array" ref="M90">IF(AND(SUMPRODUCT((IM!F2:F661=A90)*(ISNUMBER(SEARCH("EDC", IM!AC2:AC661))))&gt;0), "EDC", "")</f>
        <v/>
      </c>
      <c r="N90" s="264" t="str" cm="1">
        <f t="array" ref="N90">IF(AND(SUMPRODUCT((IM!F2:F661=A90)*(ISNUMBER(SEARCH("STAR", IM!AC2:AC661))))&gt;0), "STAR", "")</f>
        <v/>
      </c>
      <c r="O90" s="256" t="str" cm="1">
        <f t="array" ref="O90">IFERROR(INDEX(IM!$X$2:$X$650, MATCH(1, (IM!$F$2:$F$650=A90) * (ISNUMBER(SEARCH($D$1, IM!$AC$2:$AC$650))), 0)), "")</f>
        <v/>
      </c>
      <c r="P90" s="191" t="str">
        <f t="shared" si="23"/>
        <v>-3380-北縣莊勝店(定保)</v>
      </c>
      <c r="Q90" s="140"/>
      <c r="R90" s="140"/>
      <c r="S90" s="140"/>
      <c r="T90" s="140"/>
      <c r="U90" s="258">
        <f t="shared" si="24"/>
        <v>1</v>
      </c>
      <c r="V90" s="246" t="str">
        <f t="shared" si="25"/>
        <v>未到店</v>
      </c>
      <c r="X90" s="5" t="s">
        <v>4163</v>
      </c>
      <c r="Y90" s="5" t="str">
        <f t="shared" si="26"/>
        <v>STAR</v>
      </c>
    </row>
    <row r="91" spans="1:25" ht="15.75" customHeight="1">
      <c r="A91" s="179" t="s">
        <v>17</v>
      </c>
      <c r="B91" s="180" t="str">
        <f>VLOOKUP(A91,'0919門市清單主檔'!B:C,2,FALSE)</f>
        <v>蘆洲權義店</v>
      </c>
      <c r="C91" s="181" t="str">
        <f>VLOOKUP($A91,'0919門市清單主檔'!B:V,20,FALSE)</f>
        <v>新北市</v>
      </c>
      <c r="D91" s="182" t="str">
        <f>VLOOKUP($A91,'0919門市清單主檔'!B:V,21,FALSE)</f>
        <v>蘆洲區</v>
      </c>
      <c r="E91" s="183" t="str">
        <f>VLOOKUP(D91,區域表!A:B,2,FALSE)</f>
        <v>吳宗鴻</v>
      </c>
      <c r="F91" s="184" t="str">
        <f>IFERROR(IF(VLOOKUP(A91,門市狀態!A:D,4,FALSE)=0,"",VLOOKUP(A91,門市狀態!A:D,4,FALSE)),"")</f>
        <v/>
      </c>
      <c r="G91" s="185" t="s">
        <v>1746</v>
      </c>
      <c r="H91" s="186" t="str">
        <f t="shared" si="22"/>
        <v>-D193-蘆洲權義店(定保)</v>
      </c>
      <c r="I91" s="190" t="s">
        <v>1746</v>
      </c>
      <c r="J91" s="188" t="str" cm="1">
        <f t="array" ref="J91">IFERROR(INDEX(IM!$X$2:$X$650, MATCH(1, (IM!$F$2:$F$650=A91) * (ISNUMBER(SEARCH($C$1, IM!$AC$2:$AC$650))), 0)), "")</f>
        <v/>
      </c>
      <c r="K91" s="159">
        <f>COUNTIFS(IM!F:F,A91,IM!AD:AD,"O",IM!X:X,"&gt;="&amp;$A$1,IM!X:X,"&lt;="&amp;$B$1)</f>
        <v>0</v>
      </c>
      <c r="L91" s="228" t="str" cm="1">
        <f t="array" ref="L91">IF(K91&gt;0,IFERROR(HYPERLINK("#'IM'!AC"&amp;MATCH(1,(IM!$F$1:$F$7700=A91)*(ISNUMBER(SEARCH("PMQ2",IM!$AC$1:$AC$7700))),0),"檢核"),"未登錄"),"")</f>
        <v/>
      </c>
      <c r="M91" s="230" t="str" cm="1">
        <f t="array" ref="M91">IF(AND(SUMPRODUCT((IM!F2:F662=A91)*(ISNUMBER(SEARCH("EDC", IM!AC2:AC662))))&gt;0), "EDC", "")</f>
        <v/>
      </c>
      <c r="N91" s="264" t="str" cm="1">
        <f t="array" ref="N91">IF(AND(SUMPRODUCT((IM!F2:F662=A91)*(ISNUMBER(SEARCH("STAR", IM!AC2:AC662))))&gt;0), "STAR", "")</f>
        <v/>
      </c>
      <c r="O91" s="256" t="str" cm="1">
        <f t="array" ref="O91">IFERROR(INDEX(IM!$X$2:$X$650, MATCH(1, (IM!$F$2:$F$650=A91) * (ISNUMBER(SEARCH($D$1, IM!$AC$2:$AC$650))), 0)), "")</f>
        <v/>
      </c>
      <c r="P91" s="191" t="str">
        <f t="shared" si="23"/>
        <v>-D193-蘆洲權義店(定保)</v>
      </c>
      <c r="Q91" s="140"/>
      <c r="R91" s="140"/>
      <c r="S91" s="140"/>
      <c r="T91" s="140"/>
      <c r="U91" s="258">
        <f t="shared" si="24"/>
        <v>2</v>
      </c>
      <c r="V91" s="246" t="str">
        <f t="shared" si="25"/>
        <v>未到店</v>
      </c>
      <c r="W91" s="3" t="s">
        <v>4164</v>
      </c>
      <c r="X91" s="5" t="s">
        <v>4165</v>
      </c>
      <c r="Y91" s="5" t="str">
        <f t="shared" si="26"/>
        <v>STAR</v>
      </c>
    </row>
    <row r="92" spans="1:25" ht="15.75" customHeight="1">
      <c r="A92" s="179">
        <v>5082</v>
      </c>
      <c r="B92" s="180" t="str">
        <f>VLOOKUP(A92,'0919門市清單主檔'!B:C,2,FALSE)</f>
        <v>蘆洲水湳店</v>
      </c>
      <c r="C92" s="181" t="str">
        <f>VLOOKUP($A92,'0919門市清單主檔'!B:V,20,FALSE)</f>
        <v>新北市</v>
      </c>
      <c r="D92" s="182" t="str">
        <f>VLOOKUP($A92,'0919門市清單主檔'!B:V,21,FALSE)</f>
        <v>蘆洲區</v>
      </c>
      <c r="E92" s="183" t="str">
        <f>VLOOKUP(D92,區域表!A:B,2,FALSE)</f>
        <v>吳宗鴻</v>
      </c>
      <c r="F92" s="184" t="str">
        <f>IFERROR(IF(VLOOKUP(A92,門市狀態!A:D,4,FALSE)=0,"",VLOOKUP(A92,門市狀態!A:D,4,FALSE)),"")</f>
        <v/>
      </c>
      <c r="G92" s="185" t="s">
        <v>1746</v>
      </c>
      <c r="H92" s="186" t="str">
        <f t="shared" si="22"/>
        <v>-5082-蘆洲水湳店(定保)</v>
      </c>
      <c r="I92" s="190" t="s">
        <v>1746</v>
      </c>
      <c r="J92" s="188" t="str" cm="1">
        <f t="array" ref="J92">IFERROR(INDEX(IM!$X$2:$X$650, MATCH(1, (IM!$F$2:$F$650=A92) * (ISNUMBER(SEARCH($C$1, IM!$AC$2:$AC$650))), 0)), "")</f>
        <v/>
      </c>
      <c r="K92" s="159">
        <f>COUNTIFS(IM!F:F,A92,IM!AD:AD,"O",IM!X:X,"&gt;="&amp;$A$1,IM!X:X,"&lt;="&amp;$B$1)</f>
        <v>0</v>
      </c>
      <c r="L92" s="228" t="str" cm="1">
        <f t="array" ref="L92">IF(K92&gt;0,IFERROR(HYPERLINK("#'IM'!AC"&amp;MATCH(1,(IM!$F$1:$F$7700=A92)*(ISNUMBER(SEARCH("PMQ2",IM!$AC$1:$AC$7700))),0),"檢核"),"未登錄"),"")</f>
        <v/>
      </c>
      <c r="M92" s="230" t="str" cm="1">
        <f t="array" ref="M92">IF(AND(SUMPRODUCT((IM!F2:F663=A92)*(ISNUMBER(SEARCH("EDC", IM!AC2:AC663))))&gt;0), "EDC", "")</f>
        <v/>
      </c>
      <c r="N92" s="264" t="str" cm="1">
        <f t="array" ref="N92">IF(AND(SUMPRODUCT((IM!F2:F663=A92)*(ISNUMBER(SEARCH("STAR", IM!AC2:AC663))))&gt;0), "STAR", "")</f>
        <v/>
      </c>
      <c r="O92" s="256" t="str" cm="1">
        <f t="array" ref="O92">IFERROR(INDEX(IM!$X$2:$X$650, MATCH(1, (IM!$F$2:$F$650=A92) * (ISNUMBER(SEARCH($D$1, IM!$AC$2:$AC$650))), 0)), "")</f>
        <v/>
      </c>
      <c r="P92" s="191" t="str">
        <f t="shared" si="23"/>
        <v>-5082-蘆洲水湳店(定保)</v>
      </c>
      <c r="Q92" s="140"/>
      <c r="R92" s="140"/>
      <c r="S92" s="140"/>
      <c r="T92" s="140"/>
      <c r="U92" s="258">
        <f t="shared" si="24"/>
        <v>0</v>
      </c>
      <c r="V92" s="246" t="str">
        <f t="shared" si="25"/>
        <v>未到店</v>
      </c>
      <c r="X92" s="5"/>
      <c r="Y92" s="5" t="str">
        <f t="shared" si="26"/>
        <v/>
      </c>
    </row>
    <row r="93" spans="1:25" ht="15.75" customHeight="1">
      <c r="A93" s="179">
        <v>2301</v>
      </c>
      <c r="B93" s="180" t="str">
        <f>VLOOKUP(A93,'0919門市清單主檔'!B:C,2,FALSE)</f>
        <v>蘆洲樂平店</v>
      </c>
      <c r="C93" s="181" t="str">
        <f>VLOOKUP($A93,'0919門市清單主檔'!B:V,20,FALSE)</f>
        <v>新北市</v>
      </c>
      <c r="D93" s="182" t="str">
        <f>VLOOKUP($A93,'0919門市清單主檔'!B:V,21,FALSE)</f>
        <v>蘆洲區</v>
      </c>
      <c r="E93" s="183" t="str">
        <f>VLOOKUP(D93,區域表!A:B,2,FALSE)</f>
        <v>吳宗鴻</v>
      </c>
      <c r="F93" s="184" t="str">
        <f>IFERROR(IF(VLOOKUP(A93,門市狀態!A:D,4,FALSE)=0,"",VLOOKUP(A93,門市狀態!A:D,4,FALSE)),"")</f>
        <v/>
      </c>
      <c r="G93" s="185" t="s">
        <v>1746</v>
      </c>
      <c r="H93" s="186" t="str">
        <f t="shared" si="22"/>
        <v>-2301-蘆洲樂平店(定保)</v>
      </c>
      <c r="I93" s="190" t="s">
        <v>1746</v>
      </c>
      <c r="J93" s="188" t="str" cm="1">
        <f t="array" ref="J93">IFERROR(INDEX(IM!$X$2:$X$650, MATCH(1, (IM!$F$2:$F$650=A93) * (ISNUMBER(SEARCH($C$1, IM!$AC$2:$AC$650))), 0)), "")</f>
        <v/>
      </c>
      <c r="K93" s="159">
        <f>COUNTIFS(IM!F:F,A93,IM!AD:AD,"O",IM!X:X,"&gt;="&amp;$A$1,IM!X:X,"&lt;="&amp;$B$1)</f>
        <v>0</v>
      </c>
      <c r="L93" s="228" t="str" cm="1">
        <f t="array" ref="L93">IF(K93&gt;0,IFERROR(HYPERLINK("#'IM'!AC"&amp;MATCH(1,(IM!$F$1:$F$7700=A93)*(ISNUMBER(SEARCH("PMQ2",IM!$AC$1:$AC$7700))),0),"檢核"),"未登錄"),"")</f>
        <v/>
      </c>
      <c r="M93" s="230" t="str" cm="1">
        <f t="array" ref="M93">IF(AND(SUMPRODUCT((IM!F2:F664=A93)*(ISNUMBER(SEARCH("EDC", IM!AC2:AC664))))&gt;0), "EDC", "")</f>
        <v/>
      </c>
      <c r="N93" s="264" t="str" cm="1">
        <f t="array" ref="N93">IF(AND(SUMPRODUCT((IM!F2:F664=A93)*(ISNUMBER(SEARCH("STAR", IM!AC2:AC664))))&gt;0), "STAR", "")</f>
        <v/>
      </c>
      <c r="O93" s="256" t="str" cm="1">
        <f t="array" ref="O93">IFERROR(INDEX(IM!$X$2:$X$650, MATCH(1, (IM!$F$2:$F$650=A93) * (ISNUMBER(SEARCH($D$1, IM!$AC$2:$AC$650))), 0)), "")</f>
        <v/>
      </c>
      <c r="P93" s="191" t="str">
        <f t="shared" si="23"/>
        <v>-2301-蘆洲樂平店(定保)</v>
      </c>
      <c r="Q93" s="140"/>
      <c r="R93" s="140"/>
      <c r="S93" s="140"/>
      <c r="T93" s="140"/>
      <c r="U93" s="258">
        <f t="shared" si="24"/>
        <v>2</v>
      </c>
      <c r="V93" s="246" t="str">
        <f t="shared" si="25"/>
        <v>未到店</v>
      </c>
      <c r="W93" s="3" t="s">
        <v>4166</v>
      </c>
      <c r="X93" s="5" t="s">
        <v>4167</v>
      </c>
      <c r="Y93" s="5" t="str">
        <f t="shared" si="26"/>
        <v>STAR</v>
      </c>
    </row>
    <row r="94" spans="1:25" ht="15.75" customHeight="1">
      <c r="A94" s="179" t="s">
        <v>38</v>
      </c>
      <c r="B94" s="180" t="str">
        <f>VLOOKUP(A94,'0919門市清單主檔'!B:C,2,FALSE)</f>
        <v>三重大有店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 t="shared" si="22"/>
        <v>-D390-三重大有店(定保)</v>
      </c>
      <c r="I94" s="190" t="s">
        <v>1746</v>
      </c>
      <c r="J94" s="188" t="str" cm="1">
        <f t="array" ref="J94">IFERROR(INDEX(IM!$X$2:$X$650, MATCH(1, (IM!$F$2:$F$650=A94) * (ISNUMBER(SEARCH($C$1, IM!$AC$2:$AC$650))), 0)), "")</f>
        <v/>
      </c>
      <c r="K94" s="159">
        <f>COUNTIFS(IM!F:F,A94,IM!AD:AD,"O",IM!X:X,"&gt;="&amp;$A$1,IM!X:X,"&lt;="&amp;$B$1)</f>
        <v>0</v>
      </c>
      <c r="L94" s="228" t="str" cm="1">
        <f t="array" ref="L94">IF(K94&gt;0,IFERROR(HYPERLINK("#'IM'!AC"&amp;MATCH(1,(IM!$F$1:$F$7700=A94)*(ISNUMBER(SEARCH("PMQ2",IM!$AC$1:$AC$7700))),0),"檢核"),"未登錄"),"")</f>
        <v/>
      </c>
      <c r="M94" s="230" t="str" cm="1">
        <f t="array" ref="M94">IF(AND(SUMPRODUCT((IM!F2:F666=A94)*(ISNUMBER(SEARCH("EDC", IM!AC2:AC666))))&gt;0), "EDC", "")</f>
        <v/>
      </c>
      <c r="N94" s="264" t="str" cm="1">
        <f t="array" ref="N94">IF(AND(SUMPRODUCT((IM!F2:F666=A94)*(ISNUMBER(SEARCH("STAR", IM!AC2:AC666))))&gt;0), "STAR", "")</f>
        <v/>
      </c>
      <c r="O94" s="256" t="str" cm="1">
        <f t="array" ref="O94">IFERROR(INDEX(IM!$X$2:$X$650, MATCH(1, (IM!$F$2:$F$650=A94) * (ISNUMBER(SEARCH($D$1, IM!$AC$2:$AC$650))), 0)), "")</f>
        <v/>
      </c>
      <c r="P94" s="191" t="str">
        <f t="shared" si="23"/>
        <v>-D390-三重大有店(定保)</v>
      </c>
      <c r="Q94" s="140"/>
      <c r="R94" s="140"/>
      <c r="S94" s="140"/>
      <c r="T94" s="140"/>
      <c r="U94" s="258">
        <f t="shared" si="24"/>
        <v>2</v>
      </c>
      <c r="V94" s="246" t="str">
        <f t="shared" si="25"/>
        <v>未到店</v>
      </c>
      <c r="W94" s="3" t="s">
        <v>4169</v>
      </c>
      <c r="X94" s="5" t="s">
        <v>4170</v>
      </c>
      <c r="Y94" s="5" t="str">
        <f t="shared" si="26"/>
        <v>STAR</v>
      </c>
    </row>
    <row r="95" spans="1:25" ht="15.75" customHeight="1">
      <c r="A95" s="179">
        <v>4968</v>
      </c>
      <c r="B95" s="180" t="str">
        <f>VLOOKUP(A95,'0919門市清單主檔'!B:C,2,FALSE)</f>
        <v>三重太璞宮</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 t="shared" si="22"/>
        <v>-4968-三重太璞宮(定保)</v>
      </c>
      <c r="I95" s="190" t="s">
        <v>1746</v>
      </c>
      <c r="J95" s="188" t="str" cm="1">
        <f t="array" ref="J95">IFERROR(INDEX(IM!$X$2:$X$650, MATCH(1, (IM!$F$2:$F$650=A95) * (ISNUMBER(SEARCH($C$1, IM!$AC$2:$AC$650))), 0)), "")</f>
        <v/>
      </c>
      <c r="K95" s="159">
        <f>COUNTIFS(IM!F:F,A95,IM!AD:AD,"O",IM!X:X,"&gt;="&amp;$A$1,IM!X:X,"&lt;="&amp;$B$1)</f>
        <v>0</v>
      </c>
      <c r="L95" s="228" t="str" cm="1">
        <f t="array" ref="L95">IF(K95&gt;0,IFERROR(HYPERLINK("#'IM'!AC"&amp;MATCH(1,(IM!$F$1:$F$7700=A95)*(ISNUMBER(SEARCH("PMQ2",IM!$AC$1:$AC$7700))),0),"檢核"),"未登錄"),"")</f>
        <v/>
      </c>
      <c r="M95" s="230" t="str" cm="1">
        <f t="array" ref="M95">IF(AND(SUMPRODUCT((IM!F2:F668=A95)*(ISNUMBER(SEARCH("EDC", IM!AC2:AC668))))&gt;0), "EDC", "")</f>
        <v/>
      </c>
      <c r="N95" s="264" t="str" cm="1">
        <f t="array" ref="N95">IF(AND(SUMPRODUCT((IM!F2:F668=A95)*(ISNUMBER(SEARCH("STAR", IM!AC2:AC668))))&gt;0), "STAR", "")</f>
        <v/>
      </c>
      <c r="O95" s="256" t="str" cm="1">
        <f t="array" ref="O95">IFERROR(INDEX(IM!$X$2:$X$650, MATCH(1, (IM!$F$2:$F$650=A95) * (ISNUMBER(SEARCH($D$1, IM!$AC$2:$AC$650))), 0)), "")</f>
        <v/>
      </c>
      <c r="P95" s="191" t="str">
        <f t="shared" si="23"/>
        <v>-4968-三重太璞宮(定保)</v>
      </c>
      <c r="Q95" s="140"/>
      <c r="R95" s="140"/>
      <c r="S95" s="140"/>
      <c r="T95" s="140"/>
      <c r="U95" s="258">
        <f t="shared" si="24"/>
        <v>1</v>
      </c>
      <c r="V95" s="246" t="str">
        <f t="shared" si="25"/>
        <v>未到店</v>
      </c>
      <c r="W95" s="3" t="s">
        <v>4171</v>
      </c>
      <c r="X95" s="5"/>
      <c r="Y95" s="5" t="str">
        <f t="shared" si="26"/>
        <v>STAR</v>
      </c>
    </row>
    <row r="96" spans="1:25" ht="15.75" customHeight="1">
      <c r="A96" s="179">
        <v>4856</v>
      </c>
      <c r="B96" s="180" t="str">
        <f>VLOOKUP(A96,'0919門市清單主檔'!B:C,2,FALSE)</f>
        <v>新莊小胖店</v>
      </c>
      <c r="C96" s="181" t="str">
        <f>VLOOKUP($A96,'0919門市清單主檔'!B:V,20,FALSE)</f>
        <v>新北市</v>
      </c>
      <c r="D96" s="182" t="str">
        <f>VLOOKUP($A96,'0919門市清單主檔'!B:V,21,FALSE)</f>
        <v>新莊區</v>
      </c>
      <c r="E96" s="183" t="str">
        <f>VLOOKUP(D96,區域表!A:B,2,FALSE)</f>
        <v>湯家瑋</v>
      </c>
      <c r="F96" s="184" t="str">
        <f>IFERROR(IF(VLOOKUP(A96,門市狀態!A:D,4,FALSE)=0,"",VLOOKUP(A96,門市狀態!A:D,4,FALSE)),"")</f>
        <v/>
      </c>
      <c r="G96" s="185" t="s">
        <v>1746</v>
      </c>
      <c r="H96" s="186" t="str">
        <f t="shared" si="22"/>
        <v>-4856-新莊小胖店(定保)</v>
      </c>
      <c r="I96" s="190" t="s">
        <v>1746</v>
      </c>
      <c r="J96" s="188" t="str" cm="1">
        <f t="array" ref="J96">IFERROR(INDEX(IM!$X$2:$X$650, MATCH(1, (IM!$F$2:$F$650=A96) * (ISNUMBER(SEARCH($C$1, IM!$AC$2:$AC$650))), 0)), "")</f>
        <v/>
      </c>
      <c r="K96" s="159">
        <f>COUNTIFS(IM!F:F,A96,IM!AD:AD,"O",IM!X:X,"&gt;="&amp;$A$1,IM!X:X,"&lt;="&amp;$B$1)</f>
        <v>0</v>
      </c>
      <c r="L96" s="228" t="str" cm="1">
        <f t="array" ref="L96">IF(K96&gt;0,IFERROR(HYPERLINK("#'IM'!AC"&amp;MATCH(1,(IM!$F$1:$F$7700=A96)*(ISNUMBER(SEARCH("PMQ2",IM!$AC$1:$AC$7700))),0),"檢核"),"未登錄"),"")</f>
        <v/>
      </c>
      <c r="M96" s="230" t="str" cm="1">
        <f t="array" ref="M96">IF(AND(SUMPRODUCT((IM!F2:F670=A96)*(ISNUMBER(SEARCH("EDC", IM!AC2:AC670))))&gt;0), "EDC", "")</f>
        <v/>
      </c>
      <c r="N96" s="264" t="str" cm="1">
        <f t="array" ref="N96">IF(AND(SUMPRODUCT((IM!F2:F670=A96)*(ISNUMBER(SEARCH("STAR", IM!AC2:AC670))))&gt;0), "STAR", "")</f>
        <v/>
      </c>
      <c r="O96" s="256" t="str" cm="1">
        <f t="array" ref="O96">IFERROR(INDEX(IM!$X$2:$X$650, MATCH(1, (IM!$F$2:$F$650=A96) * (ISNUMBER(SEARCH($D$1, IM!$AC$2:$AC$650))), 0)), "")</f>
        <v/>
      </c>
      <c r="P96" s="191" t="str">
        <f t="shared" si="23"/>
        <v>-4856-新莊小胖店(定保)</v>
      </c>
      <c r="Q96" s="140"/>
      <c r="R96" s="140"/>
      <c r="S96" s="140"/>
      <c r="T96" s="140"/>
      <c r="U96" s="258">
        <f t="shared" si="24"/>
        <v>1</v>
      </c>
      <c r="V96" s="246" t="str">
        <f t="shared" si="25"/>
        <v>未到店</v>
      </c>
      <c r="X96" s="5" t="s">
        <v>4174</v>
      </c>
      <c r="Y96" s="5" t="str">
        <f t="shared" si="26"/>
        <v>STAR</v>
      </c>
    </row>
    <row r="97" spans="1:25" ht="15.75" customHeight="1">
      <c r="A97" s="179">
        <v>2209</v>
      </c>
      <c r="B97" s="180" t="str">
        <f>VLOOKUP(A97,'0919門市清單主檔'!B:C,2,FALSE)</f>
        <v>北縣重強店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 t="shared" si="22"/>
        <v>-2209-北縣重強店(定保)</v>
      </c>
      <c r="I97" s="190" t="s">
        <v>1746</v>
      </c>
      <c r="J97" s="188" t="str" cm="1">
        <f t="array" ref="J97">IFERROR(INDEX(IM!$X$2:$X$650, MATCH(1, (IM!$F$2:$F$650=A97) * (ISNUMBER(SEARCH($C$1, IM!$AC$2:$AC$650))), 0)), "")</f>
        <v/>
      </c>
      <c r="K97" s="159">
        <f>COUNTIFS(IM!F:F,A97,IM!AD:AD,"O",IM!X:X,"&gt;="&amp;$A$1,IM!X:X,"&lt;="&amp;$B$1)</f>
        <v>0</v>
      </c>
      <c r="L97" s="228" t="str" cm="1">
        <f t="array" ref="L97">IF(K97&gt;0,IFERROR(HYPERLINK("#'IM'!AC"&amp;MATCH(1,(IM!$F$1:$F$7700=A97)*(ISNUMBER(SEARCH("PMQ2",IM!$AC$1:$AC$7700))),0),"檢核"),"未登錄"),"")</f>
        <v/>
      </c>
      <c r="M97" s="230" t="str" cm="1">
        <f t="array" ref="M97">IF(AND(SUMPRODUCT((IM!F2:F685=A97)*(ISNUMBER(SEARCH("EDC", IM!AC2:AC685))))&gt;0), "EDC", "")</f>
        <v/>
      </c>
      <c r="N97" s="264" t="str" cm="1">
        <f t="array" ref="N97">IF(AND(SUMPRODUCT((IM!F2:F685=A97)*(ISNUMBER(SEARCH("STAR", IM!AC2:AC685))))&gt;0), "STAR", "")</f>
        <v/>
      </c>
      <c r="O97" s="256" t="str" cm="1">
        <f t="array" ref="O97">IFERROR(INDEX(IM!$X$2:$X$650, MATCH(1, (IM!$F$2:$F$650=A97) * (ISNUMBER(SEARCH($D$1, IM!$AC$2:$AC$650))), 0)), "")</f>
        <v/>
      </c>
      <c r="P97" s="191" t="str">
        <f t="shared" si="23"/>
        <v>-2209-北縣重強店(定保)</v>
      </c>
      <c r="Q97" s="140"/>
      <c r="R97" s="140"/>
      <c r="S97" s="140"/>
      <c r="T97" s="140"/>
      <c r="U97" s="258">
        <f t="shared" si="24"/>
        <v>1</v>
      </c>
      <c r="V97" s="246" t="str">
        <f t="shared" si="25"/>
        <v>未到店</v>
      </c>
      <c r="X97" s="5" t="s">
        <v>4199</v>
      </c>
      <c r="Y97" s="5" t="str">
        <f t="shared" si="26"/>
        <v>STAR</v>
      </c>
    </row>
    <row r="98" spans="1:25" ht="15.75" customHeight="1">
      <c r="A98" s="179">
        <v>4586</v>
      </c>
      <c r="B98" s="180" t="str">
        <f>VLOOKUP(A98,'0919門市清單主檔'!B:C,2,FALSE)</f>
        <v>三重三文店</v>
      </c>
      <c r="C98" s="181" t="str">
        <f>VLOOKUP($A98,'0919門市清單主檔'!B:V,20,FALSE)</f>
        <v>新北市</v>
      </c>
      <c r="D98" s="182" t="str">
        <f>VLOOKUP($A98,'0919門市清單主檔'!B:V,21,FALSE)</f>
        <v>三重區</v>
      </c>
      <c r="E98" s="183" t="str">
        <f>VLOOKUP(D98,區域表!A:B,2,FALSE)</f>
        <v>吳宗鴻</v>
      </c>
      <c r="F98" s="184" t="str">
        <f>IFERROR(IF(VLOOKUP(A98,門市狀態!A:D,4,FALSE)=0,"",VLOOKUP(A98,門市狀態!A:D,4,FALSE)),"")</f>
        <v/>
      </c>
      <c r="G98" s="185" t="s">
        <v>1746</v>
      </c>
      <c r="H98" s="186" t="str">
        <f t="shared" si="22"/>
        <v>-4586-三重三文店(定保)</v>
      </c>
      <c r="I98" s="190" t="s">
        <v>1746</v>
      </c>
      <c r="J98" s="188" t="str" cm="1">
        <f t="array" ref="J98">IFERROR(INDEX(IM!$X$2:$X$650, MATCH(1, (IM!$F$2:$F$650=A98) * (ISNUMBER(SEARCH($C$1, IM!$AC$2:$AC$650))), 0)), "")</f>
        <v/>
      </c>
      <c r="K98" s="159">
        <f>COUNTIFS(IM!F:F,A98,IM!AD:AD,"O",IM!X:X,"&gt;="&amp;$A$1,IM!X:X,"&lt;="&amp;$B$1)</f>
        <v>0</v>
      </c>
      <c r="L98" s="228" t="str" cm="1">
        <f t="array" ref="L98">IF(K98&gt;0,IFERROR(HYPERLINK("#'IM'!AC"&amp;MATCH(1,(IM!$F$1:$F$7700=A98)*(ISNUMBER(SEARCH("PMQ2",IM!$AC$1:$AC$7700))),0),"檢核"),"未登錄"),"")</f>
        <v/>
      </c>
      <c r="M98" s="230" t="str" cm="1">
        <f t="array" ref="M98">IF(AND(SUMPRODUCT((IM!F2:F690=A98)*(ISNUMBER(SEARCH("EDC", IM!AC2:AC690))))&gt;0), "EDC", "")</f>
        <v/>
      </c>
      <c r="N98" s="264" t="str" cm="1">
        <f t="array" ref="N98">IF(AND(SUMPRODUCT((IM!F2:F690=A98)*(ISNUMBER(SEARCH("STAR", IM!AC2:AC690))))&gt;0), "STAR", "")</f>
        <v/>
      </c>
      <c r="O98" s="256" t="str" cm="1">
        <f t="array" ref="O98">IFERROR(INDEX(IM!$X$2:$X$650, MATCH(1, (IM!$F$2:$F$650=A98) * (ISNUMBER(SEARCH($D$1, IM!$AC$2:$AC$650))), 0)), "")</f>
        <v/>
      </c>
      <c r="P98" s="191" t="str">
        <f t="shared" si="23"/>
        <v>-4586-三重三文店(定保)</v>
      </c>
      <c r="Q98" s="140"/>
      <c r="R98" s="140"/>
      <c r="S98" s="140"/>
      <c r="T98" s="140"/>
      <c r="U98" s="258">
        <f t="shared" si="24"/>
        <v>0</v>
      </c>
      <c r="V98" s="246" t="str">
        <f t="shared" si="25"/>
        <v>未到店</v>
      </c>
      <c r="X98" s="5"/>
      <c r="Y98" s="5" t="str">
        <f t="shared" si="26"/>
        <v/>
      </c>
    </row>
    <row r="99" spans="1:25" ht="15.75" customHeight="1">
      <c r="A99" s="179">
        <v>2691</v>
      </c>
      <c r="B99" s="180" t="str">
        <f>VLOOKUP(A99,'0919門市清單主檔'!B:C,2,FALSE)</f>
        <v>五股興珍店</v>
      </c>
      <c r="C99" s="181" t="str">
        <f>VLOOKUP($A99,'0919門市清單主檔'!B:V,20,FALSE)</f>
        <v>新北市</v>
      </c>
      <c r="D99" s="182" t="str">
        <f>VLOOKUP($A99,'0919門市清單主檔'!B:V,21,FALSE)</f>
        <v>五股區</v>
      </c>
      <c r="E99" s="183" t="str">
        <f>VLOOKUP(D99,區域表!A:B,2,FALSE)</f>
        <v>湯家瑋</v>
      </c>
      <c r="F99" s="184" t="str">
        <f>IFERROR(IF(VLOOKUP(A99,門市狀態!A:D,4,FALSE)=0,"",VLOOKUP(A99,門市狀態!A:D,4,FALSE)),"")</f>
        <v/>
      </c>
      <c r="G99" s="185" t="s">
        <v>1746</v>
      </c>
      <c r="H99" s="186" t="str">
        <f t="shared" si="22"/>
        <v>-2691-五股興珍店(定保)</v>
      </c>
      <c r="I99" s="190" t="s">
        <v>1746</v>
      </c>
      <c r="J99" s="188" t="str" cm="1">
        <f t="array" ref="J99">IFERROR(INDEX(IM!$X$2:$X$650, MATCH(1, (IM!$F$2:$F$650=A99) * (ISNUMBER(SEARCH($C$1, IM!$AC$2:$AC$650))), 0)), "")</f>
        <v/>
      </c>
      <c r="K99" s="159">
        <f>COUNTIFS(IM!F:F,A99,IM!AD:AD,"O",IM!X:X,"&gt;="&amp;$A$1,IM!X:X,"&lt;="&amp;$B$1)</f>
        <v>0</v>
      </c>
      <c r="L99" s="228" t="str" cm="1">
        <f t="array" ref="L99">IF(K99&gt;0,IFERROR(HYPERLINK("#'IM'!AC"&amp;MATCH(1,(IM!$F$1:$F$7700=A99)*(ISNUMBER(SEARCH("PMQ2",IM!$AC$1:$AC$7700))),0),"檢核"),"未登錄"),"")</f>
        <v/>
      </c>
      <c r="M99" s="230" t="str" cm="1">
        <f t="array" ref="M99">IF(AND(SUMPRODUCT((IM!F2:F694=A99)*(ISNUMBER(SEARCH("EDC", IM!AC2:AC694))))&gt;0), "EDC", "")</f>
        <v/>
      </c>
      <c r="N99" s="264" t="str" cm="1">
        <f t="array" ref="N99">IF(AND(SUMPRODUCT((IM!F2:F694=A99)*(ISNUMBER(SEARCH("STAR", IM!AC2:AC694))))&gt;0), "STAR", "")</f>
        <v/>
      </c>
      <c r="O99" s="256" t="str" cm="1">
        <f t="array" ref="O99">IFERROR(INDEX(IM!$X$2:$X$650, MATCH(1, (IM!$F$2:$F$650=A99) * (ISNUMBER(SEARCH($D$1, IM!$AC$2:$AC$650))), 0)), "")</f>
        <v/>
      </c>
      <c r="P99" s="191" t="str">
        <f t="shared" si="23"/>
        <v>-2691-五股興珍店(定保)</v>
      </c>
      <c r="Q99" s="140"/>
      <c r="R99" s="140"/>
      <c r="S99" s="140"/>
      <c r="T99" s="140"/>
      <c r="U99" s="258">
        <f t="shared" si="24"/>
        <v>2</v>
      </c>
      <c r="V99" s="246" t="str">
        <f t="shared" si="25"/>
        <v>未到店</v>
      </c>
      <c r="W99" s="3" t="s">
        <v>4213</v>
      </c>
      <c r="X99" s="5" t="s">
        <v>4214</v>
      </c>
      <c r="Y99" s="5" t="str">
        <f t="shared" si="26"/>
        <v>STAR</v>
      </c>
    </row>
    <row r="100" spans="1:25" ht="15.75" customHeight="1">
      <c r="A100" s="179">
        <v>2390</v>
      </c>
      <c r="B100" s="180" t="str">
        <f>VLOOKUP(A100,'0919門市清單主檔'!B:C,2,FALSE)</f>
        <v>五股產業園區</v>
      </c>
      <c r="C100" s="181" t="str">
        <f>VLOOKUP($A100,'0919門市清單主檔'!B:V,20,FALSE)</f>
        <v>新北市</v>
      </c>
      <c r="D100" s="182" t="str">
        <f>VLOOKUP($A100,'0919門市清單主檔'!B:V,21,FALSE)</f>
        <v>五股區</v>
      </c>
      <c r="E100" s="183" t="str">
        <f>VLOOKUP(D100,區域表!A:B,2,FALSE)</f>
        <v>湯家瑋</v>
      </c>
      <c r="F100" s="184" t="str">
        <f>IFERROR(IF(VLOOKUP(A100,門市狀態!A:D,4,FALSE)=0,"",VLOOKUP(A100,門市狀態!A:D,4,FALSE)),"")</f>
        <v/>
      </c>
      <c r="G100" s="185" t="s">
        <v>1746</v>
      </c>
      <c r="H100" s="186" t="str">
        <f t="shared" si="22"/>
        <v>-2390-五股產業園區(定保)</v>
      </c>
      <c r="I100" s="190" t="s">
        <v>1746</v>
      </c>
      <c r="J100" s="188" t="str" cm="1">
        <f t="array" ref="J100">IFERROR(INDEX(IM!$X$2:$X$650, MATCH(1, (IM!$F$2:$F$650=A100) * (ISNUMBER(SEARCH($C$1, IM!$AC$2:$AC$650))), 0)), "")</f>
        <v/>
      </c>
      <c r="K100" s="159">
        <f>COUNTIFS(IM!F:F,A100,IM!AD:AD,"O",IM!X:X,"&gt;="&amp;$A$1,IM!X:X,"&lt;="&amp;$B$1)</f>
        <v>0</v>
      </c>
      <c r="L100" s="228" t="str" cm="1">
        <f t="array" ref="L100">IF(K100&gt;0,IFERROR(HYPERLINK("#'IM'!AC"&amp;MATCH(1,(IM!$F$1:$F$7700=A100)*(ISNUMBER(SEARCH("PMQ2",IM!$AC$1:$AC$7700))),0),"檢核"),"未登錄"),"")</f>
        <v/>
      </c>
      <c r="M100" s="230" t="str" cm="1">
        <f t="array" ref="M100">IF(AND(SUMPRODUCT((IM!F2:F695=A100)*(ISNUMBER(SEARCH("EDC", IM!AC2:AC695))))&gt;0), "EDC", "")</f>
        <v/>
      </c>
      <c r="N100" s="264" t="str" cm="1">
        <f t="array" ref="N100">IF(AND(SUMPRODUCT((IM!F2:F695=A100)*(ISNUMBER(SEARCH("STAR", IM!AC2:AC695))))&gt;0), "STAR", "")</f>
        <v/>
      </c>
      <c r="O100" s="256" t="str" cm="1">
        <f t="array" ref="O100">IFERROR(INDEX(IM!$X$2:$X$650, MATCH(1, (IM!$F$2:$F$650=A100) * (ISNUMBER(SEARCH($D$1, IM!$AC$2:$AC$650))), 0)), "")</f>
        <v/>
      </c>
      <c r="P100" s="191" t="str">
        <f t="shared" si="23"/>
        <v>-2390-五股產業園區(定保)</v>
      </c>
      <c r="Q100" s="140"/>
      <c r="R100" s="140"/>
      <c r="S100" s="140"/>
      <c r="T100" s="140"/>
      <c r="U100" s="258">
        <f t="shared" si="24"/>
        <v>1</v>
      </c>
      <c r="V100" s="246" t="str">
        <f t="shared" si="25"/>
        <v>未到店</v>
      </c>
      <c r="X100" s="5" t="s">
        <v>4215</v>
      </c>
      <c r="Y100" s="5" t="str">
        <f t="shared" si="26"/>
        <v>STAR</v>
      </c>
    </row>
    <row r="101" spans="1:25" ht="15.75" customHeight="1">
      <c r="A101" s="179">
        <v>4819</v>
      </c>
      <c r="B101" s="180" t="str">
        <f>VLOOKUP(A101,'0919門市清單主檔'!B:C,2,FALSE)</f>
        <v>五股凌雲店</v>
      </c>
      <c r="C101" s="181" t="str">
        <f>VLOOKUP($A101,'0919門市清單主檔'!B:V,20,FALSE)</f>
        <v>新北市</v>
      </c>
      <c r="D101" s="182" t="str">
        <f>VLOOKUP($A101,'0919門市清單主檔'!B:V,21,FALSE)</f>
        <v>五股區</v>
      </c>
      <c r="E101" s="183" t="str">
        <f>VLOOKUP(D101,區域表!A:B,2,FALSE)</f>
        <v>湯家瑋</v>
      </c>
      <c r="F101" s="184" t="str">
        <f>IFERROR(IF(VLOOKUP(A101,門市狀態!A:D,4,FALSE)=0,"",VLOOKUP(A101,門市狀態!A:D,4,FALSE)),"")</f>
        <v/>
      </c>
      <c r="G101" s="185" t="s">
        <v>1746</v>
      </c>
      <c r="H101" s="186" t="str">
        <f t="shared" si="22"/>
        <v>-4819-五股凌雲店(定保)</v>
      </c>
      <c r="I101" s="190" t="s">
        <v>1746</v>
      </c>
      <c r="J101" s="188" t="str" cm="1">
        <f t="array" ref="J101">IFERROR(INDEX(IM!$X$2:$X$650, MATCH(1, (IM!$F$2:$F$650=A101) * (ISNUMBER(SEARCH($C$1, IM!$AC$2:$AC$650))), 0)), "")</f>
        <v/>
      </c>
      <c r="K101" s="159">
        <f>COUNTIFS(IM!F:F,A101,IM!AD:AD,"O",IM!X:X,"&gt;="&amp;$A$1,IM!X:X,"&lt;="&amp;$B$1)</f>
        <v>0</v>
      </c>
      <c r="L101" s="228" t="str" cm="1">
        <f t="array" ref="L101">IF(K101&gt;0,IFERROR(HYPERLINK("#'IM'!AC"&amp;MATCH(1,(IM!$F$1:$F$7700=A101)*(ISNUMBER(SEARCH("PMQ2",IM!$AC$1:$AC$7700))),0),"檢核"),"未登錄"),"")</f>
        <v/>
      </c>
      <c r="M101" s="230" t="str" cm="1">
        <f t="array" ref="M101">IF(AND(SUMPRODUCT((IM!F2:F696=A101)*(ISNUMBER(SEARCH("EDC", IM!AC2:AC696))))&gt;0), "EDC", "")</f>
        <v/>
      </c>
      <c r="N101" s="264" t="str" cm="1">
        <f t="array" ref="N101">IF(AND(SUMPRODUCT((IM!F2:F696=A101)*(ISNUMBER(SEARCH("STAR", IM!AC2:AC696))))&gt;0), "STAR", "")</f>
        <v/>
      </c>
      <c r="O101" s="256" t="str" cm="1">
        <f t="array" ref="O101">IFERROR(INDEX(IM!$X$2:$X$650, MATCH(1, (IM!$F$2:$F$650=A101) * (ISNUMBER(SEARCH($D$1, IM!$AC$2:$AC$650))), 0)), "")</f>
        <v/>
      </c>
      <c r="P101" s="191" t="str">
        <f t="shared" si="23"/>
        <v>-4819-五股凌雲店(定保)</v>
      </c>
      <c r="Q101" s="140"/>
      <c r="R101" s="140"/>
      <c r="S101" s="140"/>
      <c r="T101" s="140"/>
      <c r="U101" s="258">
        <f t="shared" si="24"/>
        <v>2</v>
      </c>
      <c r="V101" s="246" t="str">
        <f t="shared" si="25"/>
        <v>未到店</v>
      </c>
      <c r="W101" s="3" t="s">
        <v>4216</v>
      </c>
      <c r="X101" s="5" t="s">
        <v>4217</v>
      </c>
      <c r="Y101" s="5" t="str">
        <f t="shared" si="26"/>
        <v>STAR</v>
      </c>
    </row>
    <row r="102" spans="1:25" ht="15.75" customHeight="1">
      <c r="A102" s="179">
        <v>4801</v>
      </c>
      <c r="B102" s="180" t="str">
        <f>VLOOKUP(A102,'0919門市清單主檔'!B:C,2,FALSE)</f>
        <v>五股成州店</v>
      </c>
      <c r="C102" s="181" t="str">
        <f>VLOOKUP($A102,'0919門市清單主檔'!B:V,20,FALSE)</f>
        <v>新北市</v>
      </c>
      <c r="D102" s="182" t="str">
        <f>VLOOKUP($A102,'0919門市清單主檔'!B:V,21,FALSE)</f>
        <v>五股區</v>
      </c>
      <c r="E102" s="183" t="str">
        <f>VLOOKUP(D102,區域表!A:B,2,FALSE)</f>
        <v>湯家瑋</v>
      </c>
      <c r="F102" s="184" t="str">
        <f>IFERROR(IF(VLOOKUP(A102,門市狀態!A:D,4,FALSE)=0,"",VLOOKUP(A102,門市狀態!A:D,4,FALSE)),"")</f>
        <v/>
      </c>
      <c r="G102" s="185" t="s">
        <v>1746</v>
      </c>
      <c r="H102" s="186" t="str">
        <f t="shared" si="22"/>
        <v>-4801-五股成州店(定保)</v>
      </c>
      <c r="I102" s="190" t="s">
        <v>1746</v>
      </c>
      <c r="J102" s="188" t="str" cm="1">
        <f t="array" ref="J102">IFERROR(INDEX(IM!$X$2:$X$650, MATCH(1, (IM!$F$2:$F$650=A102) * (ISNUMBER(SEARCH($C$1, IM!$AC$2:$AC$650))), 0)), "")</f>
        <v/>
      </c>
      <c r="K102" s="159">
        <f>COUNTIFS(IM!F:F,A102,IM!AD:AD,"O",IM!X:X,"&gt;="&amp;$A$1,IM!X:X,"&lt;="&amp;$B$1)</f>
        <v>0</v>
      </c>
      <c r="L102" s="228" t="str" cm="1">
        <f t="array" ref="L102">IF(K102&gt;0,IFERROR(HYPERLINK("#'IM'!AC"&amp;MATCH(1,(IM!$F$1:$F$7700=A102)*(ISNUMBER(SEARCH("PMQ2",IM!$AC$1:$AC$7700))),0),"檢核"),"未登錄"),"")</f>
        <v/>
      </c>
      <c r="M102" s="230" t="str" cm="1">
        <f t="array" ref="M102">IF(AND(SUMPRODUCT((IM!F2:F697=A102)*(ISNUMBER(SEARCH("EDC", IM!AC2:AC697))))&gt;0), "EDC", "")</f>
        <v/>
      </c>
      <c r="N102" s="264" t="str" cm="1">
        <f t="array" ref="N102">IF(AND(SUMPRODUCT((IM!F2:F697=A102)*(ISNUMBER(SEARCH("STAR", IM!AC2:AC697))))&gt;0), "STAR", "")</f>
        <v/>
      </c>
      <c r="O102" s="256" t="str" cm="1">
        <f t="array" ref="O102">IFERROR(INDEX(IM!$X$2:$X$650, MATCH(1, (IM!$F$2:$F$650=A102) * (ISNUMBER(SEARCH($D$1, IM!$AC$2:$AC$650))), 0)), "")</f>
        <v/>
      </c>
      <c r="P102" s="191" t="str">
        <f t="shared" si="23"/>
        <v>-4801-五股成州店(定保)</v>
      </c>
      <c r="Q102" s="140"/>
      <c r="R102" s="140"/>
      <c r="S102" s="140"/>
      <c r="T102" s="140"/>
      <c r="U102" s="258">
        <f t="shared" si="24"/>
        <v>2</v>
      </c>
      <c r="V102" s="246" t="str">
        <f t="shared" si="25"/>
        <v>未到店</v>
      </c>
      <c r="W102" s="3" t="s">
        <v>4218</v>
      </c>
      <c r="X102" s="5" t="s">
        <v>4219</v>
      </c>
      <c r="Y102" s="5" t="str">
        <f t="shared" si="26"/>
        <v>STAR</v>
      </c>
    </row>
    <row r="103" spans="1:25" ht="15.75" customHeight="1">
      <c r="A103" s="179">
        <v>4397</v>
      </c>
      <c r="B103" s="180" t="str">
        <f>VLOOKUP(A103,'0919門市清單主檔'!B:C,2,FALSE)</f>
        <v>三重仁旺店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1746</v>
      </c>
      <c r="H103" s="186" t="str">
        <f t="shared" si="22"/>
        <v>-4397-三重仁旺店(定保)</v>
      </c>
      <c r="I103" s="190" t="s">
        <v>1746</v>
      </c>
      <c r="J103" s="188" t="str" cm="1">
        <f t="array" ref="J103">IFERROR(INDEX(IM!$X$2:$X$650, MATCH(1, (IM!$F$2:$F$650=A103) * (ISNUMBER(SEARCH($C$1, IM!$AC$2:$AC$650))), 0)), "")</f>
        <v/>
      </c>
      <c r="K103" s="159">
        <f>COUNTIFS(IM!F:F,A103,IM!AD:AD,"O",IM!X:X,"&gt;="&amp;$A$1,IM!X:X,"&lt;="&amp;$B$1)</f>
        <v>0</v>
      </c>
      <c r="L103" s="228" t="str" cm="1">
        <f t="array" ref="L103">IF(K103&gt;0,IFERROR(HYPERLINK("#'IM'!AC"&amp;MATCH(1,(IM!$F$1:$F$7700=A103)*(ISNUMBER(SEARCH("PMQ2",IM!$AC$1:$AC$7700))),0),"檢核"),"未登錄"),"")</f>
        <v/>
      </c>
      <c r="M103" s="230" t="str" cm="1">
        <f t="array" ref="M103">IF(AND(SUMPRODUCT((IM!F2:F698=A103)*(ISNUMBER(SEARCH("EDC", IM!AC2:AC698))))&gt;0), "EDC", "")</f>
        <v/>
      </c>
      <c r="N103" s="264" t="str" cm="1">
        <f t="array" ref="N103">IF(AND(SUMPRODUCT((IM!F2:F698=A103)*(ISNUMBER(SEARCH("STAR", IM!AC2:AC698))))&gt;0), "STAR", "")</f>
        <v/>
      </c>
      <c r="O103" s="256" t="str" cm="1">
        <f t="array" ref="O103">IFERROR(INDEX(IM!$X$2:$X$650, MATCH(1, (IM!$F$2:$F$650=A103) * (ISNUMBER(SEARCH($D$1, IM!$AC$2:$AC$650))), 0)), "")</f>
        <v/>
      </c>
      <c r="P103" s="191" t="str">
        <f t="shared" si="23"/>
        <v>-4397-三重仁旺店(定保)</v>
      </c>
      <c r="Q103" s="140"/>
      <c r="R103" s="140"/>
      <c r="S103" s="140"/>
      <c r="T103" s="140"/>
      <c r="U103" s="258">
        <f t="shared" si="24"/>
        <v>2</v>
      </c>
      <c r="V103" s="246" t="str">
        <f t="shared" si="25"/>
        <v>未到店</v>
      </c>
      <c r="W103" s="3" t="s">
        <v>4220</v>
      </c>
      <c r="X103" s="5" t="s">
        <v>4221</v>
      </c>
      <c r="Y103" s="5" t="str">
        <f t="shared" si="26"/>
        <v>STAR</v>
      </c>
    </row>
    <row r="104" spans="1:25" ht="15.75" customHeight="1">
      <c r="A104" s="179">
        <v>3770</v>
      </c>
      <c r="B104" s="180" t="str">
        <f>VLOOKUP(A104,'0919門市清單主檔'!B:C,2,FALSE)</f>
        <v>北縣西雲店</v>
      </c>
      <c r="C104" s="181" t="str">
        <f>VLOOKUP($A104,'0919門市清單主檔'!B:V,20,FALSE)</f>
        <v>新北市</v>
      </c>
      <c r="D104" s="182" t="str">
        <f>VLOOKUP($A104,'0919門市清單主檔'!B:V,21,FALSE)</f>
        <v>五股區</v>
      </c>
      <c r="E104" s="183" t="str">
        <f>VLOOKUP(D104,區域表!A:B,2,FALSE)</f>
        <v>湯家瑋</v>
      </c>
      <c r="F104" s="184" t="str">
        <f>IFERROR(IF(VLOOKUP(A104,門市狀態!A:D,4,FALSE)=0,"",VLOOKUP(A104,門市狀態!A:D,4,FALSE)),"")</f>
        <v/>
      </c>
      <c r="G104" s="185" t="s">
        <v>1746</v>
      </c>
      <c r="H104" s="186" t="str">
        <f t="shared" si="22"/>
        <v>-3770-北縣西雲店(定保)</v>
      </c>
      <c r="I104" s="190" t="s">
        <v>1746</v>
      </c>
      <c r="J104" s="188" t="str" cm="1">
        <f t="array" ref="J104">IFERROR(INDEX(IM!$X$2:$X$650, MATCH(1, (IM!$F$2:$F$650=A104) * (ISNUMBER(SEARCH($C$1, IM!$AC$2:$AC$650))), 0)), "")</f>
        <v/>
      </c>
      <c r="K104" s="159">
        <f>COUNTIFS(IM!F:F,A104,IM!AD:AD,"O",IM!X:X,"&gt;="&amp;$A$1,IM!X:X,"&lt;="&amp;$B$1)</f>
        <v>0</v>
      </c>
      <c r="L104" s="228" t="str" cm="1">
        <f t="array" ref="L104">IF(K104&gt;0,IFERROR(HYPERLINK("#'IM'!AC"&amp;MATCH(1,(IM!$F$1:$F$7700=A104)*(ISNUMBER(SEARCH("PMQ2",IM!$AC$1:$AC$7700))),0),"檢核"),"未登錄"),"")</f>
        <v/>
      </c>
      <c r="M104" s="230" t="str" cm="1">
        <f t="array" ref="M104">IF(AND(SUMPRODUCT((IM!F2:F699=A104)*(ISNUMBER(SEARCH("EDC", IM!AC2:AC699))))&gt;0), "EDC", "")</f>
        <v/>
      </c>
      <c r="N104" s="264" t="str" cm="1">
        <f t="array" ref="N104">IF(AND(SUMPRODUCT((IM!F2:F699=A104)*(ISNUMBER(SEARCH("STAR", IM!AC2:AC699))))&gt;0), "STAR", "")</f>
        <v/>
      </c>
      <c r="O104" s="256" t="str" cm="1">
        <f t="array" ref="O104">IFERROR(INDEX(IM!$X$2:$X$650, MATCH(1, (IM!$F$2:$F$650=A104) * (ISNUMBER(SEARCH($D$1, IM!$AC$2:$AC$650))), 0)), "")</f>
        <v/>
      </c>
      <c r="P104" s="191" t="str">
        <f t="shared" si="23"/>
        <v>-3770-北縣西雲店(定保)</v>
      </c>
      <c r="Q104" s="140"/>
      <c r="R104" s="140"/>
      <c r="S104" s="140"/>
      <c r="T104" s="140"/>
      <c r="U104" s="258">
        <f t="shared" si="24"/>
        <v>1</v>
      </c>
      <c r="V104" s="246" t="str">
        <f t="shared" si="25"/>
        <v>未到店</v>
      </c>
      <c r="X104" s="5" t="s">
        <v>4222</v>
      </c>
      <c r="Y104" s="5" t="str">
        <f t="shared" si="26"/>
        <v>STAR</v>
      </c>
    </row>
    <row r="105" spans="1:25" ht="15.75" customHeight="1">
      <c r="A105" s="179">
        <v>2325</v>
      </c>
      <c r="B105" s="180" t="str">
        <f>VLOOKUP(A105,'0919門市清單主檔'!B:C,2,FALSE)</f>
        <v>北縣五泰店</v>
      </c>
      <c r="C105" s="181" t="str">
        <f>VLOOKUP($A105,'0919門市清單主檔'!B:V,20,FALSE)</f>
        <v>新北市</v>
      </c>
      <c r="D105" s="182" t="str">
        <f>VLOOKUP($A105,'0919門市清單主檔'!B:V,21,FALSE)</f>
        <v>五股區</v>
      </c>
      <c r="E105" s="183" t="str">
        <f>VLOOKUP(D105,區域表!A:B,2,FALSE)</f>
        <v>湯家瑋</v>
      </c>
      <c r="F105" s="184" t="str">
        <f>IFERROR(IF(VLOOKUP(A105,門市狀態!A:D,4,FALSE)=0,"",VLOOKUP(A105,門市狀態!A:D,4,FALSE)),"")</f>
        <v/>
      </c>
      <c r="G105" s="185" t="s">
        <v>1746</v>
      </c>
      <c r="H105" s="186" t="str">
        <f t="shared" si="22"/>
        <v>-2325-北縣五泰店(定保)</v>
      </c>
      <c r="I105" s="190" t="s">
        <v>1746</v>
      </c>
      <c r="J105" s="188" t="str" cm="1">
        <f t="array" ref="J105">IFERROR(INDEX(IM!$X$2:$X$650, MATCH(1, (IM!$F$2:$F$650=A105) * (ISNUMBER(SEARCH($C$1, IM!$AC$2:$AC$650))), 0)), "")</f>
        <v/>
      </c>
      <c r="K105" s="159">
        <f>COUNTIFS(IM!F:F,A105,IM!AD:AD,"O",IM!X:X,"&gt;="&amp;$A$1,IM!X:X,"&lt;="&amp;$B$1)</f>
        <v>0</v>
      </c>
      <c r="L105" s="228" t="str" cm="1">
        <f t="array" ref="L105">IF(K105&gt;0,IFERROR(HYPERLINK("#'IM'!AC"&amp;MATCH(1,(IM!$F$1:$F$7700=A105)*(ISNUMBER(SEARCH("PMQ2",IM!$AC$1:$AC$7700))),0),"檢核"),"未登錄"),"")</f>
        <v/>
      </c>
      <c r="M105" s="230" t="str" cm="1">
        <f t="array" ref="M105">IF(AND(SUMPRODUCT((IM!F2:F700=A105)*(ISNUMBER(SEARCH("EDC", IM!AC2:AC700))))&gt;0), "EDC", "")</f>
        <v/>
      </c>
      <c r="N105" s="264" t="str" cm="1">
        <f t="array" ref="N105">IF(AND(SUMPRODUCT((IM!F2:F700=A105)*(ISNUMBER(SEARCH("STAR", IM!AC2:AC700))))&gt;0), "STAR", "")</f>
        <v/>
      </c>
      <c r="O105" s="256" t="str" cm="1">
        <f t="array" ref="O105">IFERROR(INDEX(IM!$X$2:$X$650, MATCH(1, (IM!$F$2:$F$650=A105) * (ISNUMBER(SEARCH($D$1, IM!$AC$2:$AC$650))), 0)), "")</f>
        <v/>
      </c>
      <c r="P105" s="191" t="str">
        <f t="shared" si="23"/>
        <v>-2325-北縣五泰店(定保)</v>
      </c>
      <c r="Q105" s="140"/>
      <c r="R105" s="140"/>
      <c r="S105" s="140"/>
      <c r="T105" s="140"/>
      <c r="U105" s="258">
        <f t="shared" si="24"/>
        <v>2</v>
      </c>
      <c r="V105" s="246" t="str">
        <f t="shared" si="25"/>
        <v>未到店</v>
      </c>
      <c r="W105" s="3" t="s">
        <v>4223</v>
      </c>
      <c r="X105" s="5" t="s">
        <v>4224</v>
      </c>
      <c r="Y105" s="5" t="str">
        <f t="shared" si="26"/>
        <v>STAR</v>
      </c>
    </row>
    <row r="106" spans="1:25" ht="15.75" customHeight="1">
      <c r="A106" s="179">
        <v>4983</v>
      </c>
      <c r="B106" s="180" t="str">
        <f>VLOOKUP(A106,'0919門市清單主檔'!B:C,2,FALSE)</f>
        <v>板橋藝文店</v>
      </c>
      <c r="C106" s="181" t="str">
        <f>VLOOKUP($A106,'0919門市清單主檔'!B:V,20,FALSE)</f>
        <v>新北市</v>
      </c>
      <c r="D106" s="182" t="str">
        <f>VLOOKUP($A106,'0919門市清單主檔'!B:V,21,FALSE)</f>
        <v>板橋區</v>
      </c>
      <c r="E106" s="183" t="str">
        <f>VLOOKUP(D106,區域表!A:B,2,FALSE)</f>
        <v>狄澤洋</v>
      </c>
      <c r="F106" s="184" t="str">
        <f>IFERROR(IF(VLOOKUP(A106,門市狀態!A:D,4,FALSE)=0,"",VLOOKUP(A106,門市狀態!A:D,4,FALSE)),"")</f>
        <v/>
      </c>
      <c r="G106" s="185" t="s">
        <v>1746</v>
      </c>
      <c r="H106" s="186" t="str">
        <f t="shared" si="22"/>
        <v>-4983-板橋藝文店(定保)</v>
      </c>
      <c r="I106" s="190" t="s">
        <v>1746</v>
      </c>
      <c r="J106" s="188" t="str" cm="1">
        <f t="array" ref="J106">IFERROR(INDEX(IM!$X$2:$X$650, MATCH(1, (IM!$F$2:$F$650=A106) * (ISNUMBER(SEARCH($C$1, IM!$AC$2:$AC$650))), 0)), "")</f>
        <v/>
      </c>
      <c r="K106" s="159">
        <f>COUNTIFS(IM!F:F,A106,IM!AD:AD,"O",IM!X:X,"&gt;="&amp;$A$1,IM!X:X,"&lt;="&amp;$B$1)</f>
        <v>0</v>
      </c>
      <c r="L106" s="228" t="str" cm="1">
        <f t="array" ref="L106">IF(K106&gt;0,IFERROR(HYPERLINK("#'IM'!AC"&amp;MATCH(1,(IM!$F$1:$F$7700=A106)*(ISNUMBER(SEARCH("PMQ2",IM!$AC$1:$AC$7700))),0),"檢核"),"未登錄"),"")</f>
        <v/>
      </c>
      <c r="M106" s="230" t="str" cm="1">
        <f t="array" ref="M106">IF(AND(SUMPRODUCT((IM!F2:F701=A106)*(ISNUMBER(SEARCH("EDC", IM!AC2:AC701))))&gt;0), "EDC", "")</f>
        <v/>
      </c>
      <c r="N106" s="264" t="str" cm="1">
        <f t="array" ref="N106">IF(AND(SUMPRODUCT((IM!F2:F701=A106)*(ISNUMBER(SEARCH("STAR", IM!AC2:AC701))))&gt;0), "STAR", "")</f>
        <v/>
      </c>
      <c r="O106" s="256" t="str" cm="1">
        <f t="array" ref="O106">IFERROR(INDEX(IM!$X$2:$X$650, MATCH(1, (IM!$F$2:$F$650=A106) * (ISNUMBER(SEARCH($D$1, IM!$AC$2:$AC$650))), 0)), "")</f>
        <v/>
      </c>
      <c r="P106" s="191" t="str">
        <f t="shared" si="23"/>
        <v>-4983-板橋藝文店(定保)</v>
      </c>
      <c r="Q106" s="140"/>
      <c r="R106" s="140"/>
      <c r="S106" s="140"/>
      <c r="T106" s="140"/>
      <c r="U106" s="258">
        <f t="shared" si="24"/>
        <v>0</v>
      </c>
      <c r="V106" s="246" t="str">
        <f t="shared" si="25"/>
        <v>未到店</v>
      </c>
      <c r="X106" s="5"/>
      <c r="Y106" s="5" t="str">
        <f t="shared" si="26"/>
        <v/>
      </c>
    </row>
    <row r="107" spans="1:25" ht="15.75" customHeight="1">
      <c r="A107" s="192">
        <v>4680</v>
      </c>
      <c r="B107" s="180" t="str">
        <f>VLOOKUP(A107,'0919門市清單主檔'!B:C,2,FALSE)</f>
        <v>板橋江寧店</v>
      </c>
      <c r="C107" s="193" t="str">
        <f>VLOOKUP($A107,'0919門市清單主檔'!B:V,20,FALSE)</f>
        <v>新北市</v>
      </c>
      <c r="D107" s="194" t="str">
        <f>VLOOKUP($A107,'0919門市清單主檔'!B:V,21,FALSE)</f>
        <v>板橋區</v>
      </c>
      <c r="E107" s="183" t="str">
        <f>VLOOKUP(D107,區域表!A:B,2,FALSE)</f>
        <v>狄澤洋</v>
      </c>
      <c r="F107" s="184" t="str">
        <f>IFERROR(IF(VLOOKUP(A107,門市狀態!A:D,4,FALSE)=0,"",VLOOKUP(A107,門市狀態!A:D,4,FALSE)),"")</f>
        <v/>
      </c>
      <c r="G107" s="185" t="s">
        <v>1746</v>
      </c>
      <c r="H107" s="186" t="str">
        <f t="shared" si="22"/>
        <v>-4680-板橋江寧店(定保)</v>
      </c>
      <c r="I107" s="190" t="s">
        <v>1746</v>
      </c>
      <c r="J107" s="188" t="str" cm="1">
        <f t="array" ref="J107">IFERROR(INDEX(IM!$X$2:$X$650, MATCH(1, (IM!$F$2:$F$650=A107) * (ISNUMBER(SEARCH($C$1, IM!$AC$2:$AC$650))), 0)), "")</f>
        <v/>
      </c>
      <c r="K107" s="159">
        <f>COUNTIFS(IM!F:F,A107,IM!AD:AD,"O",IM!X:X,"&gt;="&amp;$A$1,IM!X:X,"&lt;="&amp;$B$1)</f>
        <v>0</v>
      </c>
      <c r="L107" s="228" t="str" cm="1">
        <f t="array" ref="L107">IF(K107&gt;0,IFERROR(HYPERLINK("#'IM'!AC"&amp;MATCH(1,(IM!$F$1:$F$7700=A107)*(ISNUMBER(SEARCH("PMQ2",IM!$AC$1:$AC$7700))),0),"檢核"),"未登錄"),"")</f>
        <v/>
      </c>
      <c r="M107" s="230" t="str" cm="1">
        <f t="array" ref="M107">IF(AND(SUMPRODUCT((IM!F2:F702=A107)*(ISNUMBER(SEARCH("EDC", IM!AC2:AC702))))&gt;0), "EDC", "")</f>
        <v/>
      </c>
      <c r="N107" s="264" t="str" cm="1">
        <f t="array" ref="N107">IF(AND(SUMPRODUCT((IM!F2:F702=A107)*(ISNUMBER(SEARCH("STAR", IM!AC2:AC702))))&gt;0), "STAR", "")</f>
        <v/>
      </c>
      <c r="O107" s="256" t="str" cm="1">
        <f t="array" ref="O107">IFERROR(INDEX(IM!$X$2:$X$650, MATCH(1, (IM!$F$2:$F$650=A107) * (ISNUMBER(SEARCH($D$1, IM!$AC$2:$AC$650))), 0)), "")</f>
        <v/>
      </c>
      <c r="P107" s="191" t="str">
        <f t="shared" si="23"/>
        <v>-4680-板橋江寧店(定保)</v>
      </c>
      <c r="Q107" s="140"/>
      <c r="R107" s="140"/>
      <c r="S107" s="140"/>
      <c r="T107" s="140"/>
      <c r="U107" s="258">
        <f t="shared" si="24"/>
        <v>0</v>
      </c>
      <c r="V107" s="246" t="str">
        <f t="shared" si="25"/>
        <v>未到店</v>
      </c>
      <c r="X107" s="5"/>
      <c r="Y107" s="5" t="str">
        <f t="shared" si="26"/>
        <v/>
      </c>
    </row>
    <row r="108" spans="1:25" ht="15.75" customHeight="1">
      <c r="A108" s="179">
        <v>4652</v>
      </c>
      <c r="B108" s="180" t="str">
        <f>VLOOKUP(A108,'0919門市清單主檔'!B:C,2,FALSE)</f>
        <v>三重天富店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 t="shared" si="22"/>
        <v>-4652-三重天富店(定保)</v>
      </c>
      <c r="I108" s="190" t="s">
        <v>1746</v>
      </c>
      <c r="J108" s="188" t="str" cm="1">
        <f t="array" ref="J108">IFERROR(INDEX(IM!$X$2:$X$650, MATCH(1, (IM!$F$2:$F$650=A108) * (ISNUMBER(SEARCH($C$1, IM!$AC$2:$AC$650))), 0)), "")</f>
        <v/>
      </c>
      <c r="K108" s="159">
        <f>COUNTIFS(IM!F:F,A108,IM!AD:AD,"O",IM!X:X,"&gt;="&amp;$A$1,IM!X:X,"&lt;="&amp;$B$1)</f>
        <v>0</v>
      </c>
      <c r="L108" s="228" t="str" cm="1">
        <f t="array" ref="L108">IF(K108&gt;0,IFERROR(HYPERLINK("#'IM'!AC"&amp;MATCH(1,(IM!$F$1:$F$7700=A108)*(ISNUMBER(SEARCH("PMQ2",IM!$AC$1:$AC$7700))),0),"檢核"),"未登錄"),"")</f>
        <v/>
      </c>
      <c r="M108" s="230" t="str" cm="1">
        <f t="array" ref="M108">IF(AND(SUMPRODUCT((IM!F2:F711=A108)*(ISNUMBER(SEARCH("EDC", IM!AC2:AC711))))&gt;0), "EDC", "")</f>
        <v/>
      </c>
      <c r="N108" s="264" t="str" cm="1">
        <f t="array" ref="N108">IF(AND(SUMPRODUCT((IM!F2:F711=A108)*(ISNUMBER(SEARCH("STAR", IM!AC2:AC711))))&gt;0), "STAR", "")</f>
        <v/>
      </c>
      <c r="O108" s="256" t="str" cm="1">
        <f t="array" ref="O108">IFERROR(INDEX(IM!$X$2:$X$650, MATCH(1, (IM!$F$2:$F$650=A108) * (ISNUMBER(SEARCH($D$1, IM!$AC$2:$AC$650))), 0)), "")</f>
        <v/>
      </c>
      <c r="P108" s="191" t="str">
        <f t="shared" si="23"/>
        <v>-4652-三重天富店(定保)</v>
      </c>
      <c r="Q108" s="140"/>
      <c r="R108" s="140"/>
      <c r="S108" s="140"/>
      <c r="T108" s="140"/>
      <c r="U108" s="258">
        <f t="shared" si="24"/>
        <v>0</v>
      </c>
      <c r="V108" s="246" t="str">
        <f t="shared" si="25"/>
        <v>未到店</v>
      </c>
      <c r="X108" s="5"/>
      <c r="Y108" s="5" t="str">
        <f t="shared" si="26"/>
        <v/>
      </c>
    </row>
    <row r="109" spans="1:25" ht="15.75" customHeight="1">
      <c r="A109" s="179">
        <v>5197</v>
      </c>
      <c r="B109" s="180" t="str">
        <f>VLOOKUP(A109,'0919門市清單主檔'!B:C,2,FALSE)</f>
        <v>蘆洲鴻悅店</v>
      </c>
      <c r="C109" s="181" t="str">
        <f>VLOOKUP($A109,'0919門市清單主檔'!B:V,20,FALSE)</f>
        <v>新北市</v>
      </c>
      <c r="D109" s="182" t="str">
        <f>VLOOKUP($A109,'0919門市清單主檔'!B:V,21,FALSE)</f>
        <v>蘆洲區</v>
      </c>
      <c r="E109" s="183" t="str">
        <f>VLOOKUP(D109,區域表!A:B,2,FALSE)</f>
        <v>吳宗鴻</v>
      </c>
      <c r="F109" s="184" t="str">
        <f>IFERROR(IF(VLOOKUP(A109,門市狀態!A:D,4,FALSE)=0,"",VLOOKUP(A109,門市狀態!A:D,4,FALSE)),"")</f>
        <v/>
      </c>
      <c r="G109" s="185" t="s">
        <v>1746</v>
      </c>
      <c r="H109" s="186" t="str">
        <f t="shared" si="22"/>
        <v>-5197-蘆洲鴻悅店(定保)</v>
      </c>
      <c r="I109" s="190" t="s">
        <v>1746</v>
      </c>
      <c r="J109" s="188" t="str" cm="1">
        <f t="array" ref="J109">IFERROR(INDEX(IM!$X$2:$X$650, MATCH(1, (IM!$F$2:$F$650=A109) * (ISNUMBER(SEARCH($C$1, IM!$AC$2:$AC$650))), 0)), "")</f>
        <v/>
      </c>
      <c r="K109" s="159">
        <f>COUNTIFS(IM!F:F,A109,IM!AD:AD,"O",IM!X:X,"&gt;="&amp;$A$1,IM!X:X,"&lt;="&amp;$B$1)</f>
        <v>0</v>
      </c>
      <c r="L109" s="228" t="str" cm="1">
        <f t="array" ref="L109">IF(K109&gt;0,IFERROR(HYPERLINK("#'IM'!AC"&amp;MATCH(1,(IM!$F$1:$F$7700=A109)*(ISNUMBER(SEARCH("PMQ2",IM!$AC$1:$AC$7700))),0),"檢核"),"未登錄"),"")</f>
        <v/>
      </c>
      <c r="M109" s="230" t="str" cm="1">
        <f t="array" ref="M109">IF(AND(SUMPRODUCT((IM!F2:F712=A109)*(ISNUMBER(SEARCH("EDC", IM!AC2:AC712))))&gt;0), "EDC", "")</f>
        <v/>
      </c>
      <c r="N109" s="264" t="str" cm="1">
        <f t="array" ref="N109">IF(AND(SUMPRODUCT((IM!F2:F712=A109)*(ISNUMBER(SEARCH("STAR", IM!AC2:AC712))))&gt;0), "STAR", "")</f>
        <v/>
      </c>
      <c r="O109" s="256" t="str" cm="1">
        <f t="array" ref="O109">IFERROR(INDEX(IM!$X$2:$X$650, MATCH(1, (IM!$F$2:$F$650=A109) * (ISNUMBER(SEARCH($D$1, IM!$AC$2:$AC$650))), 0)), "")</f>
        <v/>
      </c>
      <c r="P109" s="191" t="str">
        <f t="shared" si="23"/>
        <v>-5197-蘆洲鴻悅店(定保)</v>
      </c>
      <c r="Q109" s="140"/>
      <c r="R109" s="140"/>
      <c r="S109" s="140"/>
      <c r="T109" s="140"/>
      <c r="U109" s="258">
        <f t="shared" si="24"/>
        <v>0</v>
      </c>
      <c r="V109" s="246" t="str">
        <f t="shared" si="25"/>
        <v>未到店</v>
      </c>
      <c r="X109" s="5"/>
      <c r="Y109" s="5" t="str">
        <f t="shared" si="26"/>
        <v/>
      </c>
    </row>
    <row r="110" spans="1:25" ht="15.75" customHeight="1">
      <c r="A110" s="179">
        <v>2399</v>
      </c>
      <c r="B110" s="180" t="str">
        <f>VLOOKUP(A110,'0919門市清單主檔'!B:C,2,FALSE)</f>
        <v>三重三陽店</v>
      </c>
      <c r="C110" s="181" t="str">
        <f>VLOOKUP($A110,'0919門市清單主檔'!B:V,20,FALSE)</f>
        <v>新北市</v>
      </c>
      <c r="D110" s="182" t="str">
        <f>VLOOKUP($A110,'0919門市清單主檔'!B:V,21,FALSE)</f>
        <v>三重區</v>
      </c>
      <c r="E110" s="183" t="str">
        <f>VLOOKUP(D110,區域表!A:B,2,FALSE)</f>
        <v>吳宗鴻</v>
      </c>
      <c r="F110" s="184" t="str">
        <f>IFERROR(IF(VLOOKUP(A110,門市狀態!A:D,4,FALSE)=0,"",VLOOKUP(A110,門市狀態!A:D,4,FALSE)),"")</f>
        <v/>
      </c>
      <c r="G110" s="185" t="s">
        <v>1746</v>
      </c>
      <c r="H110" s="186" t="str">
        <f t="shared" si="22"/>
        <v>-2399-三重三陽店(定保)</v>
      </c>
      <c r="I110" s="190" t="s">
        <v>1746</v>
      </c>
      <c r="J110" s="188" t="str" cm="1">
        <f t="array" ref="J110">IFERROR(INDEX(IM!$X$2:$X$650, MATCH(1, (IM!$F$2:$F$650=A110) * (ISNUMBER(SEARCH($C$1, IM!$AC$2:$AC$650))), 0)), "")</f>
        <v/>
      </c>
      <c r="K110" s="159">
        <f>COUNTIFS(IM!F:F,A110,IM!AD:AD,"O",IM!X:X,"&gt;="&amp;$A$1,IM!X:X,"&lt;="&amp;$B$1)</f>
        <v>0</v>
      </c>
      <c r="L110" s="228" t="str" cm="1">
        <f t="array" ref="L110">IF(K110&gt;0,IFERROR(HYPERLINK("#'IM'!AC"&amp;MATCH(1,(IM!$F$1:$F$7700=A110)*(ISNUMBER(SEARCH("PMQ2",IM!$AC$1:$AC$7700))),0),"檢核"),"未登錄"),"")</f>
        <v/>
      </c>
      <c r="M110" s="230" t="str" cm="1">
        <f t="array" ref="M110">IF(AND(SUMPRODUCT((IM!F2:F713=A110)*(ISNUMBER(SEARCH("EDC", IM!AC2:AC713))))&gt;0), "EDC", "")</f>
        <v/>
      </c>
      <c r="N110" s="264" t="str" cm="1">
        <f t="array" ref="N110">IF(AND(SUMPRODUCT((IM!F2:F713=A110)*(ISNUMBER(SEARCH("STAR", IM!AC2:AC713))))&gt;0), "STAR", "")</f>
        <v/>
      </c>
      <c r="O110" s="256" t="str" cm="1">
        <f t="array" ref="O110">IFERROR(INDEX(IM!$X$2:$X$650, MATCH(1, (IM!$F$2:$F$650=A110) * (ISNUMBER(SEARCH($D$1, IM!$AC$2:$AC$650))), 0)), "")</f>
        <v/>
      </c>
      <c r="P110" s="191" t="str">
        <f t="shared" si="23"/>
        <v>-2399-三重三陽店(定保)</v>
      </c>
      <c r="Q110" s="140"/>
      <c r="R110" s="140"/>
      <c r="S110" s="140"/>
      <c r="T110" s="140"/>
      <c r="U110" s="258">
        <f t="shared" si="24"/>
        <v>0</v>
      </c>
      <c r="V110" s="246" t="str">
        <f t="shared" si="25"/>
        <v>未到店</v>
      </c>
      <c r="X110" s="5"/>
      <c r="Y110" s="5" t="str">
        <f t="shared" si="26"/>
        <v/>
      </c>
    </row>
    <row r="111" spans="1:25" ht="15.75" customHeight="1">
      <c r="A111" s="179">
        <v>3853</v>
      </c>
      <c r="B111" s="180" t="str">
        <f>VLOOKUP(A111,'0919門市清單主檔'!B:C,2,FALSE)</f>
        <v>板橋互助店</v>
      </c>
      <c r="C111" s="181" t="str">
        <f>VLOOKUP($A111,'0919門市清單主檔'!B:V,20,FALSE)</f>
        <v>新北市</v>
      </c>
      <c r="D111" s="182" t="str">
        <f>VLOOKUP($A111,'0919門市清單主檔'!B:V,21,FALSE)</f>
        <v>板橋區</v>
      </c>
      <c r="E111" s="183" t="str">
        <f>VLOOKUP(D111,區域表!A:B,2,FALSE)</f>
        <v>狄澤洋</v>
      </c>
      <c r="F111" s="184" t="str">
        <f>IFERROR(IF(VLOOKUP(A111,門市狀態!A:D,4,FALSE)=0,"",VLOOKUP(A111,門市狀態!A:D,4,FALSE)),"")</f>
        <v/>
      </c>
      <c r="G111" s="185" t="s">
        <v>1746</v>
      </c>
      <c r="H111" s="186" t="str">
        <f t="shared" si="22"/>
        <v>-3853-板橋互助店(定保)</v>
      </c>
      <c r="I111" s="190" t="s">
        <v>1746</v>
      </c>
      <c r="J111" s="188" t="str" cm="1">
        <f t="array" ref="J111">IFERROR(INDEX(IM!$X$2:$X$650, MATCH(1, (IM!$F$2:$F$650=A111) * (ISNUMBER(SEARCH($C$1, IM!$AC$2:$AC$650))), 0)), "")</f>
        <v/>
      </c>
      <c r="K111" s="159">
        <f>COUNTIFS(IM!F:F,A111,IM!AD:AD,"O",IM!X:X,"&gt;="&amp;$A$1,IM!X:X,"&lt;="&amp;$B$1)</f>
        <v>0</v>
      </c>
      <c r="L111" s="228" t="str" cm="1">
        <f t="array" ref="L111">IF(K111&gt;0,IFERROR(HYPERLINK("#'IM'!AC"&amp;MATCH(1,(IM!$F$1:$F$7700=A111)*(ISNUMBER(SEARCH("PMQ2",IM!$AC$1:$AC$7700))),0),"檢核"),"未登錄"),"")</f>
        <v/>
      </c>
      <c r="M111" s="230" t="str" cm="1">
        <f t="array" ref="M111">IF(AND(SUMPRODUCT((IM!F2:F714=A111)*(ISNUMBER(SEARCH("EDC", IM!AC2:AC714))))&gt;0), "EDC", "")</f>
        <v/>
      </c>
      <c r="N111" s="264" t="str" cm="1">
        <f t="array" ref="N111">IF(AND(SUMPRODUCT((IM!F2:F714=A111)*(ISNUMBER(SEARCH("STAR", IM!AC2:AC714))))&gt;0), "STAR", "")</f>
        <v/>
      </c>
      <c r="O111" s="256" t="str" cm="1">
        <f t="array" ref="O111">IFERROR(INDEX(IM!$X$2:$X$650, MATCH(1, (IM!$F$2:$F$650=A111) * (ISNUMBER(SEARCH($D$1, IM!$AC$2:$AC$650))), 0)), "")</f>
        <v/>
      </c>
      <c r="P111" s="191" t="str">
        <f t="shared" si="23"/>
        <v>-3853-板橋互助店(定保)</v>
      </c>
      <c r="Q111" s="140"/>
      <c r="R111" s="140"/>
      <c r="S111" s="140"/>
      <c r="T111" s="140"/>
      <c r="U111" s="258">
        <f t="shared" si="24"/>
        <v>0</v>
      </c>
      <c r="V111" s="246" t="str">
        <f t="shared" si="25"/>
        <v>未到店</v>
      </c>
      <c r="X111" s="5"/>
      <c r="Y111" s="5" t="str">
        <f t="shared" ref="Y111:Y125" si="27">IF(U111&gt;0,"STAR","")</f>
        <v/>
      </c>
    </row>
    <row r="112" spans="1:25" ht="15.75" customHeight="1">
      <c r="A112" s="179">
        <v>4057</v>
      </c>
      <c r="B112" s="180" t="str">
        <f>VLOOKUP(A112,'0919門市清單主檔'!B:C,2,FALSE)</f>
        <v>林口香澄店</v>
      </c>
      <c r="C112" s="181" t="str">
        <f>VLOOKUP($A112,'0919門市清單主檔'!B:V,20,FALSE)</f>
        <v>新北市</v>
      </c>
      <c r="D112" s="182" t="str">
        <f>VLOOKUP($A112,'0919門市清單主檔'!B:V,21,FALSE)</f>
        <v>林口區</v>
      </c>
      <c r="E112" s="183" t="str">
        <f>VLOOKUP(D112,區域表!A:B,2,FALSE)</f>
        <v>湯家瑋</v>
      </c>
      <c r="F112" s="184" t="str">
        <f>IFERROR(IF(VLOOKUP(A112,門市狀態!A:D,4,FALSE)=0,"",VLOOKUP(A112,門市狀態!A:D,4,FALSE)),"")</f>
        <v/>
      </c>
      <c r="G112" s="185" t="s">
        <v>1746</v>
      </c>
      <c r="H112" s="186" t="str">
        <f t="shared" si="22"/>
        <v>-4057-林口香澄店(定保)</v>
      </c>
      <c r="I112" s="190" t="s">
        <v>1746</v>
      </c>
      <c r="J112" s="188" t="str" cm="1">
        <f t="array" ref="J112">IFERROR(INDEX(IM!$X$2:$X$650, MATCH(1, (IM!$F$2:$F$650=A112) * (ISNUMBER(SEARCH($C$1, IM!$AC$2:$AC$650))), 0)), "")</f>
        <v/>
      </c>
      <c r="K112" s="159">
        <f>COUNTIFS(IM!F:F,A112,IM!AD:AD,"O",IM!X:X,"&gt;="&amp;$A$1,IM!X:X,"&lt;="&amp;$B$1)</f>
        <v>0</v>
      </c>
      <c r="L112" s="228" t="str" cm="1">
        <f t="array" ref="L112">IF(K112&gt;0,IFERROR(HYPERLINK("#'IM'!AC"&amp;MATCH(1,(IM!$F$1:$F$7700=A112)*(ISNUMBER(SEARCH("PMQ2",IM!$AC$1:$AC$7700))),0),"檢核"),"未登錄"),"")</f>
        <v/>
      </c>
      <c r="M112" s="230" t="str" cm="1">
        <f t="array" ref="M112">IF(AND(SUMPRODUCT((IM!F2:F718=A112)*(ISNUMBER(SEARCH("EDC", IM!AC2:AC718))))&gt;0), "EDC", "")</f>
        <v/>
      </c>
      <c r="N112" s="264" t="str" cm="1">
        <f t="array" ref="N112">IF(AND(SUMPRODUCT((IM!F2:F718=A112)*(ISNUMBER(SEARCH("STAR", IM!AC2:AC718))))&gt;0), "STAR", "")</f>
        <v/>
      </c>
      <c r="O112" s="256" t="str" cm="1">
        <f t="array" ref="O112">IFERROR(INDEX(IM!$X$2:$X$650, MATCH(1, (IM!$F$2:$F$650=A112) * (ISNUMBER(SEARCH($D$1, IM!$AC$2:$AC$650))), 0)), "")</f>
        <v/>
      </c>
      <c r="P112" s="191" t="str">
        <f t="shared" si="23"/>
        <v>-4057-林口香澄店(定保)</v>
      </c>
      <c r="Q112" s="140"/>
      <c r="R112" s="140"/>
      <c r="S112" s="140"/>
      <c r="T112" s="140"/>
      <c r="U112" s="258">
        <f t="shared" si="24"/>
        <v>2</v>
      </c>
      <c r="V112" s="246" t="str">
        <f t="shared" si="25"/>
        <v>未到店</v>
      </c>
      <c r="W112" s="3" t="s">
        <v>4238</v>
      </c>
      <c r="X112" s="5" t="s">
        <v>4239</v>
      </c>
      <c r="Y112" s="5" t="str">
        <f t="shared" si="27"/>
        <v>STAR</v>
      </c>
    </row>
    <row r="113" spans="1:25" ht="15.75" customHeight="1">
      <c r="A113" s="179">
        <v>2267</v>
      </c>
      <c r="B113" s="180" t="str">
        <f>VLOOKUP(A113,'0919門市清單主檔'!B:C,2,FALSE)</f>
        <v>北縣金陽店</v>
      </c>
      <c r="C113" s="181" t="str">
        <f>VLOOKUP($A113,'0919門市清單主檔'!B:V,20,FALSE)</f>
        <v>新北市</v>
      </c>
      <c r="D113" s="182" t="str">
        <f>VLOOKUP($A113,'0919門市清單主檔'!B:V,21,FALSE)</f>
        <v>金山區</v>
      </c>
      <c r="E113" s="183" t="str">
        <f>VLOOKUP(D113,區域表!A:B,2,FALSE)</f>
        <v>吳宗鴻</v>
      </c>
      <c r="F113" s="184" t="str">
        <f>IFERROR(IF(VLOOKUP(A113,門市狀態!A:D,4,FALSE)=0,"",VLOOKUP(A113,門市狀態!A:D,4,FALSE)),"")</f>
        <v/>
      </c>
      <c r="G113" s="185" t="s">
        <v>1746</v>
      </c>
      <c r="H113" s="186" t="str">
        <f t="shared" si="22"/>
        <v>20250425-2267-北縣金陽店(定保)</v>
      </c>
      <c r="I113" s="190">
        <v>45772.586805555555</v>
      </c>
      <c r="J113" s="188" cm="1">
        <f t="array" ref="J113">IFERROR(INDEX(IM!$X$2:$X$650, MATCH(1, (IM!$F$2:$F$650=A113) * (ISNUMBER(SEARCH($C$1, IM!$AC$2:$AC$650))), 0)), "")</f>
        <v>45772.586805555555</v>
      </c>
      <c r="K113" s="159">
        <f>COUNTIFS(IM!F:F,A113,IM!AD:AD,"O",IM!X:X,"&gt;="&amp;$A$1,IM!X:X,"&lt;="&amp;$B$1)</f>
        <v>1</v>
      </c>
      <c r="L113" s="228" t="str" cm="1">
        <f t="array" ref="L113">IF(K113&gt;0,IFERROR(HYPERLINK("#'IM'!AC"&amp;MATCH(1,(IM!$F$1:$F$7700=A113)*(ISNUMBER(SEARCH("PMQ2",IM!$AC$1:$AC$7700))),0),"檢核"),"未登錄"),"")</f>
        <v>檢核</v>
      </c>
      <c r="M113" s="230" t="str" cm="1">
        <f t="array" ref="M113">IF(AND(SUMPRODUCT((IM!F2:F719=A113)*(ISNUMBER(SEARCH("EDC", IM!AC2:AC719))))&gt;0), "EDC", "")</f>
        <v>EDC</v>
      </c>
      <c r="N113" s="264" t="str" cm="1">
        <f t="array" ref="N113">IF(AND(SUMPRODUCT((IM!F2:F719=A113)*(ISNUMBER(SEARCH("STAR", IM!AC2:AC719))))&gt;0), "STAR", "")</f>
        <v>STAR</v>
      </c>
      <c r="O113" s="256" cm="1">
        <f t="array" ref="O113">IFERROR(INDEX(IM!$X$2:$X$650, MATCH(1, (IM!$F$2:$F$650=A113) * (ISNUMBER(SEARCH($D$1, IM!$AC$2:$AC$650))), 0)), "")</f>
        <v>45772.586805555555</v>
      </c>
      <c r="P113" s="191" t="str">
        <f t="shared" si="23"/>
        <v>20250425-2267-北縣金陽店(定保)</v>
      </c>
      <c r="Q113" s="140"/>
      <c r="R113" s="140"/>
      <c r="S113" s="140"/>
      <c r="T113" s="140"/>
      <c r="U113" s="258">
        <f t="shared" si="24"/>
        <v>2</v>
      </c>
      <c r="V113" s="246" t="str">
        <f t="shared" si="25"/>
        <v>已完工</v>
      </c>
      <c r="W113" s="3" t="s">
        <v>4240</v>
      </c>
      <c r="X113" s="5" t="s">
        <v>4241</v>
      </c>
      <c r="Y113" s="5" t="str">
        <f t="shared" si="27"/>
        <v>STAR</v>
      </c>
    </row>
    <row r="114" spans="1:25" ht="15.75" customHeight="1">
      <c r="A114" s="179">
        <v>4906</v>
      </c>
      <c r="B114" s="180" t="str">
        <f>VLOOKUP(A114,'0919門市清單主檔'!B:C,2,FALSE)</f>
        <v>金山銀山店</v>
      </c>
      <c r="C114" s="181" t="str">
        <f>VLOOKUP($A114,'0919門市清單主檔'!B:V,20,FALSE)</f>
        <v>新北市</v>
      </c>
      <c r="D114" s="182" t="str">
        <f>VLOOKUP($A114,'0919門市清單主檔'!B:V,21,FALSE)</f>
        <v>金山區</v>
      </c>
      <c r="E114" s="183" t="str">
        <f>VLOOKUP(D114,區域表!A:B,2,FALSE)</f>
        <v>吳宗鴻</v>
      </c>
      <c r="F114" s="184" t="str">
        <f>IFERROR(IF(VLOOKUP(A114,門市狀態!A:D,4,FALSE)=0,"",VLOOKUP(A114,門市狀態!A:D,4,FALSE)),"")</f>
        <v/>
      </c>
      <c r="G114" s="185" t="s">
        <v>1746</v>
      </c>
      <c r="H114" s="186" t="str">
        <f t="shared" si="22"/>
        <v>-4906-金山銀山店(定保)</v>
      </c>
      <c r="I114" s="190" t="s">
        <v>1746</v>
      </c>
      <c r="J114" s="188" t="str" cm="1">
        <f t="array" ref="J114">IFERROR(INDEX(IM!$X$2:$X$650, MATCH(1, (IM!$F$2:$F$650=A114) * (ISNUMBER(SEARCH($C$1, IM!$AC$2:$AC$650))), 0)), "")</f>
        <v/>
      </c>
      <c r="K114" s="159">
        <f>COUNTIFS(IM!F:F,A114,IM!AD:AD,"O",IM!X:X,"&gt;="&amp;$A$1,IM!X:X,"&lt;="&amp;$B$1)</f>
        <v>0</v>
      </c>
      <c r="L114" s="228" t="str" cm="1">
        <f t="array" ref="L114">IF(K114&gt;0,IFERROR(HYPERLINK("#'IM'!AC"&amp;MATCH(1,(IM!$F$1:$F$7700=A114)*(ISNUMBER(SEARCH("PMQ2",IM!$AC$1:$AC$7700))),0),"檢核"),"未登錄"),"")</f>
        <v/>
      </c>
      <c r="M114" s="230" t="str" cm="1">
        <f t="array" ref="M114">IF(AND(SUMPRODUCT((IM!F2:F720=A114)*(ISNUMBER(SEARCH("EDC", IM!AC2:AC720))))&gt;0), "EDC", "")</f>
        <v/>
      </c>
      <c r="N114" s="264" t="str" cm="1">
        <f t="array" ref="N114">IF(AND(SUMPRODUCT((IM!F2:F720=A114)*(ISNUMBER(SEARCH("STAR", IM!AC2:AC720))))&gt;0), "STAR", "")</f>
        <v/>
      </c>
      <c r="O114" s="256" t="str" cm="1">
        <f t="array" ref="O114">IFERROR(INDEX(IM!$X$2:$X$650, MATCH(1, (IM!$F$2:$F$650=A114) * (ISNUMBER(SEARCH($D$1, IM!$AC$2:$AC$650))), 0)), "")</f>
        <v/>
      </c>
      <c r="P114" s="191" t="str">
        <f t="shared" si="23"/>
        <v>-4906-金山銀山店(定保)</v>
      </c>
      <c r="Q114" s="140"/>
      <c r="R114" s="140"/>
      <c r="S114" s="140"/>
      <c r="T114" s="140"/>
      <c r="U114" s="258">
        <f t="shared" si="24"/>
        <v>0</v>
      </c>
      <c r="V114" s="246" t="str">
        <f t="shared" si="25"/>
        <v>未到店</v>
      </c>
      <c r="X114" s="5"/>
      <c r="Y114" s="5" t="str">
        <f t="shared" si="27"/>
        <v/>
      </c>
    </row>
    <row r="115" spans="1:25" ht="15.75" customHeight="1">
      <c r="A115" s="179">
        <v>4101</v>
      </c>
      <c r="B115" s="180" t="str">
        <f>VLOOKUP(A115,'0919門市清單主檔'!B:C,2,FALSE)</f>
        <v>三重溪華店</v>
      </c>
      <c r="C115" s="181" t="str">
        <f>VLOOKUP($A115,'0919門市清單主檔'!B:V,20,FALSE)</f>
        <v>新北市</v>
      </c>
      <c r="D115" s="182" t="str">
        <f>VLOOKUP($A115,'0919門市清單主檔'!B:V,21,FALSE)</f>
        <v>三重區</v>
      </c>
      <c r="E115" s="183" t="str">
        <f>VLOOKUP(D115,區域表!A:B,2,FALSE)</f>
        <v>吳宗鴻</v>
      </c>
      <c r="F115" s="184" t="str">
        <f>IFERROR(IF(VLOOKUP(A115,門市狀態!A:D,4,FALSE)=0,"",VLOOKUP(A115,門市狀態!A:D,4,FALSE)),"")</f>
        <v/>
      </c>
      <c r="G115" s="185" t="s">
        <v>1746</v>
      </c>
      <c r="H115" s="186" t="str">
        <f t="shared" si="22"/>
        <v>-4101-三重溪華店(定保)</v>
      </c>
      <c r="I115" s="190" t="s">
        <v>1746</v>
      </c>
      <c r="J115" s="188" t="str" cm="1">
        <f t="array" ref="J115">IFERROR(INDEX(IM!$X$2:$X$650, MATCH(1, (IM!$F$2:$F$650=A115) * (ISNUMBER(SEARCH($C$1, IM!$AC$2:$AC$650))), 0)), "")</f>
        <v/>
      </c>
      <c r="K115" s="159">
        <f>COUNTIFS(IM!F:F,A115,IM!AD:AD,"O",IM!X:X,"&gt;="&amp;$A$1,IM!X:X,"&lt;="&amp;$B$1)</f>
        <v>0</v>
      </c>
      <c r="L115" s="228" t="str" cm="1">
        <f t="array" ref="L115">IF(K115&gt;0,IFERROR(HYPERLINK("#'IM'!AC"&amp;MATCH(1,(IM!$F$1:$F$7700=A115)*(ISNUMBER(SEARCH("PMQ2",IM!$AC$1:$AC$7700))),0),"檢核"),"未登錄"),"")</f>
        <v/>
      </c>
      <c r="M115" s="230" t="str" cm="1">
        <f t="array" ref="M115">IF(AND(SUMPRODUCT((IM!F2:F723=A115)*(ISNUMBER(SEARCH("EDC", IM!AC2:AC723))))&gt;0), "EDC", "")</f>
        <v/>
      </c>
      <c r="N115" s="264" t="str" cm="1">
        <f t="array" ref="N115">IF(AND(SUMPRODUCT((IM!F2:F723=A115)*(ISNUMBER(SEARCH("STAR", IM!AC2:AC723))))&gt;0), "STAR", "")</f>
        <v/>
      </c>
      <c r="O115" s="256" t="str" cm="1">
        <f t="array" ref="O115">IFERROR(INDEX(IM!$X$2:$X$650, MATCH(1, (IM!$F$2:$F$650=A115) * (ISNUMBER(SEARCH($D$1, IM!$AC$2:$AC$650))), 0)), "")</f>
        <v/>
      </c>
      <c r="P115" s="191" t="str">
        <f t="shared" si="23"/>
        <v>-4101-三重溪華店(定保)</v>
      </c>
      <c r="Q115" s="140"/>
      <c r="R115" s="140"/>
      <c r="S115" s="140"/>
      <c r="T115" s="140"/>
      <c r="U115" s="258">
        <f t="shared" si="24"/>
        <v>0</v>
      </c>
      <c r="V115" s="246" t="str">
        <f t="shared" si="25"/>
        <v>未到店</v>
      </c>
      <c r="X115" s="5"/>
      <c r="Y115" s="5" t="str">
        <f t="shared" si="27"/>
        <v/>
      </c>
    </row>
    <row r="116" spans="1:25" ht="15.75" customHeight="1">
      <c r="A116" s="179" t="s">
        <v>18</v>
      </c>
      <c r="B116" s="180" t="str">
        <f>VLOOKUP(A116,'0919門市清單主檔'!B:C,2,FALSE)</f>
        <v>三重溪尾店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1746</v>
      </c>
      <c r="H116" s="186" t="str">
        <f t="shared" si="22"/>
        <v>-D022-三重溪尾店(定保)</v>
      </c>
      <c r="I116" s="190" t="s">
        <v>1746</v>
      </c>
      <c r="J116" s="188" t="str" cm="1">
        <f t="array" ref="J116">IFERROR(INDEX(IM!$X$2:$X$650, MATCH(1, (IM!$F$2:$F$650=A116) * (ISNUMBER(SEARCH($C$1, IM!$AC$2:$AC$650))), 0)), "")</f>
        <v/>
      </c>
      <c r="K116" s="159">
        <f>COUNTIFS(IM!F:F,A116,IM!AD:AD,"O",IM!X:X,"&gt;="&amp;$A$1,IM!X:X,"&lt;="&amp;$B$1)</f>
        <v>0</v>
      </c>
      <c r="L116" s="228" t="str" cm="1">
        <f t="array" ref="L116">IF(K116&gt;0,IFERROR(HYPERLINK("#'IM'!AC"&amp;MATCH(1,(IM!$F$1:$F$7700=A116)*(ISNUMBER(SEARCH("PMQ2",IM!$AC$1:$AC$7700))),0),"檢核"),"未登錄"),"")</f>
        <v/>
      </c>
      <c r="M116" s="230" t="str" cm="1">
        <f t="array" ref="M116">IF(AND(SUMPRODUCT((IM!F2:F724=A116)*(ISNUMBER(SEARCH("EDC", IM!AC2:AC724))))&gt;0), "EDC", "")</f>
        <v/>
      </c>
      <c r="N116" s="264" t="str" cm="1">
        <f t="array" ref="N116">IF(AND(SUMPRODUCT((IM!F2:F724=A116)*(ISNUMBER(SEARCH("STAR", IM!AC2:AC724))))&gt;0), "STAR", "")</f>
        <v/>
      </c>
      <c r="O116" s="256" t="str" cm="1">
        <f t="array" ref="O116">IFERROR(INDEX(IM!$X$2:$X$650, MATCH(1, (IM!$F$2:$F$650=A116) * (ISNUMBER(SEARCH($D$1, IM!$AC$2:$AC$650))), 0)), "")</f>
        <v/>
      </c>
      <c r="P116" s="191" t="str">
        <f t="shared" si="23"/>
        <v>-D022-三重溪尾店(定保)</v>
      </c>
      <c r="Q116" s="140"/>
      <c r="R116" s="140"/>
      <c r="S116" s="140"/>
      <c r="T116" s="140"/>
      <c r="U116" s="258">
        <f t="shared" si="24"/>
        <v>0</v>
      </c>
      <c r="V116" s="246" t="str">
        <f t="shared" si="25"/>
        <v>未到店</v>
      </c>
      <c r="X116" s="5"/>
      <c r="Y116" s="5" t="str">
        <f t="shared" si="27"/>
        <v/>
      </c>
    </row>
    <row r="117" spans="1:25" ht="15.75" customHeight="1">
      <c r="A117" s="179">
        <v>4144</v>
      </c>
      <c r="B117" s="180" t="str">
        <f>VLOOKUP(A117,'0919門市清單主檔'!B:C,2,FALSE)</f>
        <v>新莊頭前店</v>
      </c>
      <c r="C117" s="181" t="str">
        <f>VLOOKUP($A117,'0919門市清單主檔'!B:V,20,FALSE)</f>
        <v>新北市</v>
      </c>
      <c r="D117" s="182" t="str">
        <f>VLOOKUP($A117,'0919門市清單主檔'!B:V,21,FALSE)</f>
        <v>新莊區</v>
      </c>
      <c r="E117" s="183" t="str">
        <f>VLOOKUP(D117,區域表!A:B,2,FALSE)</f>
        <v>湯家瑋</v>
      </c>
      <c r="F117" s="184" t="str">
        <f>IFERROR(IF(VLOOKUP(A117,門市狀態!A:D,4,FALSE)=0,"",VLOOKUP(A117,門市狀態!A:D,4,FALSE)),"")</f>
        <v/>
      </c>
      <c r="G117" s="185" t="s">
        <v>1746</v>
      </c>
      <c r="H117" s="186" t="str">
        <f t="shared" si="22"/>
        <v>-4144-新莊頭前店(定保)</v>
      </c>
      <c r="I117" s="190" t="s">
        <v>1746</v>
      </c>
      <c r="J117" s="188" t="str" cm="1">
        <f t="array" ref="J117">IFERROR(INDEX(IM!$X$2:$X$650, MATCH(1, (IM!$F$2:$F$650=A117) * (ISNUMBER(SEARCH($C$1, IM!$AC$2:$AC$650))), 0)), "")</f>
        <v/>
      </c>
      <c r="K117" s="159">
        <f>COUNTIFS(IM!F:F,A117,IM!AD:AD,"O",IM!X:X,"&gt;="&amp;$A$1,IM!X:X,"&lt;="&amp;$B$1)</f>
        <v>0</v>
      </c>
      <c r="L117" s="228" t="str" cm="1">
        <f t="array" ref="L117">IF(K117&gt;0,IFERROR(HYPERLINK("#'IM'!AC"&amp;MATCH(1,(IM!$F$1:$F$7700=A117)*(ISNUMBER(SEARCH("PMQ2",IM!$AC$1:$AC$7700))),0),"檢核"),"未登錄"),"")</f>
        <v/>
      </c>
      <c r="M117" s="230" t="str" cm="1">
        <f t="array" ref="M117">IF(AND(SUMPRODUCT((IM!F2:F725=A117)*(ISNUMBER(SEARCH("EDC", IM!AC2:AC725))))&gt;0), "EDC", "")</f>
        <v/>
      </c>
      <c r="N117" s="264" t="str" cm="1">
        <f t="array" ref="N117">IF(AND(SUMPRODUCT((IM!F2:F725=A117)*(ISNUMBER(SEARCH("STAR", IM!AC2:AC725))))&gt;0), "STAR", "")</f>
        <v/>
      </c>
      <c r="O117" s="256" t="str" cm="1">
        <f t="array" ref="O117">IFERROR(INDEX(IM!$X$2:$X$650, MATCH(1, (IM!$F$2:$F$650=A117) * (ISNUMBER(SEARCH($D$1, IM!$AC$2:$AC$650))), 0)), "")</f>
        <v/>
      </c>
      <c r="P117" s="191" t="str">
        <f t="shared" si="23"/>
        <v>-4144-新莊頭前店(定保)</v>
      </c>
      <c r="Q117" s="140"/>
      <c r="R117" s="140"/>
      <c r="S117" s="140"/>
      <c r="T117" s="140"/>
      <c r="U117" s="258">
        <f t="shared" si="24"/>
        <v>2</v>
      </c>
      <c r="V117" s="246" t="str">
        <f t="shared" si="25"/>
        <v>未到店</v>
      </c>
      <c r="W117" s="3" t="s">
        <v>4244</v>
      </c>
      <c r="X117" s="5" t="s">
        <v>4245</v>
      </c>
      <c r="Y117" s="5" t="str">
        <f t="shared" si="27"/>
        <v>STAR</v>
      </c>
    </row>
    <row r="118" spans="1:25" ht="15.75" customHeight="1">
      <c r="A118" s="179">
        <v>3359</v>
      </c>
      <c r="B118" s="180" t="str">
        <f>VLOOKUP(A118,'0919門市清單主檔'!B:C,2,FALSE)</f>
        <v>三重金陵店</v>
      </c>
      <c r="C118" s="181" t="str">
        <f>VLOOKUP($A118,'0919門市清單主檔'!B:V,20,FALSE)</f>
        <v>新北市</v>
      </c>
      <c r="D118" s="182" t="str">
        <f>VLOOKUP($A118,'0919門市清單主檔'!B:V,21,FALSE)</f>
        <v>三重區</v>
      </c>
      <c r="E118" s="183" t="str">
        <f>VLOOKUP(D118,區域表!A:B,2,FALSE)</f>
        <v>吳宗鴻</v>
      </c>
      <c r="F118" s="184" t="str">
        <f>IFERROR(IF(VLOOKUP(A118,門市狀態!A:D,4,FALSE)=0,"",VLOOKUP(A118,門市狀態!A:D,4,FALSE)),"")</f>
        <v/>
      </c>
      <c r="G118" s="185" t="s">
        <v>4086</v>
      </c>
      <c r="H118" s="186" t="str">
        <f t="shared" si="22"/>
        <v>20250424-3359-三重金陵店(定保)</v>
      </c>
      <c r="I118" s="190">
        <v>45771.614583333336</v>
      </c>
      <c r="J118" s="188" cm="1">
        <f t="array" ref="J118">IFERROR(INDEX(IM!$X$2:$X$650, MATCH(1, (IM!$F$2:$F$650=A118) * (ISNUMBER(SEARCH($C$1, IM!$AC$2:$AC$650))), 0)), "")</f>
        <v>45771.614583333336</v>
      </c>
      <c r="K118" s="159">
        <f>COUNTIFS(IM!F:F,A118,IM!AD:AD,"O",IM!X:X,"&gt;="&amp;$A$1,IM!X:X,"&lt;="&amp;$B$1)</f>
        <v>1</v>
      </c>
      <c r="L118" s="228" t="str" cm="1">
        <f t="array" ref="L118">IF(K118&gt;0,IFERROR(HYPERLINK("#'IM'!AC"&amp;MATCH(1,(IM!$F$1:$F$7700=A118)*(ISNUMBER(SEARCH("PMQ2",IM!$AC$1:$AC$7700))),0),"檢核"),"未登錄"),"")</f>
        <v>檢核</v>
      </c>
      <c r="M118" s="230" t="str" cm="1">
        <f t="array" ref="M118">IF(AND(SUMPRODUCT((IM!F2:F726=A118)*(ISNUMBER(SEARCH("EDC", IM!AC2:AC726))))&gt;0), "EDC", "")</f>
        <v>EDC</v>
      </c>
      <c r="N118" s="264" t="str" cm="1">
        <f t="array" ref="N118">IF(AND(SUMPRODUCT((IM!F2:F726=A118)*(ISNUMBER(SEARCH("STAR", IM!AC2:AC726))))&gt;0), "STAR", "")</f>
        <v>STAR</v>
      </c>
      <c r="O118" s="256" cm="1">
        <f t="array" ref="O118">IFERROR(INDEX(IM!$X$2:$X$650, MATCH(1, (IM!$F$2:$F$650=A118) * (ISNUMBER(SEARCH($D$1, IM!$AC$2:$AC$650))), 0)), "")</f>
        <v>45771.614583333336</v>
      </c>
      <c r="P118" s="191" t="str">
        <f t="shared" si="23"/>
        <v>20250424-3359-三重金陵店(定保)</v>
      </c>
      <c r="Q118" s="140"/>
      <c r="R118" s="140"/>
      <c r="S118" s="140"/>
      <c r="T118" s="140"/>
      <c r="U118" s="258">
        <f t="shared" si="24"/>
        <v>2</v>
      </c>
      <c r="V118" s="246" t="str">
        <f t="shared" si="25"/>
        <v>已完工</v>
      </c>
      <c r="W118" s="3" t="s">
        <v>4246</v>
      </c>
      <c r="X118" s="5" t="s">
        <v>4247</v>
      </c>
      <c r="Y118" s="5" t="str">
        <f t="shared" si="27"/>
        <v>STAR</v>
      </c>
    </row>
    <row r="119" spans="1:25" ht="15.75" customHeight="1">
      <c r="A119" s="179" t="s">
        <v>25</v>
      </c>
      <c r="B119" s="180" t="str">
        <f>VLOOKUP(A119,'0919門市清單主檔'!B:C,2,FALSE)</f>
        <v>三重興德店</v>
      </c>
      <c r="C119" s="181" t="str">
        <f>VLOOKUP($A119,'0919門市清單主檔'!B:V,20,FALSE)</f>
        <v>新北市</v>
      </c>
      <c r="D119" s="182" t="str">
        <f>VLOOKUP($A119,'0919門市清單主檔'!B:V,21,FALSE)</f>
        <v>三重區</v>
      </c>
      <c r="E119" s="183" t="str">
        <f>VLOOKUP(D119,區域表!A:B,2,FALSE)</f>
        <v>吳宗鴻</v>
      </c>
      <c r="F119" s="184" t="str">
        <f>IFERROR(IF(VLOOKUP(A119,門市狀態!A:D,4,FALSE)=0,"",VLOOKUP(A119,門市狀態!A:D,4,FALSE)),"")</f>
        <v/>
      </c>
      <c r="G119" s="185" t="s">
        <v>1746</v>
      </c>
      <c r="H119" s="186" t="str">
        <f t="shared" si="22"/>
        <v>20250424-D191-三重興德店(定保)</v>
      </c>
      <c r="I119" s="190">
        <v>45771.677777777775</v>
      </c>
      <c r="J119" s="188" cm="1">
        <f t="array" ref="J119">IFERROR(INDEX(IM!$X$2:$X$650, MATCH(1, (IM!$F$2:$F$650=A119) * (ISNUMBER(SEARCH($C$1, IM!$AC$2:$AC$650))), 0)), "")</f>
        <v>45771.677777777775</v>
      </c>
      <c r="K119" s="159">
        <f>COUNTIFS(IM!F:F,A119,IM!AD:AD,"O",IM!X:X,"&gt;="&amp;$A$1,IM!X:X,"&lt;="&amp;$B$1)</f>
        <v>1</v>
      </c>
      <c r="L119" s="228" t="str" cm="1">
        <f t="array" ref="L119">IF(K119&gt;0,IFERROR(HYPERLINK("#'IM'!AC"&amp;MATCH(1,(IM!$F$1:$F$7700=A119)*(ISNUMBER(SEARCH("PMQ2",IM!$AC$1:$AC$7700))),0),"檢核"),"未登錄"),"")</f>
        <v>檢核</v>
      </c>
      <c r="M119" s="230" t="str" cm="1">
        <f t="array" ref="M119">IF(AND(SUMPRODUCT((IM!F2:F727=A119)*(ISNUMBER(SEARCH("EDC", IM!AC2:AC727))))&gt;0), "EDC", "")</f>
        <v>EDC</v>
      </c>
      <c r="N119" s="264" t="str" cm="1">
        <f t="array" ref="N119">IF(AND(SUMPRODUCT((IM!F2:F727=A119)*(ISNUMBER(SEARCH("STAR", IM!AC2:AC727))))&gt;0), "STAR", "")</f>
        <v>STAR</v>
      </c>
      <c r="O119" s="256" cm="1">
        <f t="array" ref="O119">IFERROR(INDEX(IM!$X$2:$X$650, MATCH(1, (IM!$F$2:$F$650=A119) * (ISNUMBER(SEARCH($D$1, IM!$AC$2:$AC$650))), 0)), "")</f>
        <v>45771.677777777775</v>
      </c>
      <c r="P119" s="191" t="str">
        <f t="shared" si="23"/>
        <v>20250424-D191-三重興德店(定保)</v>
      </c>
      <c r="Q119" s="140"/>
      <c r="R119" s="140"/>
      <c r="S119" s="140"/>
      <c r="T119" s="140"/>
      <c r="U119" s="258">
        <f t="shared" si="24"/>
        <v>2</v>
      </c>
      <c r="V119" s="246" t="str">
        <f t="shared" si="25"/>
        <v>已完工</v>
      </c>
      <c r="W119" s="3" t="s">
        <v>4248</v>
      </c>
      <c r="X119" s="5" t="s">
        <v>4249</v>
      </c>
      <c r="Y119" s="5" t="str">
        <f t="shared" si="27"/>
        <v>STAR</v>
      </c>
    </row>
    <row r="120" spans="1:25" ht="15.75" customHeight="1">
      <c r="A120" s="179">
        <v>4977</v>
      </c>
      <c r="B120" s="180" t="str">
        <f>VLOOKUP(A120,'0919門市清單主檔'!B:C,2,FALSE)</f>
        <v>三重初戀店</v>
      </c>
      <c r="C120" s="181" t="str">
        <f>VLOOKUP($A120,'0919門市清單主檔'!B:V,20,FALSE)</f>
        <v>新北市</v>
      </c>
      <c r="D120" s="182" t="str">
        <f>VLOOKUP($A120,'0919門市清單主檔'!B:V,21,FALSE)</f>
        <v>三重區</v>
      </c>
      <c r="E120" s="183" t="str">
        <f>VLOOKUP(D120,區域表!A:B,2,FALSE)</f>
        <v>吳宗鴻</v>
      </c>
      <c r="F120" s="184" t="str">
        <f>IFERROR(IF(VLOOKUP(A120,門市狀態!A:D,4,FALSE)=0,"",VLOOKUP(A120,門市狀態!A:D,4,FALSE)),"")</f>
        <v/>
      </c>
      <c r="G120" s="185" t="s">
        <v>1746</v>
      </c>
      <c r="H120" s="186" t="str">
        <f t="shared" si="22"/>
        <v>-4977-三重初戀店(定保)</v>
      </c>
      <c r="I120" s="190" t="s">
        <v>1746</v>
      </c>
      <c r="J120" s="188" t="str" cm="1">
        <f t="array" ref="J120">IFERROR(INDEX(IM!$X$2:$X$650, MATCH(1, (IM!$F$2:$F$650=A120) * (ISNUMBER(SEARCH($C$1, IM!$AC$2:$AC$650))), 0)), "")</f>
        <v/>
      </c>
      <c r="K120" s="159">
        <f>COUNTIFS(IM!F:F,A120,IM!AD:AD,"O",IM!X:X,"&gt;="&amp;$A$1,IM!X:X,"&lt;="&amp;$B$1)</f>
        <v>0</v>
      </c>
      <c r="L120" s="228" t="str" cm="1">
        <f t="array" ref="L120">IF(K120&gt;0,IFERROR(HYPERLINK("#'IM'!AC"&amp;MATCH(1,(IM!$F$1:$F$7700=A120)*(ISNUMBER(SEARCH("PMQ2",IM!$AC$1:$AC$7700))),0),"檢核"),"未登錄"),"")</f>
        <v/>
      </c>
      <c r="M120" s="230" t="str" cm="1">
        <f t="array" ref="M120">IF(AND(SUMPRODUCT((IM!F2:F728=A120)*(ISNUMBER(SEARCH("EDC", IM!AC2:AC728))))&gt;0), "EDC", "")</f>
        <v/>
      </c>
      <c r="N120" s="264" t="str" cm="1">
        <f t="array" ref="N120">IF(AND(SUMPRODUCT((IM!F2:F728=A120)*(ISNUMBER(SEARCH("STAR", IM!AC2:AC728))))&gt;0), "STAR", "")</f>
        <v>STAR</v>
      </c>
      <c r="O120" s="256" cm="1">
        <f t="array" ref="O120">IFERROR(INDEX(IM!$X$2:$X$650, MATCH(1, (IM!$F$2:$F$650=A120) * (ISNUMBER(SEARCH($D$1, IM!$AC$2:$AC$650))), 0)), "")</f>
        <v>45743.524305555555</v>
      </c>
      <c r="P120" s="191" t="str">
        <f t="shared" si="23"/>
        <v>-4977-三重初戀店(定保)</v>
      </c>
      <c r="Q120" s="140"/>
      <c r="R120" s="140"/>
      <c r="S120" s="140"/>
      <c r="T120" s="140"/>
      <c r="U120" s="258">
        <f t="shared" si="24"/>
        <v>2</v>
      </c>
      <c r="V120" s="246" t="str">
        <f t="shared" si="25"/>
        <v>未到店</v>
      </c>
      <c r="W120" s="3" t="s">
        <v>4250</v>
      </c>
      <c r="X120" s="5" t="s">
        <v>4251</v>
      </c>
      <c r="Y120" s="5" t="str">
        <f t="shared" si="27"/>
        <v>STAR</v>
      </c>
    </row>
    <row r="121" spans="1:25" ht="15.75" customHeight="1">
      <c r="A121" s="179">
        <v>4529</v>
      </c>
      <c r="B121" s="180" t="str">
        <f>VLOOKUP(A121,'0919門市清單主檔'!B:C,2,FALSE)</f>
        <v>淡水新洲店</v>
      </c>
      <c r="C121" s="181" t="str">
        <f>VLOOKUP($A121,'0919門市清單主檔'!B:V,20,FALSE)</f>
        <v>新北市</v>
      </c>
      <c r="D121" s="182" t="str">
        <f>VLOOKUP($A121,'0919門市清單主檔'!B:V,21,FALSE)</f>
        <v>淡水區</v>
      </c>
      <c r="E121" s="183" t="str">
        <f>VLOOKUP(D121,區域表!A:B,2,FALSE)</f>
        <v>吳宗鴻</v>
      </c>
      <c r="F121" s="184" t="str">
        <f>IFERROR(IF(VLOOKUP(A121,門市狀態!A:D,4,FALSE)=0,"",VLOOKUP(A121,門市狀態!A:D,4,FALSE)),"")</f>
        <v/>
      </c>
      <c r="G121" s="185" t="s">
        <v>1746</v>
      </c>
      <c r="H121" s="186" t="str">
        <f t="shared" si="22"/>
        <v>-4529-淡水新洲店(定保)</v>
      </c>
      <c r="I121" s="190" t="s">
        <v>1746</v>
      </c>
      <c r="J121" s="188" t="str" cm="1">
        <f t="array" ref="J121">IFERROR(INDEX(IM!$X$2:$X$650, MATCH(1, (IM!$F$2:$F$650=A121) * (ISNUMBER(SEARCH($C$1, IM!$AC$2:$AC$650))), 0)), "")</f>
        <v/>
      </c>
      <c r="K121" s="159">
        <f>COUNTIFS(IM!F:F,A121,IM!AD:AD,"O",IM!X:X,"&gt;="&amp;$A$1,IM!X:X,"&lt;="&amp;$B$1)</f>
        <v>0</v>
      </c>
      <c r="L121" s="228" t="str" cm="1">
        <f t="array" ref="L121">IF(K121&gt;0,IFERROR(HYPERLINK("#'IM'!AC"&amp;MATCH(1,(IM!$F$1:$F$7700=A121)*(ISNUMBER(SEARCH("PMQ2",IM!$AC$1:$AC$7700))),0),"檢核"),"未登錄"),"")</f>
        <v/>
      </c>
      <c r="M121" s="230" t="str" cm="1">
        <f t="array" ref="M121">IF(AND(SUMPRODUCT((IM!F2:F730=A121)*(ISNUMBER(SEARCH("EDC", IM!AC2:AC730))))&gt;0), "EDC", "")</f>
        <v/>
      </c>
      <c r="N121" s="264" t="str" cm="1">
        <f t="array" ref="N121">IF(AND(SUMPRODUCT((IM!F2:F730=A121)*(ISNUMBER(SEARCH("STAR", IM!AC2:AC730))))&gt;0), "STAR", "")</f>
        <v/>
      </c>
      <c r="O121" s="256" t="str" cm="1">
        <f t="array" ref="O121">IFERROR(INDEX(IM!$X$2:$X$650, MATCH(1, (IM!$F$2:$F$650=A121) * (ISNUMBER(SEARCH($D$1, IM!$AC$2:$AC$650))), 0)), "")</f>
        <v/>
      </c>
      <c r="P121" s="191" t="str">
        <f t="shared" si="23"/>
        <v>-4529-淡水新洲店(定保)</v>
      </c>
      <c r="Q121" s="140"/>
      <c r="R121" s="140"/>
      <c r="S121" s="140"/>
      <c r="T121" s="140"/>
      <c r="U121" s="258">
        <f t="shared" si="24"/>
        <v>2</v>
      </c>
      <c r="V121" s="246" t="str">
        <f t="shared" si="25"/>
        <v>未到店</v>
      </c>
      <c r="W121" s="3" t="s">
        <v>4253</v>
      </c>
      <c r="X121" s="5" t="s">
        <v>4254</v>
      </c>
      <c r="Y121" s="5" t="str">
        <f t="shared" si="27"/>
        <v>STAR</v>
      </c>
    </row>
    <row r="122" spans="1:25" ht="15.75" customHeight="1">
      <c r="A122" s="179">
        <v>2749</v>
      </c>
      <c r="B122" s="180" t="str">
        <f>VLOOKUP(A122,'0919門市清單主檔'!B:C,2,FALSE)</f>
        <v>淡水灰瑤子</v>
      </c>
      <c r="C122" s="181" t="str">
        <f>VLOOKUP($A122,'0919門市清單主檔'!B:V,20,FALSE)</f>
        <v>新北市</v>
      </c>
      <c r="D122" s="182" t="str">
        <f>VLOOKUP($A122,'0919門市清單主檔'!B:V,21,FALSE)</f>
        <v>淡水區</v>
      </c>
      <c r="E122" s="183" t="str">
        <f>VLOOKUP(D122,區域表!A:B,2,FALSE)</f>
        <v>吳宗鴻</v>
      </c>
      <c r="F122" s="184" t="str">
        <f>IFERROR(IF(VLOOKUP(A122,門市狀態!A:D,4,FALSE)=0,"",VLOOKUP(A122,門市狀態!A:D,4,FALSE)),"")</f>
        <v/>
      </c>
      <c r="G122" s="185" t="s">
        <v>1746</v>
      </c>
      <c r="H122" s="186" t="str">
        <f t="shared" si="22"/>
        <v>-2749-淡水灰瑤子(定保)</v>
      </c>
      <c r="I122" s="190" t="s">
        <v>1746</v>
      </c>
      <c r="J122" s="188" t="str" cm="1">
        <f t="array" ref="J122">IFERROR(INDEX(IM!$X$2:$X$650, MATCH(1, (IM!$F$2:$F$650=A122) * (ISNUMBER(SEARCH($C$1, IM!$AC$2:$AC$650))), 0)), "")</f>
        <v/>
      </c>
      <c r="K122" s="159">
        <f>COUNTIFS(IM!F:F,A122,IM!AD:AD,"O",IM!X:X,"&gt;="&amp;$A$1,IM!X:X,"&lt;="&amp;$B$1)</f>
        <v>0</v>
      </c>
      <c r="L122" s="228" t="str" cm="1">
        <f t="array" ref="L122">IF(K122&gt;0,IFERROR(HYPERLINK("#'IM'!AC"&amp;MATCH(1,(IM!$F$1:$F$7700=A122)*(ISNUMBER(SEARCH("PMQ2",IM!$AC$1:$AC$7700))),0),"檢核"),"未登錄"),"")</f>
        <v/>
      </c>
      <c r="M122" s="230" t="str" cm="1">
        <f t="array" ref="M122">IF(AND(SUMPRODUCT((IM!F2:F731=A122)*(ISNUMBER(SEARCH("EDC", IM!AC2:AC731))))&gt;0), "EDC", "")</f>
        <v/>
      </c>
      <c r="N122" s="264" t="str" cm="1">
        <f t="array" ref="N122">IF(AND(SUMPRODUCT((IM!F2:F731=A122)*(ISNUMBER(SEARCH("STAR", IM!AC2:AC731))))&gt;0), "STAR", "")</f>
        <v/>
      </c>
      <c r="O122" s="256" t="str" cm="1">
        <f t="array" ref="O122">IFERROR(INDEX(IM!$X$2:$X$650, MATCH(1, (IM!$F$2:$F$650=A122) * (ISNUMBER(SEARCH($D$1, IM!$AC$2:$AC$650))), 0)), "")</f>
        <v/>
      </c>
      <c r="P122" s="191" t="str">
        <f t="shared" si="23"/>
        <v>-2749-淡水灰瑤子(定保)</v>
      </c>
      <c r="Q122" s="140"/>
      <c r="R122" s="140"/>
      <c r="S122" s="140"/>
      <c r="T122" s="140"/>
      <c r="U122" s="258">
        <f t="shared" si="24"/>
        <v>2</v>
      </c>
      <c r="V122" s="246" t="str">
        <f t="shared" si="25"/>
        <v>未到店</v>
      </c>
      <c r="W122" s="3" t="s">
        <v>4255</v>
      </c>
      <c r="X122" s="5" t="s">
        <v>4256</v>
      </c>
      <c r="Y122" s="5" t="str">
        <f t="shared" si="27"/>
        <v>STAR</v>
      </c>
    </row>
    <row r="123" spans="1:25" ht="15.75" customHeight="1">
      <c r="A123" s="179">
        <v>4511</v>
      </c>
      <c r="B123" s="180" t="str">
        <f>VLOOKUP(A123,'0919門市清單主檔'!B:C,2,FALSE)</f>
        <v>淡水屯山店</v>
      </c>
      <c r="C123" s="181" t="str">
        <f>VLOOKUP($A123,'0919門市清單主檔'!B:V,20,FALSE)</f>
        <v>新北市</v>
      </c>
      <c r="D123" s="182" t="str">
        <f>VLOOKUP($A123,'0919門市清單主檔'!B:V,21,FALSE)</f>
        <v>淡水區</v>
      </c>
      <c r="E123" s="183" t="str">
        <f>VLOOKUP(D123,區域表!A:B,2,FALSE)</f>
        <v>吳宗鴻</v>
      </c>
      <c r="F123" s="184" t="str">
        <f>IFERROR(IF(VLOOKUP(A123,門市狀態!A:D,4,FALSE)=0,"",VLOOKUP(A123,門市狀態!A:D,4,FALSE)),"")</f>
        <v/>
      </c>
      <c r="G123" s="185" t="s">
        <v>1746</v>
      </c>
      <c r="H123" s="186" t="str">
        <f t="shared" si="22"/>
        <v>-4511-淡水屯山店(定保)</v>
      </c>
      <c r="I123" s="190" t="s">
        <v>1746</v>
      </c>
      <c r="J123" s="188" t="str" cm="1">
        <f t="array" ref="J123">IFERROR(INDEX(IM!$X$2:$X$650, MATCH(1, (IM!$F$2:$F$650=A123) * (ISNUMBER(SEARCH($C$1, IM!$AC$2:$AC$650))), 0)), "")</f>
        <v/>
      </c>
      <c r="K123" s="159">
        <f>COUNTIFS(IM!F:F,A123,IM!AD:AD,"O",IM!X:X,"&gt;="&amp;$A$1,IM!X:X,"&lt;="&amp;$B$1)</f>
        <v>0</v>
      </c>
      <c r="L123" s="228" t="str" cm="1">
        <f t="array" ref="L123">IF(K123&gt;0,IFERROR(HYPERLINK("#'IM'!AC"&amp;MATCH(1,(IM!$F$1:$F$7700=A123)*(ISNUMBER(SEARCH("PMQ2",IM!$AC$1:$AC$7700))),0),"檢核"),"未登錄"),"")</f>
        <v/>
      </c>
      <c r="M123" s="230" t="str" cm="1">
        <f t="array" ref="M123">IF(AND(SUMPRODUCT((IM!F2:F732=A123)*(ISNUMBER(SEARCH("EDC", IM!AC2:AC732))))&gt;0), "EDC", "")</f>
        <v/>
      </c>
      <c r="N123" s="264" t="str" cm="1">
        <f t="array" ref="N123">IF(AND(SUMPRODUCT((IM!F2:F732=A123)*(ISNUMBER(SEARCH("STAR", IM!AC2:AC732))))&gt;0), "STAR", "")</f>
        <v/>
      </c>
      <c r="O123" s="256" t="str" cm="1">
        <f t="array" ref="O123">IFERROR(INDEX(IM!$X$2:$X$650, MATCH(1, (IM!$F$2:$F$650=A123) * (ISNUMBER(SEARCH($D$1, IM!$AC$2:$AC$650))), 0)), "")</f>
        <v/>
      </c>
      <c r="P123" s="191" t="str">
        <f t="shared" si="23"/>
        <v>-4511-淡水屯山店(定保)</v>
      </c>
      <c r="Q123" s="140"/>
      <c r="R123" s="140"/>
      <c r="S123" s="140"/>
      <c r="T123" s="140"/>
      <c r="U123" s="258">
        <f t="shared" si="24"/>
        <v>0</v>
      </c>
      <c r="V123" s="246" t="str">
        <f t="shared" si="25"/>
        <v>未到店</v>
      </c>
      <c r="X123" s="5"/>
      <c r="Y123" s="5" t="str">
        <f t="shared" si="27"/>
        <v/>
      </c>
    </row>
    <row r="124" spans="1:25" ht="15.75" customHeight="1">
      <c r="A124" s="179">
        <v>2237</v>
      </c>
      <c r="B124" s="180" t="str">
        <f>VLOOKUP(A124,'0919門市清單主檔'!B:C,2,FALSE)</f>
        <v>北縣芝蘭店</v>
      </c>
      <c r="C124" s="181" t="str">
        <f>VLOOKUP($A124,'0919門市清單主檔'!B:V,20,FALSE)</f>
        <v>新北市</v>
      </c>
      <c r="D124" s="182" t="str">
        <f>VLOOKUP($A124,'0919門市清單主檔'!B:V,21,FALSE)</f>
        <v>三芝區</v>
      </c>
      <c r="E124" s="183" t="str">
        <f>VLOOKUP(D124,區域表!A:B,2,FALSE)</f>
        <v>吳宗鴻</v>
      </c>
      <c r="F124" s="184" t="str">
        <f>IFERROR(IF(VLOOKUP(A124,門市狀態!A:D,4,FALSE)=0,"",VLOOKUP(A124,門市狀態!A:D,4,FALSE)),"")</f>
        <v/>
      </c>
      <c r="G124" s="185" t="s">
        <v>1746</v>
      </c>
      <c r="H124" s="186" t="str">
        <f t="shared" si="22"/>
        <v>-2237-北縣芝蘭店(定保)</v>
      </c>
      <c r="I124" s="190" t="s">
        <v>1746</v>
      </c>
      <c r="J124" s="188" t="str" cm="1">
        <f t="array" ref="J124">IFERROR(INDEX(IM!$X$2:$X$650, MATCH(1, (IM!$F$2:$F$650=A124) * (ISNUMBER(SEARCH($C$1, IM!$AC$2:$AC$650))), 0)), "")</f>
        <v/>
      </c>
      <c r="K124" s="159">
        <f>COUNTIFS(IM!F:F,A124,IM!AD:AD,"O",IM!X:X,"&gt;="&amp;$A$1,IM!X:X,"&lt;="&amp;$B$1)</f>
        <v>0</v>
      </c>
      <c r="L124" s="228" t="str" cm="1">
        <f t="array" ref="L124">IF(K124&gt;0,IFERROR(HYPERLINK("#'IM'!AC"&amp;MATCH(1,(IM!$F$1:$F$7700=A124)*(ISNUMBER(SEARCH("PMQ2",IM!$AC$1:$AC$7700))),0),"檢核"),"未登錄"),"")</f>
        <v/>
      </c>
      <c r="M124" s="230" t="str" cm="1">
        <f t="array" ref="M124">IF(AND(SUMPRODUCT((IM!F2:F733=A124)*(ISNUMBER(SEARCH("EDC", IM!AC2:AC733))))&gt;0), "EDC", "")</f>
        <v/>
      </c>
      <c r="N124" s="264" t="str" cm="1">
        <f t="array" ref="N124">IF(AND(SUMPRODUCT((IM!F2:F733=A124)*(ISNUMBER(SEARCH("STAR", IM!AC2:AC733))))&gt;0), "STAR", "")</f>
        <v/>
      </c>
      <c r="O124" s="256" t="str" cm="1">
        <f t="array" ref="O124">IFERROR(INDEX(IM!$X$2:$X$650, MATCH(1, (IM!$F$2:$F$650=A124) * (ISNUMBER(SEARCH($D$1, IM!$AC$2:$AC$650))), 0)), "")</f>
        <v/>
      </c>
      <c r="P124" s="191" t="str">
        <f t="shared" si="23"/>
        <v>-2237-北縣芝蘭店(定保)</v>
      </c>
      <c r="Q124" s="140"/>
      <c r="R124" s="140"/>
      <c r="S124" s="140"/>
      <c r="T124" s="140"/>
      <c r="U124" s="258">
        <f t="shared" si="24"/>
        <v>2</v>
      </c>
      <c r="V124" s="246" t="str">
        <f t="shared" si="25"/>
        <v>未到店</v>
      </c>
      <c r="W124" s="3" t="s">
        <v>4257</v>
      </c>
      <c r="X124" s="5" t="s">
        <v>4258</v>
      </c>
      <c r="Y124" s="5" t="str">
        <f t="shared" si="27"/>
        <v>STAR</v>
      </c>
    </row>
    <row r="125" spans="1:25" ht="15.75" customHeight="1">
      <c r="A125" s="179">
        <v>3921</v>
      </c>
      <c r="B125" s="180" t="str">
        <f>VLOOKUP(A125,'0919門市清單主檔'!B:C,2,FALSE)</f>
        <v>五股福鑫店</v>
      </c>
      <c r="C125" s="181" t="str">
        <f>VLOOKUP($A125,'0919門市清單主檔'!B:V,20,FALSE)</f>
        <v>新北市</v>
      </c>
      <c r="D125" s="182" t="str">
        <f>VLOOKUP($A125,'0919門市清單主檔'!B:V,21,FALSE)</f>
        <v>五股區</v>
      </c>
      <c r="E125" s="183" t="str">
        <f>VLOOKUP(D125,區域表!A:B,2,FALSE)</f>
        <v>湯家瑋</v>
      </c>
      <c r="F125" s="184" t="str">
        <f>IFERROR(IF(VLOOKUP(A125,門市狀態!A:D,4,FALSE)=0,"",VLOOKUP(A125,門市狀態!A:D,4,FALSE)),"")</f>
        <v/>
      </c>
      <c r="G125" s="185" t="s">
        <v>1746</v>
      </c>
      <c r="H125" s="186" t="str">
        <f t="shared" si="22"/>
        <v>-3921-五股福鑫店(定保)</v>
      </c>
      <c r="I125" s="190" t="s">
        <v>1746</v>
      </c>
      <c r="J125" s="188" t="str" cm="1">
        <f t="array" ref="J125">IFERROR(INDEX(IM!$X$2:$X$650, MATCH(1, (IM!$F$2:$F$650=A125) * (ISNUMBER(SEARCH($C$1, IM!$AC$2:$AC$650))), 0)), "")</f>
        <v/>
      </c>
      <c r="K125" s="159">
        <f>COUNTIFS(IM!F:F,A125,IM!AD:AD,"O",IM!X:X,"&gt;="&amp;$A$1,IM!X:X,"&lt;="&amp;$B$1)</f>
        <v>0</v>
      </c>
      <c r="L125" s="228" t="str" cm="1">
        <f t="array" ref="L125">IF(K125&gt;0,IFERROR(HYPERLINK("#'IM'!AC"&amp;MATCH(1,(IM!$F$1:$F$7700=A125)*(ISNUMBER(SEARCH("PMQ2",IM!$AC$1:$AC$7700))),0),"檢核"),"未登錄"),"")</f>
        <v/>
      </c>
      <c r="M125" s="230" t="str" cm="1">
        <f t="array" ref="M125">IF(AND(SUMPRODUCT((IM!F2:F734=A125)*(ISNUMBER(SEARCH("EDC", IM!AC2:AC734))))&gt;0), "EDC", "")</f>
        <v/>
      </c>
      <c r="N125" s="264" t="str" cm="1">
        <f t="array" ref="N125">IF(AND(SUMPRODUCT((IM!F2:F734=A125)*(ISNUMBER(SEARCH("STAR", IM!AC2:AC734))))&gt;0), "STAR", "")</f>
        <v/>
      </c>
      <c r="O125" s="256" t="str" cm="1">
        <f t="array" ref="O125">IFERROR(INDEX(IM!$X$2:$X$650, MATCH(1, (IM!$F$2:$F$650=A125) * (ISNUMBER(SEARCH($D$1, IM!$AC$2:$AC$650))), 0)), "")</f>
        <v/>
      </c>
      <c r="P125" s="191" t="str">
        <f t="shared" si="23"/>
        <v>-3921-五股福鑫店(定保)</v>
      </c>
      <c r="Q125" s="140"/>
      <c r="R125" s="140"/>
      <c r="S125" s="140"/>
      <c r="T125" s="140"/>
      <c r="U125" s="258">
        <f t="shared" si="24"/>
        <v>2</v>
      </c>
      <c r="V125" s="246" t="str">
        <f t="shared" si="25"/>
        <v>未到店</v>
      </c>
      <c r="W125" s="3" t="s">
        <v>4259</v>
      </c>
      <c r="X125" s="5" t="s">
        <v>4260</v>
      </c>
      <c r="Y125" s="5" t="str">
        <f t="shared" si="27"/>
        <v>STAR</v>
      </c>
    </row>
    <row r="126" spans="1:25" ht="15.75" customHeight="1">
      <c r="A126" s="179">
        <v>4316</v>
      </c>
      <c r="B126" s="180" t="str">
        <f>VLOOKUP(A126,'0919門市清單主檔'!B:C,2,FALSE)</f>
        <v>五股工商店</v>
      </c>
      <c r="C126" s="181" t="str">
        <f>VLOOKUP($A126,'0919門市清單主檔'!B:V,20,FALSE)</f>
        <v>新北市</v>
      </c>
      <c r="D126" s="182" t="str">
        <f>VLOOKUP($A126,'0919門市清單主檔'!B:V,21,FALSE)</f>
        <v>五股區</v>
      </c>
      <c r="E126" s="183" t="str">
        <f>VLOOKUP(D126,區域表!A:B,2,FALSE)</f>
        <v>湯家瑋</v>
      </c>
      <c r="F126" s="184" t="str">
        <f>IFERROR(IF(VLOOKUP(A126,門市狀態!A:D,4,FALSE)=0,"",VLOOKUP(A126,門市狀態!A:D,4,FALSE)),"")</f>
        <v/>
      </c>
      <c r="G126" s="185" t="s">
        <v>1746</v>
      </c>
      <c r="H126" s="186" t="str">
        <f t="shared" si="22"/>
        <v>-4316-五股工商店(定保)</v>
      </c>
      <c r="I126" s="190" t="s">
        <v>1746</v>
      </c>
      <c r="J126" s="188" t="str" cm="1">
        <f t="array" ref="J126">IFERROR(INDEX(IM!$X$2:$X$650, MATCH(1, (IM!$F$2:$F$650=A126) * (ISNUMBER(SEARCH($C$1, IM!$AC$2:$AC$650))), 0)), "")</f>
        <v/>
      </c>
      <c r="K126" s="159">
        <f>COUNTIFS(IM!F:F,A126,IM!AD:AD,"O",IM!X:X,"&gt;="&amp;$A$1,IM!X:X,"&lt;="&amp;$B$1)</f>
        <v>0</v>
      </c>
      <c r="L126" s="228" t="str" cm="1">
        <f t="array" ref="L126">IF(K126&gt;0,IFERROR(HYPERLINK("#'IM'!AC"&amp;MATCH(1,(IM!$F$1:$F$7700=A126)*(ISNUMBER(SEARCH("PMQ2",IM!$AC$1:$AC$7700))),0),"檢核"),"未登錄"),"")</f>
        <v/>
      </c>
      <c r="M126" s="230" t="str" cm="1">
        <f t="array" ref="M126">IF(AND(SUMPRODUCT((IM!F2:F735=A126)*(ISNUMBER(SEARCH("EDC", IM!AC2:AC735))))&gt;0), "EDC", "")</f>
        <v/>
      </c>
      <c r="N126" s="264" t="str" cm="1">
        <f t="array" ref="N126">IF(AND(SUMPRODUCT((IM!F2:F735=A126)*(ISNUMBER(SEARCH("STAR", IM!AC2:AC735))))&gt;0), "STAR", "")</f>
        <v>STAR</v>
      </c>
      <c r="O126" s="256" cm="1">
        <f t="array" ref="O126">IFERROR(INDEX(IM!$X$2:$X$650, MATCH(1, (IM!$F$2:$F$650=A126) * (ISNUMBER(SEARCH($D$1, IM!$AC$2:$AC$650))), 0)), "")</f>
        <v>45726.465277777781</v>
      </c>
      <c r="P126" s="191" t="str">
        <f t="shared" si="23"/>
        <v>-4316-五股工商店(定保)</v>
      </c>
      <c r="Q126" s="140"/>
      <c r="R126" s="140"/>
      <c r="S126" s="140"/>
      <c r="T126" s="140"/>
      <c r="U126" s="258">
        <f t="shared" si="24"/>
        <v>0</v>
      </c>
      <c r="V126" s="246" t="str">
        <f t="shared" si="25"/>
        <v>未到店</v>
      </c>
      <c r="X126" s="5"/>
      <c r="Y126" s="286" t="s">
        <v>5036</v>
      </c>
    </row>
    <row r="127" spans="1:25" ht="15.75" customHeight="1">
      <c r="A127" s="179">
        <v>4844</v>
      </c>
      <c r="B127" s="180" t="str">
        <f>VLOOKUP(A127,'0919門市清單主檔'!B:C,2,FALSE)</f>
        <v>三芝天涯店</v>
      </c>
      <c r="C127" s="181" t="str">
        <f>VLOOKUP($A127,'0919門市清單主檔'!B:V,20,FALSE)</f>
        <v>新北市</v>
      </c>
      <c r="D127" s="182" t="str">
        <f>VLOOKUP($A127,'0919門市清單主檔'!B:V,21,FALSE)</f>
        <v>三芝區</v>
      </c>
      <c r="E127" s="183" t="str">
        <f>VLOOKUP(D127,區域表!A:B,2,FALSE)</f>
        <v>吳宗鴻</v>
      </c>
      <c r="F127" s="184" t="str">
        <f>IFERROR(IF(VLOOKUP(A127,門市狀態!A:D,4,FALSE)=0,"",VLOOKUP(A127,門市狀態!A:D,4,FALSE)),"")</f>
        <v/>
      </c>
      <c r="G127" s="185" t="s">
        <v>1746</v>
      </c>
      <c r="H127" s="186" t="str">
        <f t="shared" si="22"/>
        <v>-4844-三芝天涯店(定保)</v>
      </c>
      <c r="I127" s="190" t="s">
        <v>1746</v>
      </c>
      <c r="J127" s="188" t="str" cm="1">
        <f t="array" ref="J127">IFERROR(INDEX(IM!$X$2:$X$650, MATCH(1, (IM!$F$2:$F$650=A127) * (ISNUMBER(SEARCH($C$1, IM!$AC$2:$AC$650))), 0)), "")</f>
        <v/>
      </c>
      <c r="K127" s="159">
        <f>COUNTIFS(IM!F:F,A127,IM!AD:AD,"O",IM!X:X,"&gt;="&amp;$A$1,IM!X:X,"&lt;="&amp;$B$1)</f>
        <v>0</v>
      </c>
      <c r="L127" s="228" t="str" cm="1">
        <f t="array" ref="L127">IF(K127&gt;0,IFERROR(HYPERLINK("#'IM'!AC"&amp;MATCH(1,(IM!$F$1:$F$7700=A127)*(ISNUMBER(SEARCH("PMQ2",IM!$AC$1:$AC$7700))),0),"檢核"),"未登錄"),"")</f>
        <v/>
      </c>
      <c r="M127" s="230" t="str" cm="1">
        <f t="array" ref="M127">IF(AND(SUMPRODUCT((IM!F2:F736=A127)*(ISNUMBER(SEARCH("EDC", IM!AC2:AC736))))&gt;0), "EDC", "")</f>
        <v/>
      </c>
      <c r="N127" s="264" t="str" cm="1">
        <f t="array" ref="N127">IF(AND(SUMPRODUCT((IM!F2:F736=A127)*(ISNUMBER(SEARCH("STAR", IM!AC2:AC736))))&gt;0), "STAR", "")</f>
        <v/>
      </c>
      <c r="O127" s="256" t="str" cm="1">
        <f t="array" ref="O127">IFERROR(INDEX(IM!$X$2:$X$650, MATCH(1, (IM!$F$2:$F$650=A127) * (ISNUMBER(SEARCH($D$1, IM!$AC$2:$AC$650))), 0)), "")</f>
        <v/>
      </c>
      <c r="P127" s="191" t="str">
        <f t="shared" si="23"/>
        <v>-4844-三芝天涯店(定保)</v>
      </c>
      <c r="Q127" s="140"/>
      <c r="R127" s="140"/>
      <c r="S127" s="140"/>
      <c r="T127" s="140"/>
      <c r="U127" s="258">
        <f t="shared" si="24"/>
        <v>0</v>
      </c>
      <c r="V127" s="246" t="str">
        <f t="shared" si="25"/>
        <v>未到店</v>
      </c>
      <c r="X127" s="5"/>
      <c r="Y127" s="5" t="str">
        <f t="shared" ref="Y127:Y158" si="28">IF(U127&gt;0,"STAR","")</f>
        <v/>
      </c>
    </row>
    <row r="128" spans="1:25" ht="15.75" customHeight="1">
      <c r="A128" s="179">
        <v>4538</v>
      </c>
      <c r="B128" s="180" t="str">
        <f>VLOOKUP(A128,'0919門市清單主檔'!B:C,2,FALSE)</f>
        <v>林口童樂店</v>
      </c>
      <c r="C128" s="181" t="str">
        <f>VLOOKUP($A128,'0919門市清單主檔'!B:V,20,FALSE)</f>
        <v>新北市</v>
      </c>
      <c r="D128" s="182" t="str">
        <f>VLOOKUP($A128,'0919門市清單主檔'!B:V,21,FALSE)</f>
        <v>林口區</v>
      </c>
      <c r="E128" s="183" t="str">
        <f>VLOOKUP(D128,區域表!A:B,2,FALSE)</f>
        <v>湯家瑋</v>
      </c>
      <c r="F128" s="184" t="str">
        <f>IFERROR(IF(VLOOKUP(A128,門市狀態!A:D,4,FALSE)=0,"",VLOOKUP(A128,門市狀態!A:D,4,FALSE)),"")</f>
        <v/>
      </c>
      <c r="G128" s="185" t="s">
        <v>1746</v>
      </c>
      <c r="H128" s="186" t="str">
        <f t="shared" si="22"/>
        <v>-4538-林口童樂店(定保)</v>
      </c>
      <c r="I128" s="190" t="s">
        <v>1746</v>
      </c>
      <c r="J128" s="188" t="str" cm="1">
        <f t="array" ref="J128">IFERROR(INDEX(IM!$X$2:$X$650, MATCH(1, (IM!$F$2:$F$650=A128) * (ISNUMBER(SEARCH($C$1, IM!$AC$2:$AC$650))), 0)), "")</f>
        <v/>
      </c>
      <c r="K128" s="159">
        <f>COUNTIFS(IM!F:F,A128,IM!AD:AD,"O",IM!X:X,"&gt;="&amp;$A$1,IM!X:X,"&lt;="&amp;$B$1)</f>
        <v>0</v>
      </c>
      <c r="L128" s="228" t="str" cm="1">
        <f t="array" ref="L128">IF(K128&gt;0,IFERROR(HYPERLINK("#'IM'!AC"&amp;MATCH(1,(IM!$F$1:$F$7700=A128)*(ISNUMBER(SEARCH("PMQ2",IM!$AC$1:$AC$7700))),0),"檢核"),"未登錄"),"")</f>
        <v/>
      </c>
      <c r="M128" s="230" t="str" cm="1">
        <f t="array" ref="M128">IF(AND(SUMPRODUCT((IM!F2:F737=A128)*(ISNUMBER(SEARCH("EDC", IM!AC2:AC737))))&gt;0), "EDC", "")</f>
        <v/>
      </c>
      <c r="N128" s="264" t="str" cm="1">
        <f t="array" ref="N128">IF(AND(SUMPRODUCT((IM!F2:F737=A128)*(ISNUMBER(SEARCH("STAR", IM!AC2:AC737))))&gt;0), "STAR", "")</f>
        <v/>
      </c>
      <c r="O128" s="256" t="str" cm="1">
        <f t="array" ref="O128">IFERROR(INDEX(IM!$X$2:$X$650, MATCH(1, (IM!$F$2:$F$650=A128) * (ISNUMBER(SEARCH($D$1, IM!$AC$2:$AC$650))), 0)), "")</f>
        <v/>
      </c>
      <c r="P128" s="191" t="str">
        <f t="shared" si="23"/>
        <v>-4538-林口童樂店(定保)</v>
      </c>
      <c r="Q128" s="140"/>
      <c r="R128" s="140"/>
      <c r="S128" s="140"/>
      <c r="T128" s="140"/>
      <c r="U128" s="258">
        <f t="shared" si="24"/>
        <v>0</v>
      </c>
      <c r="V128" s="246" t="str">
        <f t="shared" si="25"/>
        <v>未到店</v>
      </c>
      <c r="X128" s="5"/>
      <c r="Y128" s="5" t="str">
        <f t="shared" si="28"/>
        <v/>
      </c>
    </row>
    <row r="129" spans="1:25" ht="15.75" customHeight="1">
      <c r="A129" s="179">
        <v>4514</v>
      </c>
      <c r="B129" s="180" t="str">
        <f>VLOOKUP(A129,'0919門市清單主檔'!B:C,2,FALSE)</f>
        <v>林口老師店</v>
      </c>
      <c r="C129" s="181" t="str">
        <f>VLOOKUP($A129,'0919門市清單主檔'!B:V,20,FALSE)</f>
        <v>新北市</v>
      </c>
      <c r="D129" s="182" t="str">
        <f>VLOOKUP($A129,'0919門市清單主檔'!B:V,21,FALSE)</f>
        <v>林口區</v>
      </c>
      <c r="E129" s="183" t="str">
        <f>VLOOKUP(D129,區域表!A:B,2,FALSE)</f>
        <v>湯家瑋</v>
      </c>
      <c r="F129" s="184" t="str">
        <f>IFERROR(IF(VLOOKUP(A129,門市狀態!A:D,4,FALSE)=0,"",VLOOKUP(A129,門市狀態!A:D,4,FALSE)),"")</f>
        <v/>
      </c>
      <c r="G129" s="185" t="s">
        <v>1746</v>
      </c>
      <c r="H129" s="186" t="str">
        <f t="shared" si="22"/>
        <v>-4514-林口老師店(定保)</v>
      </c>
      <c r="I129" s="190" t="s">
        <v>1746</v>
      </c>
      <c r="J129" s="188" t="str" cm="1">
        <f t="array" ref="J129">IFERROR(INDEX(IM!$X$2:$X$650, MATCH(1, (IM!$F$2:$F$650=A129) * (ISNUMBER(SEARCH($C$1, IM!$AC$2:$AC$650))), 0)), "")</f>
        <v/>
      </c>
      <c r="K129" s="159">
        <f>COUNTIFS(IM!F:F,A129,IM!AD:AD,"O",IM!X:X,"&gt;="&amp;$A$1,IM!X:X,"&lt;="&amp;$B$1)</f>
        <v>0</v>
      </c>
      <c r="L129" s="228" t="str" cm="1">
        <f t="array" ref="L129">IF(K129&gt;0,IFERROR(HYPERLINK("#'IM'!AC"&amp;MATCH(1,(IM!$F$1:$F$7700=A129)*(ISNUMBER(SEARCH("PMQ2",IM!$AC$1:$AC$7700))),0),"檢核"),"未登錄"),"")</f>
        <v/>
      </c>
      <c r="M129" s="230" t="str" cm="1">
        <f t="array" ref="M129">IF(AND(SUMPRODUCT((IM!F2:F739=A129)*(ISNUMBER(SEARCH("EDC", IM!AC2:AC739))))&gt;0), "EDC", "")</f>
        <v/>
      </c>
      <c r="N129" s="264" t="str" cm="1">
        <f t="array" ref="N129">IF(AND(SUMPRODUCT((IM!F2:F739=A129)*(ISNUMBER(SEARCH("STAR", IM!AC2:AC739))))&gt;0), "STAR", "")</f>
        <v/>
      </c>
      <c r="O129" s="256" t="str" cm="1">
        <f t="array" ref="O129">IFERROR(INDEX(IM!$X$2:$X$650, MATCH(1, (IM!$F$2:$F$650=A129) * (ISNUMBER(SEARCH($D$1, IM!$AC$2:$AC$650))), 0)), "")</f>
        <v/>
      </c>
      <c r="P129" s="191" t="str">
        <f t="shared" si="23"/>
        <v>-4514-林口老師店(定保)</v>
      </c>
      <c r="Q129" s="140"/>
      <c r="R129" s="140"/>
      <c r="S129" s="140"/>
      <c r="T129" s="140"/>
      <c r="U129" s="258">
        <f t="shared" si="24"/>
        <v>0</v>
      </c>
      <c r="V129" s="246" t="str">
        <f t="shared" si="25"/>
        <v>未到店</v>
      </c>
      <c r="X129" s="5"/>
      <c r="Y129" s="5" t="str">
        <f t="shared" si="28"/>
        <v/>
      </c>
    </row>
    <row r="130" spans="1:25" ht="15.75" customHeight="1">
      <c r="A130" s="179">
        <v>2109</v>
      </c>
      <c r="B130" s="180" t="str">
        <f>VLOOKUP(A130,'0919門市清單主檔'!B:C,2,FALSE)</f>
        <v>北縣瓊林南店</v>
      </c>
      <c r="C130" s="181" t="str">
        <f>VLOOKUP($A130,'0919門市清單主檔'!B:V,20,FALSE)</f>
        <v>新北市</v>
      </c>
      <c r="D130" s="182" t="str">
        <f>VLOOKUP($A130,'0919門市清單主檔'!B:V,21,FALSE)</f>
        <v>新莊區</v>
      </c>
      <c r="E130" s="183" t="str">
        <f>VLOOKUP(D130,區域表!A:B,2,FALSE)</f>
        <v>湯家瑋</v>
      </c>
      <c r="F130" s="184" t="str">
        <f>IFERROR(IF(VLOOKUP(A130,門市狀態!A:D,4,FALSE)=0,"",VLOOKUP(A130,門市狀態!A:D,4,FALSE)),"")</f>
        <v/>
      </c>
      <c r="G130" s="185" t="s">
        <v>1746</v>
      </c>
      <c r="H130" s="186" t="str">
        <f t="shared" si="22"/>
        <v>-2109-北縣瓊林南店(定保)</v>
      </c>
      <c r="I130" s="190" t="s">
        <v>1746</v>
      </c>
      <c r="J130" s="188" t="str" cm="1">
        <f t="array" ref="J130">IFERROR(INDEX(IM!$X$2:$X$650, MATCH(1, (IM!$F$2:$F$650=A130) * (ISNUMBER(SEARCH($C$1, IM!$AC$2:$AC$650))), 0)), "")</f>
        <v/>
      </c>
      <c r="K130" s="159">
        <f>COUNTIFS(IM!F:F,A130,IM!AD:AD,"O",IM!X:X,"&gt;="&amp;$A$1,IM!X:X,"&lt;="&amp;$B$1)</f>
        <v>0</v>
      </c>
      <c r="L130" s="228" t="str" cm="1">
        <f t="array" ref="L130">IF(K130&gt;0,IFERROR(HYPERLINK("#'IM'!AC"&amp;MATCH(1,(IM!$F$1:$F$7700=A130)*(ISNUMBER(SEARCH("PMQ2",IM!$AC$1:$AC$7700))),0),"檢核"),"未登錄"),"")</f>
        <v/>
      </c>
      <c r="M130" s="230" t="str" cm="1">
        <f t="array" ref="M130">IF(AND(SUMPRODUCT((IM!F2:F742=A130)*(ISNUMBER(SEARCH("EDC", IM!AC2:AC742))))&gt;0), "EDC", "")</f>
        <v/>
      </c>
      <c r="N130" s="264" t="str" cm="1">
        <f t="array" ref="N130">IF(AND(SUMPRODUCT((IM!F2:F742=A130)*(ISNUMBER(SEARCH("STAR", IM!AC2:AC742))))&gt;0), "STAR", "")</f>
        <v/>
      </c>
      <c r="O130" s="256" t="str" cm="1">
        <f t="array" ref="O130">IFERROR(INDEX(IM!$X$2:$X$650, MATCH(1, (IM!$F$2:$F$650=A130) * (ISNUMBER(SEARCH($D$1, IM!$AC$2:$AC$650))), 0)), "")</f>
        <v/>
      </c>
      <c r="P130" s="191" t="str">
        <f t="shared" si="23"/>
        <v>-2109-北縣瓊林南店(定保)</v>
      </c>
      <c r="Q130" s="140"/>
      <c r="R130" s="140"/>
      <c r="S130" s="140"/>
      <c r="T130" s="140"/>
      <c r="U130" s="258">
        <f t="shared" si="24"/>
        <v>2</v>
      </c>
      <c r="V130" s="246" t="str">
        <f t="shared" si="25"/>
        <v>未到店</v>
      </c>
      <c r="W130" s="3" t="s">
        <v>4265</v>
      </c>
      <c r="X130" s="5" t="s">
        <v>4266</v>
      </c>
      <c r="Y130" s="5" t="str">
        <f t="shared" si="28"/>
        <v>STAR</v>
      </c>
    </row>
    <row r="131" spans="1:25" ht="15.75" customHeight="1">
      <c r="A131" s="179" t="s">
        <v>22</v>
      </c>
      <c r="B131" s="180" t="str">
        <f>VLOOKUP(A131,'0919門市清單主檔'!B:C,2,FALSE)</f>
        <v>三重中興北</v>
      </c>
      <c r="C131" s="181" t="str">
        <f>VLOOKUP($A131,'0919門市清單主檔'!B:V,20,FALSE)</f>
        <v>新北市</v>
      </c>
      <c r="D131" s="182" t="str">
        <f>VLOOKUP($A131,'0919門市清單主檔'!B:V,21,FALSE)</f>
        <v>三重區</v>
      </c>
      <c r="E131" s="183" t="str">
        <f>VLOOKUP(D131,區域表!A:B,2,FALSE)</f>
        <v>吳宗鴻</v>
      </c>
      <c r="F131" s="184" t="str">
        <f>IFERROR(IF(VLOOKUP(A131,門市狀態!A:D,4,FALSE)=0,"",VLOOKUP(A131,門市狀態!A:D,4,FALSE)),"")</f>
        <v/>
      </c>
      <c r="G131" s="185" t="s">
        <v>1746</v>
      </c>
      <c r="H131" s="186" t="str">
        <f t="shared" si="22"/>
        <v>-D087-三重中興北(定保)</v>
      </c>
      <c r="I131" s="190" t="s">
        <v>1746</v>
      </c>
      <c r="J131" s="188" t="str" cm="1">
        <f t="array" ref="J131">IFERROR(INDEX(IM!$X$2:$X$650, MATCH(1, (IM!$F$2:$F$650=A131) * (ISNUMBER(SEARCH($C$1, IM!$AC$2:$AC$650))), 0)), "")</f>
        <v/>
      </c>
      <c r="K131" s="159">
        <f>COUNTIFS(IM!F:F,A131,IM!AD:AD,"O",IM!X:X,"&gt;="&amp;$A$1,IM!X:X,"&lt;="&amp;$B$1)</f>
        <v>0</v>
      </c>
      <c r="L131" s="228" t="str" cm="1">
        <f t="array" ref="L131">IF(K131&gt;0,IFERROR(HYPERLINK("#'IM'!AC"&amp;MATCH(1,(IM!$F$1:$F$7700=A131)*(ISNUMBER(SEARCH("PMQ2",IM!$AC$1:$AC$7700))),0),"檢核"),"未登錄"),"")</f>
        <v/>
      </c>
      <c r="M131" s="230" t="str" cm="1">
        <f t="array" ref="M131">IF(AND(SUMPRODUCT((IM!F2:F743=A131)*(ISNUMBER(SEARCH("EDC", IM!AC2:AC743))))&gt;0), "EDC", "")</f>
        <v/>
      </c>
      <c r="N131" s="264" t="str" cm="1">
        <f t="array" ref="N131">IF(AND(SUMPRODUCT((IM!F2:F743=A131)*(ISNUMBER(SEARCH("STAR", IM!AC2:AC743))))&gt;0), "STAR", "")</f>
        <v/>
      </c>
      <c r="O131" s="256" t="str" cm="1">
        <f t="array" ref="O131">IFERROR(INDEX(IM!$X$2:$X$650, MATCH(1, (IM!$F$2:$F$650=A131) * (ISNUMBER(SEARCH($D$1, IM!$AC$2:$AC$650))), 0)), "")</f>
        <v/>
      </c>
      <c r="P131" s="191" t="str">
        <f t="shared" si="23"/>
        <v>-D087-三重中興北(定保)</v>
      </c>
      <c r="Q131" s="140"/>
      <c r="R131" s="140"/>
      <c r="S131" s="140"/>
      <c r="T131" s="140"/>
      <c r="U131" s="258">
        <f t="shared" si="24"/>
        <v>1</v>
      </c>
      <c r="V131" s="246" t="str">
        <f t="shared" si="25"/>
        <v>未到店</v>
      </c>
      <c r="X131" s="5" t="s">
        <v>4267</v>
      </c>
      <c r="Y131" s="5" t="str">
        <f t="shared" si="28"/>
        <v>STAR</v>
      </c>
    </row>
    <row r="132" spans="1:25" ht="15.75" customHeight="1">
      <c r="A132" s="179">
        <v>4208</v>
      </c>
      <c r="B132" s="180" t="str">
        <f>VLOOKUP(A132,'0919門市清單主檔'!B:C,2,FALSE)</f>
        <v>新莊瓊泰店</v>
      </c>
      <c r="C132" s="181" t="str">
        <f>VLOOKUP($A132,'0919門市清單主檔'!B:V,20,FALSE)</f>
        <v>新北市</v>
      </c>
      <c r="D132" s="182" t="str">
        <f>VLOOKUP($A132,'0919門市清單主檔'!B:V,21,FALSE)</f>
        <v>新莊區</v>
      </c>
      <c r="E132" s="183" t="str">
        <f>VLOOKUP(D132,區域表!A:B,2,FALSE)</f>
        <v>湯家瑋</v>
      </c>
      <c r="F132" s="184" t="str">
        <f>IFERROR(IF(VLOOKUP(A132,門市狀態!A:D,4,FALSE)=0,"",VLOOKUP(A132,門市狀態!A:D,4,FALSE)),"")</f>
        <v/>
      </c>
      <c r="G132" s="185" t="s">
        <v>1746</v>
      </c>
      <c r="H132" s="186" t="str">
        <f t="shared" si="22"/>
        <v>-4208-新莊瓊泰店(定保)</v>
      </c>
      <c r="I132" s="190" t="s">
        <v>1746</v>
      </c>
      <c r="J132" s="188" t="str" cm="1">
        <f t="array" ref="J132">IFERROR(INDEX(IM!$X$2:$X$650, MATCH(1, (IM!$F$2:$F$650=A132) * (ISNUMBER(SEARCH($C$1, IM!$AC$2:$AC$650))), 0)), "")</f>
        <v/>
      </c>
      <c r="K132" s="159">
        <f>COUNTIFS(IM!F:F,A132,IM!AD:AD,"O",IM!X:X,"&gt;="&amp;$A$1,IM!X:X,"&lt;="&amp;$B$1)</f>
        <v>0</v>
      </c>
      <c r="L132" s="228" t="str" cm="1">
        <f t="array" ref="L132">IF(K132&gt;0,IFERROR(HYPERLINK("#'IM'!AC"&amp;MATCH(1,(IM!$F$1:$F$7700=A132)*(ISNUMBER(SEARCH("PMQ2",IM!$AC$1:$AC$7700))),0),"檢核"),"未登錄"),"")</f>
        <v/>
      </c>
      <c r="M132" s="230" t="str" cm="1">
        <f t="array" ref="M132">IF(AND(SUMPRODUCT((IM!F2:F744=A132)*(ISNUMBER(SEARCH("EDC", IM!AC2:AC744))))&gt;0), "EDC", "")</f>
        <v/>
      </c>
      <c r="N132" s="264" t="str" cm="1">
        <f t="array" ref="N132">IF(AND(SUMPRODUCT((IM!F2:F744=A132)*(ISNUMBER(SEARCH("STAR", IM!AC2:AC744))))&gt;0), "STAR", "")</f>
        <v/>
      </c>
      <c r="O132" s="256" t="str" cm="1">
        <f t="array" ref="O132">IFERROR(INDEX(IM!$X$2:$X$650, MATCH(1, (IM!$F$2:$F$650=A132) * (ISNUMBER(SEARCH($D$1, IM!$AC$2:$AC$650))), 0)), "")</f>
        <v/>
      </c>
      <c r="P132" s="191" t="str">
        <f t="shared" si="23"/>
        <v>-4208-新莊瓊泰店(定保)</v>
      </c>
      <c r="Q132" s="140"/>
      <c r="R132" s="140"/>
      <c r="S132" s="140"/>
      <c r="T132" s="140"/>
      <c r="U132" s="258">
        <f t="shared" si="24"/>
        <v>0</v>
      </c>
      <c r="V132" s="246" t="str">
        <f t="shared" si="25"/>
        <v>未到店</v>
      </c>
      <c r="X132" s="5"/>
      <c r="Y132" s="5" t="str">
        <f t="shared" si="28"/>
        <v/>
      </c>
    </row>
    <row r="133" spans="1:25" ht="15.75" customHeight="1">
      <c r="A133" s="179" t="s">
        <v>23</v>
      </c>
      <c r="B133" s="180" t="str">
        <f>VLOOKUP(A133,'0919門市清單主檔'!B:C,2,FALSE)</f>
        <v>三重中興北二</v>
      </c>
      <c r="C133" s="181" t="str">
        <f>VLOOKUP($A133,'0919門市清單主檔'!B:V,20,FALSE)</f>
        <v>新北市</v>
      </c>
      <c r="D133" s="182" t="str">
        <f>VLOOKUP($A133,'0919門市清單主檔'!B:V,21,FALSE)</f>
        <v>三重區</v>
      </c>
      <c r="E133" s="183" t="str">
        <f>VLOOKUP(D133,區域表!A:B,2,FALSE)</f>
        <v>吳宗鴻</v>
      </c>
      <c r="F133" s="184" t="str">
        <f>IFERROR(IF(VLOOKUP(A133,門市狀態!A:D,4,FALSE)=0,"",VLOOKUP(A133,門市狀態!A:D,4,FALSE)),"")</f>
        <v/>
      </c>
      <c r="G133" s="185" t="s">
        <v>1746</v>
      </c>
      <c r="H133" s="186" t="str">
        <f t="shared" si="22"/>
        <v>-D138-三重中興北二(定保)</v>
      </c>
      <c r="I133" s="190" t="s">
        <v>1746</v>
      </c>
      <c r="J133" s="188" t="str" cm="1">
        <f t="array" ref="J133">IFERROR(INDEX(IM!$X$2:$X$650, MATCH(1, (IM!$F$2:$F$650=A133) * (ISNUMBER(SEARCH($C$1, IM!$AC$2:$AC$650))), 0)), "")</f>
        <v/>
      </c>
      <c r="K133" s="159">
        <f>COUNTIFS(IM!F:F,A133,IM!AD:AD,"O",IM!X:X,"&gt;="&amp;$A$1,IM!X:X,"&lt;="&amp;$B$1)</f>
        <v>0</v>
      </c>
      <c r="L133" s="228" t="str" cm="1">
        <f t="array" ref="L133">IF(K133&gt;0,IFERROR(HYPERLINK("#'IM'!AC"&amp;MATCH(1,(IM!$F$1:$F$7700=A133)*(ISNUMBER(SEARCH("PMQ2",IM!$AC$1:$AC$7700))),0),"檢核"),"未登錄"),"")</f>
        <v/>
      </c>
      <c r="M133" s="230" t="str" cm="1">
        <f t="array" ref="M133">IF(AND(SUMPRODUCT((IM!F2:F745=A133)*(ISNUMBER(SEARCH("EDC", IM!AC2:AC745))))&gt;0), "EDC", "")</f>
        <v/>
      </c>
      <c r="N133" s="264" t="str" cm="1">
        <f t="array" ref="N133">IF(AND(SUMPRODUCT((IM!F2:F745=A133)*(ISNUMBER(SEARCH("STAR", IM!AC2:AC745))))&gt;0), "STAR", "")</f>
        <v/>
      </c>
      <c r="O133" s="256" t="str" cm="1">
        <f t="array" ref="O133">IFERROR(INDEX(IM!$X$2:$X$650, MATCH(1, (IM!$F$2:$F$650=A133) * (ISNUMBER(SEARCH($D$1, IM!$AC$2:$AC$650))), 0)), "")</f>
        <v/>
      </c>
      <c r="P133" s="191" t="str">
        <f t="shared" si="23"/>
        <v>-D138-三重中興北二(定保)</v>
      </c>
      <c r="Q133" s="140"/>
      <c r="R133" s="140"/>
      <c r="S133" s="140"/>
      <c r="T133" s="140"/>
      <c r="U133" s="258">
        <f t="shared" si="24"/>
        <v>2</v>
      </c>
      <c r="V133" s="246" t="str">
        <f t="shared" si="25"/>
        <v>未到店</v>
      </c>
      <c r="W133" s="3" t="s">
        <v>4268</v>
      </c>
      <c r="X133" s="5" t="s">
        <v>4269</v>
      </c>
      <c r="Y133" s="5" t="str">
        <f t="shared" si="28"/>
        <v>STAR</v>
      </c>
    </row>
    <row r="134" spans="1:25" ht="15.75" customHeight="1">
      <c r="A134" s="179">
        <v>2743</v>
      </c>
      <c r="B134" s="180" t="str">
        <f>VLOOKUP(A134,'0919門市清單主檔'!B:C,2,FALSE)</f>
        <v>新莊豐年店</v>
      </c>
      <c r="C134" s="181" t="str">
        <f>VLOOKUP($A134,'0919門市清單主檔'!B:V,20,FALSE)</f>
        <v>新北市</v>
      </c>
      <c r="D134" s="182" t="str">
        <f>VLOOKUP($A134,'0919門市清單主檔'!B:V,21,FALSE)</f>
        <v>新莊區</v>
      </c>
      <c r="E134" s="183" t="str">
        <f>VLOOKUP(D134,區域表!A:B,2,FALSE)</f>
        <v>湯家瑋</v>
      </c>
      <c r="F134" s="184" t="str">
        <f>IFERROR(IF(VLOOKUP(A134,門市狀態!A:D,4,FALSE)=0,"",VLOOKUP(A134,門市狀態!A:D,4,FALSE)),"")</f>
        <v/>
      </c>
      <c r="G134" s="185" t="s">
        <v>1746</v>
      </c>
      <c r="H134" s="186" t="str">
        <f t="shared" si="22"/>
        <v>-2743-新莊豐年店(定保)</v>
      </c>
      <c r="I134" s="190" t="s">
        <v>1746</v>
      </c>
      <c r="J134" s="188" t="str" cm="1">
        <f t="array" ref="J134">IFERROR(INDEX(IM!$X$2:$X$650, MATCH(1, (IM!$F$2:$F$650=A134) * (ISNUMBER(SEARCH($C$1, IM!$AC$2:$AC$650))), 0)), "")</f>
        <v/>
      </c>
      <c r="K134" s="159">
        <f>COUNTIFS(IM!F:F,A134,IM!AD:AD,"O",IM!X:X,"&gt;="&amp;$A$1,IM!X:X,"&lt;="&amp;$B$1)</f>
        <v>0</v>
      </c>
      <c r="L134" s="228" t="str" cm="1">
        <f t="array" ref="L134">IF(K134&gt;0,IFERROR(HYPERLINK("#'IM'!AC"&amp;MATCH(1,(IM!$F$1:$F$7700=A134)*(ISNUMBER(SEARCH("PMQ2",IM!$AC$1:$AC$7700))),0),"檢核"),"未登錄"),"")</f>
        <v/>
      </c>
      <c r="M134" s="230" t="str" cm="1">
        <f t="array" ref="M134">IF(AND(SUMPRODUCT((IM!F2:F746=A134)*(ISNUMBER(SEARCH("EDC", IM!AC2:AC746))))&gt;0), "EDC", "")</f>
        <v/>
      </c>
      <c r="N134" s="264" t="str" cm="1">
        <f t="array" ref="N134">IF(AND(SUMPRODUCT((IM!F2:F746=A134)*(ISNUMBER(SEARCH("STAR", IM!AC2:AC746))))&gt;0), "STAR", "")</f>
        <v/>
      </c>
      <c r="O134" s="256" t="str" cm="1">
        <f t="array" ref="O134">IFERROR(INDEX(IM!$X$2:$X$650, MATCH(1, (IM!$F$2:$F$650=A134) * (ISNUMBER(SEARCH($D$1, IM!$AC$2:$AC$650))), 0)), "")</f>
        <v/>
      </c>
      <c r="P134" s="191" t="str">
        <f t="shared" si="23"/>
        <v>-2743-新莊豐年店(定保)</v>
      </c>
      <c r="Q134" s="140"/>
      <c r="R134" s="140"/>
      <c r="S134" s="140"/>
      <c r="T134" s="140"/>
      <c r="U134" s="258">
        <f t="shared" si="24"/>
        <v>1</v>
      </c>
      <c r="V134" s="246" t="str">
        <f t="shared" si="25"/>
        <v>未到店</v>
      </c>
      <c r="X134" s="5" t="s">
        <v>4270</v>
      </c>
      <c r="Y134" s="5" t="str">
        <f t="shared" si="28"/>
        <v>STAR</v>
      </c>
    </row>
    <row r="135" spans="1:25" ht="15.75" customHeight="1">
      <c r="A135" s="179">
        <v>3785</v>
      </c>
      <c r="B135" s="180" t="str">
        <f>VLOOKUP(A135,'0919門市清單主檔'!B:C,2,FALSE)</f>
        <v>北縣莊榮店</v>
      </c>
      <c r="C135" s="181" t="str">
        <f>VLOOKUP($A135,'0919門市清單主檔'!B:V,20,FALSE)</f>
        <v>新北市</v>
      </c>
      <c r="D135" s="182" t="str">
        <f>VLOOKUP($A135,'0919門市清單主檔'!B:V,21,FALSE)</f>
        <v>新莊區</v>
      </c>
      <c r="E135" s="183" t="str">
        <f>VLOOKUP(D135,區域表!A:B,2,FALSE)</f>
        <v>湯家瑋</v>
      </c>
      <c r="F135" s="184" t="str">
        <f>IFERROR(IF(VLOOKUP(A135,門市狀態!A:D,4,FALSE)=0,"",VLOOKUP(A135,門市狀態!A:D,4,FALSE)),"")</f>
        <v/>
      </c>
      <c r="G135" s="185" t="s">
        <v>1746</v>
      </c>
      <c r="H135" s="186" t="str">
        <f t="shared" si="22"/>
        <v>-3785-北縣莊榮店(定保)</v>
      </c>
      <c r="I135" s="190" t="s">
        <v>1746</v>
      </c>
      <c r="J135" s="188" t="str" cm="1">
        <f t="array" ref="J135">IFERROR(INDEX(IM!$X$2:$X$650, MATCH(1, (IM!$F$2:$F$650=A135) * (ISNUMBER(SEARCH($C$1, IM!$AC$2:$AC$650))), 0)), "")</f>
        <v/>
      </c>
      <c r="K135" s="159">
        <f>COUNTIFS(IM!F:F,A135,IM!AD:AD,"O",IM!X:X,"&gt;="&amp;$A$1,IM!X:X,"&lt;="&amp;$B$1)</f>
        <v>0</v>
      </c>
      <c r="L135" s="228" t="str" cm="1">
        <f t="array" ref="L135">IF(K135&gt;0,IFERROR(HYPERLINK("#'IM'!AC"&amp;MATCH(1,(IM!$F$1:$F$7700=A135)*(ISNUMBER(SEARCH("PMQ2",IM!$AC$1:$AC$7700))),0),"檢核"),"未登錄"),"")</f>
        <v/>
      </c>
      <c r="M135" s="230" t="str" cm="1">
        <f t="array" ref="M135">IF(AND(SUMPRODUCT((IM!F2:F747=A135)*(ISNUMBER(SEARCH("EDC", IM!AC2:AC747))))&gt;0), "EDC", "")</f>
        <v/>
      </c>
      <c r="N135" s="264" t="str" cm="1">
        <f t="array" ref="N135">IF(AND(SUMPRODUCT((IM!F2:F747=A135)*(ISNUMBER(SEARCH("STAR", IM!AC2:AC747))))&gt;0), "STAR", "")</f>
        <v/>
      </c>
      <c r="O135" s="256" t="str" cm="1">
        <f t="array" ref="O135">IFERROR(INDEX(IM!$X$2:$X$650, MATCH(1, (IM!$F$2:$F$650=A135) * (ISNUMBER(SEARCH($D$1, IM!$AC$2:$AC$650))), 0)), "")</f>
        <v/>
      </c>
      <c r="P135" s="191" t="str">
        <f t="shared" si="23"/>
        <v>-3785-北縣莊榮店(定保)</v>
      </c>
      <c r="Q135" s="140"/>
      <c r="R135" s="140"/>
      <c r="S135" s="140"/>
      <c r="T135" s="140"/>
      <c r="U135" s="258">
        <f t="shared" si="24"/>
        <v>0</v>
      </c>
      <c r="V135" s="246" t="str">
        <f t="shared" si="25"/>
        <v>未到店</v>
      </c>
      <c r="X135" s="5"/>
      <c r="Y135" s="5" t="str">
        <f t="shared" si="28"/>
        <v/>
      </c>
    </row>
    <row r="136" spans="1:25" ht="15.75" customHeight="1">
      <c r="A136" s="179">
        <v>4698</v>
      </c>
      <c r="B136" s="180" t="str">
        <f>VLOOKUP(A136,'0919門市清單主檔'!B:C,2,FALSE)</f>
        <v>三重頂崁店</v>
      </c>
      <c r="C136" s="181" t="str">
        <f>VLOOKUP($A136,'0919門市清單主檔'!B:V,20,FALSE)</f>
        <v>新北市</v>
      </c>
      <c r="D136" s="182" t="str">
        <f>VLOOKUP($A136,'0919門市清單主檔'!B:V,21,FALSE)</f>
        <v>三重區</v>
      </c>
      <c r="E136" s="183" t="str">
        <f>VLOOKUP(D136,區域表!A:B,2,FALSE)</f>
        <v>吳宗鴻</v>
      </c>
      <c r="F136" s="184" t="str">
        <f>IFERROR(IF(VLOOKUP(A136,門市狀態!A:D,4,FALSE)=0,"",VLOOKUP(A136,門市狀態!A:D,4,FALSE)),"")</f>
        <v/>
      </c>
      <c r="G136" s="185" t="s">
        <v>1746</v>
      </c>
      <c r="H136" s="186" t="str">
        <f t="shared" si="22"/>
        <v>-4698-三重頂崁店(定保)</v>
      </c>
      <c r="I136" s="190" t="s">
        <v>1746</v>
      </c>
      <c r="J136" s="188" t="str" cm="1">
        <f t="array" ref="J136">IFERROR(INDEX(IM!$X$2:$X$650, MATCH(1, (IM!$F$2:$F$650=A136) * (ISNUMBER(SEARCH($C$1, IM!$AC$2:$AC$650))), 0)), "")</f>
        <v/>
      </c>
      <c r="K136" s="159">
        <f>COUNTIFS(IM!F:F,A136,IM!AD:AD,"O",IM!X:X,"&gt;="&amp;$A$1,IM!X:X,"&lt;="&amp;$B$1)</f>
        <v>0</v>
      </c>
      <c r="L136" s="228" t="str" cm="1">
        <f t="array" ref="L136">IF(K136&gt;0,IFERROR(HYPERLINK("#'IM'!AC"&amp;MATCH(1,(IM!$F$1:$F$7700=A136)*(ISNUMBER(SEARCH("PMQ2",IM!$AC$1:$AC$7700))),0),"檢核"),"未登錄"),"")</f>
        <v/>
      </c>
      <c r="M136" s="230" t="str" cm="1">
        <f t="array" ref="M136">IF(AND(SUMPRODUCT((IM!F2:F748=A136)*(ISNUMBER(SEARCH("EDC", IM!AC2:AC748))))&gt;0), "EDC", "")</f>
        <v/>
      </c>
      <c r="N136" s="264" t="str" cm="1">
        <f t="array" ref="N136">IF(AND(SUMPRODUCT((IM!F2:F748=A136)*(ISNUMBER(SEARCH("STAR", IM!AC2:AC748))))&gt;0), "STAR", "")</f>
        <v/>
      </c>
      <c r="O136" s="256" t="str" cm="1">
        <f t="array" ref="O136">IFERROR(INDEX(IM!$X$2:$X$650, MATCH(1, (IM!$F$2:$F$650=A136) * (ISNUMBER(SEARCH($D$1, IM!$AC$2:$AC$650))), 0)), "")</f>
        <v/>
      </c>
      <c r="P136" s="191" t="str">
        <f t="shared" si="23"/>
        <v>-4698-三重頂崁店(定保)</v>
      </c>
      <c r="Q136" s="140"/>
      <c r="R136" s="140"/>
      <c r="S136" s="140"/>
      <c r="T136" s="140"/>
      <c r="U136" s="258">
        <f t="shared" si="24"/>
        <v>2</v>
      </c>
      <c r="V136" s="246" t="str">
        <f t="shared" si="25"/>
        <v>未到店</v>
      </c>
      <c r="W136" s="3" t="s">
        <v>4271</v>
      </c>
      <c r="X136" s="5" t="s">
        <v>4272</v>
      </c>
      <c r="Y136" s="5" t="str">
        <f t="shared" si="28"/>
        <v>STAR</v>
      </c>
    </row>
    <row r="137" spans="1:25" ht="15.75" customHeight="1">
      <c r="A137" s="179">
        <v>3183</v>
      </c>
      <c r="B137" s="180" t="str">
        <f>VLOOKUP(A137,'0919門市清單主檔'!B:C,2,FALSE)</f>
        <v>北縣板好店</v>
      </c>
      <c r="C137" s="181" t="str">
        <f>VLOOKUP($A137,'0919門市清單主檔'!B:V,20,FALSE)</f>
        <v>新北市</v>
      </c>
      <c r="D137" s="182" t="str">
        <f>VLOOKUP($A137,'0919門市清單主檔'!B:V,21,FALSE)</f>
        <v>板橋區</v>
      </c>
      <c r="E137" s="183" t="str">
        <f>VLOOKUP(D137,區域表!A:B,2,FALSE)</f>
        <v>狄澤洋</v>
      </c>
      <c r="F137" s="184" t="str">
        <f>IFERROR(IF(VLOOKUP(A137,門市狀態!A:D,4,FALSE)=0,"",VLOOKUP(A137,門市狀態!A:D,4,FALSE)),"")</f>
        <v/>
      </c>
      <c r="G137" s="185" t="s">
        <v>1746</v>
      </c>
      <c r="H137" s="186" t="str">
        <f t="shared" si="22"/>
        <v>-3183-北縣板好店(定保)</v>
      </c>
      <c r="I137" s="190" t="s">
        <v>1746</v>
      </c>
      <c r="J137" s="188" t="str" cm="1">
        <f t="array" ref="J137">IFERROR(INDEX(IM!$X$2:$X$650, MATCH(1, (IM!$F$2:$F$650=A137) * (ISNUMBER(SEARCH($C$1, IM!$AC$2:$AC$650))), 0)), "")</f>
        <v/>
      </c>
      <c r="K137" s="159">
        <f>COUNTIFS(IM!F:F,A137,IM!AD:AD,"O",IM!X:X,"&gt;="&amp;$A$1,IM!X:X,"&lt;="&amp;$B$1)</f>
        <v>0</v>
      </c>
      <c r="L137" s="228" t="str" cm="1">
        <f t="array" ref="L137">IF(K137&gt;0,IFERROR(HYPERLINK("#'IM'!AC"&amp;MATCH(1,(IM!$F$1:$F$7700=A137)*(ISNUMBER(SEARCH("PMQ2",IM!$AC$1:$AC$7700))),0),"檢核"),"未登錄"),"")</f>
        <v/>
      </c>
      <c r="M137" s="230" t="str" cm="1">
        <f t="array" ref="M137">IF(AND(SUMPRODUCT((IM!F2:F749=A137)*(ISNUMBER(SEARCH("EDC", IM!AC2:AC749))))&gt;0), "EDC", "")</f>
        <v/>
      </c>
      <c r="N137" s="264" t="str" cm="1">
        <f t="array" ref="N137">IF(AND(SUMPRODUCT((IM!F2:F749=A137)*(ISNUMBER(SEARCH("STAR", IM!AC2:AC749))))&gt;0), "STAR", "")</f>
        <v/>
      </c>
      <c r="O137" s="256" t="str" cm="1">
        <f t="array" ref="O137">IFERROR(INDEX(IM!$X$2:$X$650, MATCH(1, (IM!$F$2:$F$650=A137) * (ISNUMBER(SEARCH($D$1, IM!$AC$2:$AC$650))), 0)), "")</f>
        <v/>
      </c>
      <c r="P137" s="191" t="str">
        <f t="shared" si="23"/>
        <v>-3183-北縣板好店(定保)</v>
      </c>
      <c r="Q137" s="140"/>
      <c r="R137" s="140"/>
      <c r="S137" s="140"/>
      <c r="T137" s="140"/>
      <c r="U137" s="258">
        <f t="shared" si="24"/>
        <v>2</v>
      </c>
      <c r="V137" s="246" t="str">
        <f t="shared" si="25"/>
        <v>未到店</v>
      </c>
      <c r="W137" s="3" t="s">
        <v>4273</v>
      </c>
      <c r="X137" s="5" t="s">
        <v>4274</v>
      </c>
      <c r="Y137" s="5" t="str">
        <f t="shared" si="28"/>
        <v>STAR</v>
      </c>
    </row>
    <row r="138" spans="1:25" ht="15.75" customHeight="1">
      <c r="A138" s="179">
        <v>4167</v>
      </c>
      <c r="B138" s="180" t="str">
        <f>VLOOKUP(A138,'0919門市清單主檔'!B:C,2,FALSE)</f>
        <v>板橋松翠店</v>
      </c>
      <c r="C138" s="181" t="str">
        <f>VLOOKUP($A138,'0919門市清單主檔'!B:V,20,FALSE)</f>
        <v>新北市</v>
      </c>
      <c r="D138" s="182" t="str">
        <f>VLOOKUP($A138,'0919門市清單主檔'!B:V,21,FALSE)</f>
        <v>板橋區</v>
      </c>
      <c r="E138" s="183" t="str">
        <f>VLOOKUP(D138,區域表!A:B,2,FALSE)</f>
        <v>狄澤洋</v>
      </c>
      <c r="F138" s="184" t="str">
        <f>IFERROR(IF(VLOOKUP(A138,門市狀態!A:D,4,FALSE)=0,"",VLOOKUP(A138,門市狀態!A:D,4,FALSE)),"")</f>
        <v/>
      </c>
      <c r="G138" s="185" t="s">
        <v>1746</v>
      </c>
      <c r="H138" s="186" t="str">
        <f t="shared" si="22"/>
        <v>-4167-板橋松翠店(定保)</v>
      </c>
      <c r="I138" s="190" t="s">
        <v>1746</v>
      </c>
      <c r="J138" s="188" t="str" cm="1">
        <f t="array" ref="J138">IFERROR(INDEX(IM!$X$2:$X$650, MATCH(1, (IM!$F$2:$F$650=A138) * (ISNUMBER(SEARCH($C$1, IM!$AC$2:$AC$650))), 0)), "")</f>
        <v/>
      </c>
      <c r="K138" s="159">
        <f>COUNTIFS(IM!F:F,A138,IM!AD:AD,"O",IM!X:X,"&gt;="&amp;$A$1,IM!X:X,"&lt;="&amp;$B$1)</f>
        <v>0</v>
      </c>
      <c r="L138" s="228" t="str" cm="1">
        <f t="array" ref="L138">IF(K138&gt;0,IFERROR(HYPERLINK("#'IM'!AC"&amp;MATCH(1,(IM!$F$1:$F$7700=A138)*(ISNUMBER(SEARCH("PMQ2",IM!$AC$1:$AC$7700))),0),"檢核"),"未登錄"),"")</f>
        <v/>
      </c>
      <c r="M138" s="230" t="str" cm="1">
        <f t="array" ref="M138">IF(AND(SUMPRODUCT((IM!F2:F750=A138)*(ISNUMBER(SEARCH("EDC", IM!AC2:AC750))))&gt;0), "EDC", "")</f>
        <v/>
      </c>
      <c r="N138" s="264" t="str" cm="1">
        <f t="array" ref="N138">IF(AND(SUMPRODUCT((IM!F2:F750=A138)*(ISNUMBER(SEARCH("STAR", IM!AC2:AC750))))&gt;0), "STAR", "")</f>
        <v/>
      </c>
      <c r="O138" s="256" t="str" cm="1">
        <f t="array" ref="O138">IFERROR(INDEX(IM!$X$2:$X$650, MATCH(1, (IM!$F$2:$F$650=A138) * (ISNUMBER(SEARCH($D$1, IM!$AC$2:$AC$650))), 0)), "")</f>
        <v/>
      </c>
      <c r="P138" s="191" t="str">
        <f t="shared" si="23"/>
        <v>-4167-板橋松翠店(定保)</v>
      </c>
      <c r="Q138" s="140"/>
      <c r="R138" s="140"/>
      <c r="S138" s="140"/>
      <c r="T138" s="140"/>
      <c r="U138" s="258">
        <f t="shared" si="24"/>
        <v>2</v>
      </c>
      <c r="V138" s="246" t="str">
        <f t="shared" si="25"/>
        <v>未到店</v>
      </c>
      <c r="W138" s="3" t="s">
        <v>4275</v>
      </c>
      <c r="X138" s="5" t="s">
        <v>4276</v>
      </c>
      <c r="Y138" s="5" t="str">
        <f t="shared" si="28"/>
        <v>STAR</v>
      </c>
    </row>
    <row r="139" spans="1:25" ht="15.75" customHeight="1">
      <c r="A139" s="179">
        <v>2318</v>
      </c>
      <c r="B139" s="180" t="str">
        <f>VLOOKUP(A139,'0919門市清單主檔'!B:C,2,FALSE)</f>
        <v>北縣淡俊店</v>
      </c>
      <c r="C139" s="181" t="str">
        <f>VLOOKUP($A139,'0919門市清單主檔'!B:V,20,FALSE)</f>
        <v>新北市</v>
      </c>
      <c r="D139" s="182" t="str">
        <f>VLOOKUP($A139,'0919門市清單主檔'!B:V,21,FALSE)</f>
        <v>淡水區</v>
      </c>
      <c r="E139" s="183" t="str">
        <f>VLOOKUP(D139,區域表!A:B,2,FALSE)</f>
        <v>吳宗鴻</v>
      </c>
      <c r="F139" s="184" t="str">
        <f>IFERROR(IF(VLOOKUP(A139,門市狀態!A:D,4,FALSE)=0,"",VLOOKUP(A139,門市狀態!A:D,4,FALSE)),"")</f>
        <v/>
      </c>
      <c r="G139" s="185" t="s">
        <v>1746</v>
      </c>
      <c r="H139" s="186" t="str">
        <f t="shared" si="22"/>
        <v>-2318-北縣淡俊店(定保)</v>
      </c>
      <c r="I139" s="190" t="s">
        <v>1746</v>
      </c>
      <c r="J139" s="188" t="str" cm="1">
        <f t="array" ref="J139">IFERROR(INDEX(IM!$X$2:$X$650, MATCH(1, (IM!$F$2:$F$650=A139) * (ISNUMBER(SEARCH($C$1, IM!$AC$2:$AC$650))), 0)), "")</f>
        <v/>
      </c>
      <c r="K139" s="159">
        <f>COUNTIFS(IM!F:F,A139,IM!AD:AD,"O",IM!X:X,"&gt;="&amp;$A$1,IM!X:X,"&lt;="&amp;$B$1)</f>
        <v>0</v>
      </c>
      <c r="L139" s="228" t="str" cm="1">
        <f t="array" ref="L139">IF(K139&gt;0,IFERROR(HYPERLINK("#'IM'!AC"&amp;MATCH(1,(IM!$F$1:$F$7700=A139)*(ISNUMBER(SEARCH("PMQ2",IM!$AC$1:$AC$7700))),0),"檢核"),"未登錄"),"")</f>
        <v/>
      </c>
      <c r="M139" s="230" t="str" cm="1">
        <f t="array" ref="M139">IF(AND(SUMPRODUCT((IM!F2:F753=A139)*(ISNUMBER(SEARCH("EDC", IM!AC2:AC753))))&gt;0), "EDC", "")</f>
        <v/>
      </c>
      <c r="N139" s="264" t="str" cm="1">
        <f t="array" ref="N139">IF(AND(SUMPRODUCT((IM!F2:F753=A139)*(ISNUMBER(SEARCH("STAR", IM!AC2:AC753))))&gt;0), "STAR", "")</f>
        <v/>
      </c>
      <c r="O139" s="256" t="str" cm="1">
        <f t="array" ref="O139">IFERROR(INDEX(IM!$X$2:$X$650, MATCH(1, (IM!$F$2:$F$650=A139) * (ISNUMBER(SEARCH($D$1, IM!$AC$2:$AC$650))), 0)), "")</f>
        <v/>
      </c>
      <c r="P139" s="191" t="str">
        <f t="shared" si="23"/>
        <v>-2318-北縣淡俊店(定保)</v>
      </c>
      <c r="Q139" s="140"/>
      <c r="R139" s="140"/>
      <c r="S139" s="140"/>
      <c r="T139" s="140"/>
      <c r="U139" s="258">
        <f t="shared" si="24"/>
        <v>1</v>
      </c>
      <c r="V139" s="246" t="str">
        <f t="shared" si="25"/>
        <v>未到店</v>
      </c>
      <c r="X139" s="5" t="s">
        <v>4280</v>
      </c>
      <c r="Y139" s="5" t="str">
        <f t="shared" si="28"/>
        <v>STAR</v>
      </c>
    </row>
    <row r="140" spans="1:25" ht="15.75" customHeight="1">
      <c r="A140" s="179">
        <v>4194</v>
      </c>
      <c r="B140" s="180" t="str">
        <f>VLOOKUP(A140,'0919門市清單主檔'!B:C,2,FALSE)</f>
        <v>新莊鼎苑店</v>
      </c>
      <c r="C140" s="181" t="str">
        <f>VLOOKUP($A140,'0919門市清單主檔'!B:V,20,FALSE)</f>
        <v>新北市</v>
      </c>
      <c r="D140" s="182" t="str">
        <f>VLOOKUP($A140,'0919門市清單主檔'!B:V,21,FALSE)</f>
        <v>新莊區</v>
      </c>
      <c r="E140" s="183" t="str">
        <f>VLOOKUP(D140,區域表!A:B,2,FALSE)</f>
        <v>湯家瑋</v>
      </c>
      <c r="F140" s="184" t="str">
        <f>IFERROR(IF(VLOOKUP(A140,門市狀態!A:D,4,FALSE)=0,"",VLOOKUP(A140,門市狀態!A:D,4,FALSE)),"")</f>
        <v/>
      </c>
      <c r="G140" s="185" t="s">
        <v>1746</v>
      </c>
      <c r="H140" s="186" t="str">
        <f t="shared" si="22"/>
        <v>-4194-新莊鼎苑店(定保)</v>
      </c>
      <c r="I140" s="190" t="s">
        <v>1746</v>
      </c>
      <c r="J140" s="188" t="str" cm="1">
        <f t="array" ref="J140">IFERROR(INDEX(IM!$X$2:$X$650, MATCH(1, (IM!$F$2:$F$650=A140) * (ISNUMBER(SEARCH($C$1, IM!$AC$2:$AC$650))), 0)), "")</f>
        <v/>
      </c>
      <c r="K140" s="159">
        <f>COUNTIFS(IM!F:F,A140,IM!AD:AD,"O",IM!X:X,"&gt;="&amp;$A$1,IM!X:X,"&lt;="&amp;$B$1)</f>
        <v>0</v>
      </c>
      <c r="L140" s="228" t="str" cm="1">
        <f t="array" ref="L140">IF(K140&gt;0,IFERROR(HYPERLINK("#'IM'!AC"&amp;MATCH(1,(IM!$F$1:$F$7700=A140)*(ISNUMBER(SEARCH("PMQ2",IM!$AC$1:$AC$7700))),0),"檢核"),"未登錄"),"")</f>
        <v/>
      </c>
      <c r="M140" s="230" t="str" cm="1">
        <f t="array" ref="M140">IF(AND(SUMPRODUCT((IM!F2:F754=A140)*(ISNUMBER(SEARCH("EDC", IM!AC2:AC754))))&gt;0), "EDC", "")</f>
        <v/>
      </c>
      <c r="N140" s="264" t="str" cm="1">
        <f t="array" ref="N140">IF(AND(SUMPRODUCT((IM!F2:F754=A140)*(ISNUMBER(SEARCH("STAR", IM!AC2:AC754))))&gt;0), "STAR", "")</f>
        <v/>
      </c>
      <c r="O140" s="256" t="str" cm="1">
        <f t="array" ref="O140">IFERROR(INDEX(IM!$X$2:$X$650, MATCH(1, (IM!$F$2:$F$650=A140) * (ISNUMBER(SEARCH($D$1, IM!$AC$2:$AC$650))), 0)), "")</f>
        <v/>
      </c>
      <c r="P140" s="191" t="str">
        <f t="shared" si="23"/>
        <v>-4194-新莊鼎苑店(定保)</v>
      </c>
      <c r="Q140" s="140"/>
      <c r="R140" s="140"/>
      <c r="S140" s="140"/>
      <c r="T140" s="140"/>
      <c r="U140" s="258">
        <f t="shared" si="24"/>
        <v>2</v>
      </c>
      <c r="V140" s="246" t="str">
        <f t="shared" si="25"/>
        <v>未到店</v>
      </c>
      <c r="W140" s="3" t="s">
        <v>4281</v>
      </c>
      <c r="X140" s="5" t="s">
        <v>4282</v>
      </c>
      <c r="Y140" s="5" t="str">
        <f t="shared" si="28"/>
        <v>STAR</v>
      </c>
    </row>
    <row r="141" spans="1:25" ht="15.75" customHeight="1">
      <c r="A141" s="179">
        <v>2042</v>
      </c>
      <c r="B141" s="180" t="str">
        <f>VLOOKUP(A141,'0919門市清單主檔'!B:C,2,FALSE)</f>
        <v>三重中央北店</v>
      </c>
      <c r="C141" s="181" t="str">
        <f>VLOOKUP($A141,'0919門市清單主檔'!B:V,20,FALSE)</f>
        <v>新北市</v>
      </c>
      <c r="D141" s="182" t="str">
        <f>VLOOKUP($A141,'0919門市清單主檔'!B:V,21,FALSE)</f>
        <v>三重區</v>
      </c>
      <c r="E141" s="183" t="str">
        <f>VLOOKUP(D141,區域表!A:B,2,FALSE)</f>
        <v>吳宗鴻</v>
      </c>
      <c r="F141" s="184" t="str">
        <f>IFERROR(IF(VLOOKUP(A141,門市狀態!A:D,4,FALSE)=0,"",VLOOKUP(A141,門市狀態!A:D,4,FALSE)),"")</f>
        <v/>
      </c>
      <c r="G141" s="185" t="s">
        <v>1746</v>
      </c>
      <c r="H141" s="186" t="str">
        <f t="shared" si="22"/>
        <v>-2042-三重中央北店(定保)</v>
      </c>
      <c r="I141" s="190" t="s">
        <v>1746</v>
      </c>
      <c r="J141" s="188" t="str" cm="1">
        <f t="array" ref="J141">IFERROR(INDEX(IM!$X$2:$X$650, MATCH(1, (IM!$F$2:$F$650=A141) * (ISNUMBER(SEARCH($C$1, IM!$AC$2:$AC$650))), 0)), "")</f>
        <v/>
      </c>
      <c r="K141" s="159">
        <f>COUNTIFS(IM!F:F,A141,IM!AD:AD,"O",IM!X:X,"&gt;="&amp;$A$1,IM!X:X,"&lt;="&amp;$B$1)</f>
        <v>0</v>
      </c>
      <c r="L141" s="228" t="str" cm="1">
        <f t="array" ref="L141">IF(K141&gt;0,IFERROR(HYPERLINK("#'IM'!AC"&amp;MATCH(1,(IM!$F$1:$F$7700=A141)*(ISNUMBER(SEARCH("PMQ2",IM!$AC$1:$AC$7700))),0),"檢核"),"未登錄"),"")</f>
        <v/>
      </c>
      <c r="M141" s="230" t="str" cm="1">
        <f t="array" ref="M141">IF(AND(SUMPRODUCT((IM!F2:F757=A141)*(ISNUMBER(SEARCH("EDC", IM!AC2:AC757))))&gt;0), "EDC", "")</f>
        <v/>
      </c>
      <c r="N141" s="264" t="str" cm="1">
        <f t="array" ref="N141">IF(AND(SUMPRODUCT((IM!F2:F757=A141)*(ISNUMBER(SEARCH("STAR", IM!AC2:AC757))))&gt;0), "STAR", "")</f>
        <v/>
      </c>
      <c r="O141" s="256" t="str" cm="1">
        <f t="array" ref="O141">IFERROR(INDEX(IM!$X$2:$X$650, MATCH(1, (IM!$F$2:$F$650=A141) * (ISNUMBER(SEARCH($D$1, IM!$AC$2:$AC$650))), 0)), "")</f>
        <v/>
      </c>
      <c r="P141" s="191" t="str">
        <f t="shared" si="23"/>
        <v>-2042-三重中央北店(定保)</v>
      </c>
      <c r="Q141" s="140"/>
      <c r="R141" s="140"/>
      <c r="S141" s="140"/>
      <c r="T141" s="140"/>
      <c r="U141" s="258">
        <f t="shared" si="24"/>
        <v>2</v>
      </c>
      <c r="V141" s="246" t="str">
        <f t="shared" si="25"/>
        <v>未到店</v>
      </c>
      <c r="W141" s="3" t="s">
        <v>4287</v>
      </c>
      <c r="X141" s="5" t="s">
        <v>4288</v>
      </c>
      <c r="Y141" s="5" t="str">
        <f t="shared" si="28"/>
        <v>STAR</v>
      </c>
    </row>
    <row r="142" spans="1:25" ht="15.75" customHeight="1">
      <c r="A142" s="179" t="s">
        <v>20</v>
      </c>
      <c r="B142" s="180" t="str">
        <f>VLOOKUP(A142,'0919門市清單主檔'!B:C,2,FALSE)</f>
        <v>三重正義北店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 t="shared" si="22"/>
        <v>-D028-三重正義北店(定保)</v>
      </c>
      <c r="I142" s="190" t="s">
        <v>1746</v>
      </c>
      <c r="J142" s="188" t="str" cm="1">
        <f t="array" ref="J142">IFERROR(INDEX(IM!$X$2:$X$650, MATCH(1, (IM!$F$2:$F$650=A142) * (ISNUMBER(SEARCH($C$1, IM!$AC$2:$AC$650))), 0)), "")</f>
        <v/>
      </c>
      <c r="K142" s="159">
        <f>COUNTIFS(IM!F:F,A142,IM!AD:AD,"O",IM!X:X,"&gt;="&amp;$A$1,IM!X:X,"&lt;="&amp;$B$1)</f>
        <v>0</v>
      </c>
      <c r="L142" s="228" t="str" cm="1">
        <f t="array" ref="L142">IF(K142&gt;0,IFERROR(HYPERLINK("#'IM'!AC"&amp;MATCH(1,(IM!$F$1:$F$7700=A142)*(ISNUMBER(SEARCH("PMQ2",IM!$AC$1:$AC$7700))),0),"檢核"),"未登錄"),"")</f>
        <v/>
      </c>
      <c r="M142" s="230" t="str" cm="1">
        <f t="array" ref="M142">IF(AND(SUMPRODUCT((IM!F2:F758=A142)*(ISNUMBER(SEARCH("EDC", IM!AC2:AC758))))&gt;0), "EDC", "")</f>
        <v/>
      </c>
      <c r="N142" s="264" t="str" cm="1">
        <f t="array" ref="N142">IF(AND(SUMPRODUCT((IM!F2:F758=A142)*(ISNUMBER(SEARCH("STAR", IM!AC2:AC758))))&gt;0), "STAR", "")</f>
        <v/>
      </c>
      <c r="O142" s="256" t="str" cm="1">
        <f t="array" ref="O142">IFERROR(INDEX(IM!$X$2:$X$650, MATCH(1, (IM!$F$2:$F$650=A142) * (ISNUMBER(SEARCH($D$1, IM!$AC$2:$AC$650))), 0)), "")</f>
        <v/>
      </c>
      <c r="P142" s="191" t="str">
        <f t="shared" si="23"/>
        <v>-D028-三重正義北店(定保)</v>
      </c>
      <c r="Q142" s="140"/>
      <c r="R142" s="140"/>
      <c r="S142" s="140"/>
      <c r="T142" s="140"/>
      <c r="U142" s="258">
        <f t="shared" si="24"/>
        <v>1</v>
      </c>
      <c r="V142" s="246" t="str">
        <f t="shared" si="25"/>
        <v>未到店</v>
      </c>
      <c r="W142" s="3" t="s">
        <v>4289</v>
      </c>
      <c r="X142" s="5"/>
      <c r="Y142" s="5" t="str">
        <f t="shared" si="28"/>
        <v>STAR</v>
      </c>
    </row>
    <row r="143" spans="1:25" ht="15.75" customHeight="1">
      <c r="A143" s="179">
        <v>4029</v>
      </c>
      <c r="B143" s="180" t="str">
        <f>VLOOKUP(A143,'0919門市清單主檔'!B:C,2,FALSE)</f>
        <v>三重龍濱店</v>
      </c>
      <c r="C143" s="181" t="str">
        <f>VLOOKUP($A143,'0919門市清單主檔'!B:V,20,FALSE)</f>
        <v>新北市</v>
      </c>
      <c r="D143" s="182" t="str">
        <f>VLOOKUP($A143,'0919門市清單主檔'!B:V,21,FALSE)</f>
        <v>三重區</v>
      </c>
      <c r="E143" s="183" t="str">
        <f>VLOOKUP(D143,區域表!A:B,2,FALSE)</f>
        <v>吳宗鴻</v>
      </c>
      <c r="F143" s="184" t="str">
        <f>IFERROR(IF(VLOOKUP(A143,門市狀態!A:D,4,FALSE)=0,"",VLOOKUP(A143,門市狀態!A:D,4,FALSE)),"")</f>
        <v/>
      </c>
      <c r="G143" s="185" t="s">
        <v>1746</v>
      </c>
      <c r="H143" s="186" t="str">
        <f t="shared" ref="H143:H206" si="29">IF(I143&gt;0,(TEXT(I143,"yyyymmdd")&amp;$T$3&amp;A143&amp;$T$3&amp;B143&amp;$R$3),"")</f>
        <v>-4029-三重龍濱店(定保)</v>
      </c>
      <c r="I143" s="190" t="s">
        <v>1746</v>
      </c>
      <c r="J143" s="188" t="str" cm="1">
        <f t="array" ref="J143">IFERROR(INDEX(IM!$X$2:$X$650, MATCH(1, (IM!$F$2:$F$650=A143) * (ISNUMBER(SEARCH($C$1, IM!$AC$2:$AC$650))), 0)), "")</f>
        <v/>
      </c>
      <c r="K143" s="159">
        <f>COUNTIFS(IM!F:F,A143,IM!AD:AD,"O",IM!X:X,"&gt;="&amp;$A$1,IM!X:X,"&lt;="&amp;$B$1)</f>
        <v>0</v>
      </c>
      <c r="L143" s="228" t="str" cm="1">
        <f t="array" ref="L143">IF(K143&gt;0,IFERROR(HYPERLINK("#'IM'!AC"&amp;MATCH(1,(IM!$F$1:$F$7700=A143)*(ISNUMBER(SEARCH("PMQ2",IM!$AC$1:$AC$7700))),0),"檢核"),"未登錄"),"")</f>
        <v/>
      </c>
      <c r="M143" s="230" t="str" cm="1">
        <f t="array" ref="M143">IF(AND(SUMPRODUCT((IM!F2:F759=A143)*(ISNUMBER(SEARCH("EDC", IM!AC2:AC759))))&gt;0), "EDC", "")</f>
        <v/>
      </c>
      <c r="N143" s="264" t="str" cm="1">
        <f t="array" ref="N143">IF(AND(SUMPRODUCT((IM!F2:F759=A143)*(ISNUMBER(SEARCH("STAR", IM!AC2:AC759))))&gt;0), "STAR", "")</f>
        <v/>
      </c>
      <c r="O143" s="256" t="str" cm="1">
        <f t="array" ref="O143">IFERROR(INDEX(IM!$X$2:$X$650, MATCH(1, (IM!$F$2:$F$650=A143) * (ISNUMBER(SEARCH($D$1, IM!$AC$2:$AC$650))), 0)), "")</f>
        <v/>
      </c>
      <c r="P143" s="191" t="str">
        <f t="shared" ref="P143:P206" si="30">(TEXT(I143,"yyyymmdd"))&amp;$T$3&amp;A143&amp;$T$3&amp;B143&amp;$R$3</f>
        <v>-4029-三重龍濱店(定保)</v>
      </c>
      <c r="Q143" s="140"/>
      <c r="R143" s="140"/>
      <c r="S143" s="140"/>
      <c r="T143" s="140"/>
      <c r="U143" s="258">
        <f t="shared" ref="U143:U206" si="31">IF(AND(W143&lt;&gt;"", X143&lt;&gt;""), 2, IF(OR(W143&lt;&gt;"", X143&lt;&gt;""), 1, 0))</f>
        <v>2</v>
      </c>
      <c r="V143" s="246" t="str">
        <f t="shared" ref="V143:V206" si="32">IF(I143="", "未到店",
   IF(M143&lt;&gt;"EDC", "異常",
      IF(OR(AND(Y143="STAR", N143="STAR"), AND(Y143&lt;&gt;"STAR", N143="")), "已完工", "異常")
   )
)</f>
        <v>未到店</v>
      </c>
      <c r="W143" s="3" t="s">
        <v>4290</v>
      </c>
      <c r="X143" s="5" t="s">
        <v>4291</v>
      </c>
      <c r="Y143" s="5" t="str">
        <f t="shared" si="28"/>
        <v>STAR</v>
      </c>
    </row>
    <row r="144" spans="1:25" ht="15.75" customHeight="1">
      <c r="A144" s="179">
        <v>4560</v>
      </c>
      <c r="B144" s="180" t="str">
        <f>VLOOKUP(A144,'0919門市清單主檔'!B:C,2,FALSE)</f>
        <v>三重大院店</v>
      </c>
      <c r="C144" s="181" t="str">
        <f>VLOOKUP($A144,'0919門市清單主檔'!B:V,20,FALSE)</f>
        <v>新北市</v>
      </c>
      <c r="D144" s="182" t="str">
        <f>VLOOKUP($A144,'0919門市清單主檔'!B:V,21,FALSE)</f>
        <v>三重區</v>
      </c>
      <c r="E144" s="183" t="str">
        <f>VLOOKUP(D144,區域表!A:B,2,FALSE)</f>
        <v>吳宗鴻</v>
      </c>
      <c r="F144" s="184" t="str">
        <f>IFERROR(IF(VLOOKUP(A144,門市狀態!A:D,4,FALSE)=0,"",VLOOKUP(A144,門市狀態!A:D,4,FALSE)),"")</f>
        <v/>
      </c>
      <c r="G144" s="185" t="s">
        <v>1746</v>
      </c>
      <c r="H144" s="186" t="str">
        <f t="shared" si="29"/>
        <v>-4560-三重大院店(定保)</v>
      </c>
      <c r="I144" s="190" t="s">
        <v>1746</v>
      </c>
      <c r="J144" s="188" t="str" cm="1">
        <f t="array" ref="J144">IFERROR(INDEX(IM!$X$2:$X$650, MATCH(1, (IM!$F$2:$F$650=A144) * (ISNUMBER(SEARCH($C$1, IM!$AC$2:$AC$650))), 0)), "")</f>
        <v/>
      </c>
      <c r="K144" s="159">
        <f>COUNTIFS(IM!F:F,A144,IM!AD:AD,"O",IM!X:X,"&gt;="&amp;$A$1,IM!X:X,"&lt;="&amp;$B$1)</f>
        <v>0</v>
      </c>
      <c r="L144" s="228" t="str" cm="1">
        <f t="array" ref="L144">IF(K144&gt;0,IFERROR(HYPERLINK("#'IM'!AC"&amp;MATCH(1,(IM!$F$1:$F$7700=A144)*(ISNUMBER(SEARCH("PMQ2",IM!$AC$1:$AC$7700))),0),"檢核"),"未登錄"),"")</f>
        <v/>
      </c>
      <c r="M144" s="230" t="str" cm="1">
        <f t="array" ref="M144">IF(AND(SUMPRODUCT((IM!F2:F760=A144)*(ISNUMBER(SEARCH("EDC", IM!AC2:AC760))))&gt;0), "EDC", "")</f>
        <v/>
      </c>
      <c r="N144" s="264" t="str" cm="1">
        <f t="array" ref="N144">IF(AND(SUMPRODUCT((IM!F2:F760=A144)*(ISNUMBER(SEARCH("STAR", IM!AC2:AC760))))&gt;0), "STAR", "")</f>
        <v/>
      </c>
      <c r="O144" s="256" t="str" cm="1">
        <f t="array" ref="O144">IFERROR(INDEX(IM!$X$2:$X$650, MATCH(1, (IM!$F$2:$F$650=A144) * (ISNUMBER(SEARCH($D$1, IM!$AC$2:$AC$650))), 0)), "")</f>
        <v/>
      </c>
      <c r="P144" s="191" t="str">
        <f t="shared" si="30"/>
        <v>-4560-三重大院店(定保)</v>
      </c>
      <c r="Q144" s="140"/>
      <c r="R144" s="140"/>
      <c r="S144" s="140"/>
      <c r="T144" s="140"/>
      <c r="U144" s="258">
        <f t="shared" si="31"/>
        <v>2</v>
      </c>
      <c r="V144" s="246" t="str">
        <f t="shared" si="32"/>
        <v>未到店</v>
      </c>
      <c r="W144" s="3" t="s">
        <v>4292</v>
      </c>
      <c r="X144" s="5" t="s">
        <v>4293</v>
      </c>
      <c r="Y144" s="5" t="str">
        <f t="shared" si="28"/>
        <v>STAR</v>
      </c>
    </row>
    <row r="145" spans="1:25" ht="15.75" customHeight="1">
      <c r="A145" s="179">
        <v>3623</v>
      </c>
      <c r="B145" s="180" t="str">
        <f>VLOOKUP(A145,'0919門市清單主檔'!B:C,2,FALSE)</f>
        <v>三重自強店</v>
      </c>
      <c r="C145" s="181" t="str">
        <f>VLOOKUP($A145,'0919門市清單主檔'!B:V,20,FALSE)</f>
        <v>新北市</v>
      </c>
      <c r="D145" s="182" t="str">
        <f>VLOOKUP($A145,'0919門市清單主檔'!B:V,21,FALSE)</f>
        <v>三重區</v>
      </c>
      <c r="E145" s="183" t="str">
        <f>VLOOKUP(D145,區域表!A:B,2,FALSE)</f>
        <v>吳宗鴻</v>
      </c>
      <c r="F145" s="184" t="str">
        <f>IFERROR(IF(VLOOKUP(A145,門市狀態!A:D,4,FALSE)=0,"",VLOOKUP(A145,門市狀態!A:D,4,FALSE)),"")</f>
        <v/>
      </c>
      <c r="G145" s="185" t="s">
        <v>1746</v>
      </c>
      <c r="H145" s="186" t="str">
        <f t="shared" si="29"/>
        <v>-3623-三重自強店(定保)</v>
      </c>
      <c r="I145" s="190" t="s">
        <v>1746</v>
      </c>
      <c r="J145" s="188" t="str" cm="1">
        <f t="array" ref="J145">IFERROR(INDEX(IM!$X$2:$X$650, MATCH(1, (IM!$F$2:$F$650=A145) * (ISNUMBER(SEARCH($C$1, IM!$AC$2:$AC$650))), 0)), "")</f>
        <v/>
      </c>
      <c r="K145" s="159">
        <f>COUNTIFS(IM!F:F,A145,IM!AD:AD,"O",IM!X:X,"&gt;="&amp;$A$1,IM!X:X,"&lt;="&amp;$B$1)</f>
        <v>0</v>
      </c>
      <c r="L145" s="228" t="str" cm="1">
        <f t="array" ref="L145">IF(K145&gt;0,IFERROR(HYPERLINK("#'IM'!AC"&amp;MATCH(1,(IM!$F$1:$F$7700=A145)*(ISNUMBER(SEARCH("PMQ2",IM!$AC$1:$AC$7700))),0),"檢核"),"未登錄"),"")</f>
        <v/>
      </c>
      <c r="M145" s="230" t="str" cm="1">
        <f t="array" ref="M145">IF(AND(SUMPRODUCT((IM!F2:F761=A145)*(ISNUMBER(SEARCH("EDC", IM!AC2:AC761))))&gt;0), "EDC", "")</f>
        <v/>
      </c>
      <c r="N145" s="264" t="str" cm="1">
        <f t="array" ref="N145">IF(AND(SUMPRODUCT((IM!F2:F761=A145)*(ISNUMBER(SEARCH("STAR", IM!AC2:AC761))))&gt;0), "STAR", "")</f>
        <v/>
      </c>
      <c r="O145" s="256" t="str" cm="1">
        <f t="array" ref="O145">IFERROR(INDEX(IM!$X$2:$X$650, MATCH(1, (IM!$F$2:$F$650=A145) * (ISNUMBER(SEARCH($D$1, IM!$AC$2:$AC$650))), 0)), "")</f>
        <v/>
      </c>
      <c r="P145" s="191" t="str">
        <f t="shared" si="30"/>
        <v>-3623-三重自強店(定保)</v>
      </c>
      <c r="Q145" s="140"/>
      <c r="R145" s="140"/>
      <c r="S145" s="140"/>
      <c r="T145" s="140"/>
      <c r="U145" s="258">
        <f t="shared" si="31"/>
        <v>2</v>
      </c>
      <c r="V145" s="246" t="str">
        <f t="shared" si="32"/>
        <v>未到店</v>
      </c>
      <c r="W145" s="3" t="s">
        <v>4294</v>
      </c>
      <c r="X145" s="5" t="s">
        <v>4295</v>
      </c>
      <c r="Y145" s="5" t="str">
        <f t="shared" si="28"/>
        <v>STAR</v>
      </c>
    </row>
    <row r="146" spans="1:25" ht="15.75" customHeight="1">
      <c r="A146" s="179">
        <v>4388</v>
      </c>
      <c r="B146" s="180" t="str">
        <f>VLOOKUP(A146,'0919門市清單主檔'!B:C,2,FALSE)</f>
        <v>三重薔薇店</v>
      </c>
      <c r="C146" s="181" t="str">
        <f>VLOOKUP($A146,'0919門市清單主檔'!B:V,20,FALSE)</f>
        <v>新北市</v>
      </c>
      <c r="D146" s="182" t="str">
        <f>VLOOKUP($A146,'0919門市清單主檔'!B:V,21,FALSE)</f>
        <v>三重區</v>
      </c>
      <c r="E146" s="183" t="str">
        <f>VLOOKUP(D146,區域表!A:B,2,FALSE)</f>
        <v>吳宗鴻</v>
      </c>
      <c r="F146" s="184" t="str">
        <f>IFERROR(IF(VLOOKUP(A146,門市狀態!A:D,4,FALSE)=0,"",VLOOKUP(A146,門市狀態!A:D,4,FALSE)),"")</f>
        <v/>
      </c>
      <c r="G146" s="185" t="s">
        <v>1746</v>
      </c>
      <c r="H146" s="186" t="str">
        <f t="shared" si="29"/>
        <v>-4388-三重薔薇店(定保)</v>
      </c>
      <c r="I146" s="190" t="s">
        <v>1746</v>
      </c>
      <c r="J146" s="188" t="str" cm="1">
        <f t="array" ref="J146">IFERROR(INDEX(IM!$X$2:$X$650, MATCH(1, (IM!$F$2:$F$650=A146) * (ISNUMBER(SEARCH($C$1, IM!$AC$2:$AC$650))), 0)), "")</f>
        <v/>
      </c>
      <c r="K146" s="159">
        <f>COUNTIFS(IM!F:F,A146,IM!AD:AD,"O",IM!X:X,"&gt;="&amp;$A$1,IM!X:X,"&lt;="&amp;$B$1)</f>
        <v>0</v>
      </c>
      <c r="L146" s="228" t="str" cm="1">
        <f t="array" ref="L146">IF(K146&gt;0,IFERROR(HYPERLINK("#'IM'!AC"&amp;MATCH(1,(IM!$F$1:$F$7700=A146)*(ISNUMBER(SEARCH("PMQ2",IM!$AC$1:$AC$7700))),0),"檢核"),"未登錄"),"")</f>
        <v/>
      </c>
      <c r="M146" s="230" t="str" cm="1">
        <f t="array" ref="M146">IF(AND(SUMPRODUCT((IM!F2:F762=A146)*(ISNUMBER(SEARCH("EDC", IM!AC2:AC762))))&gt;0), "EDC", "")</f>
        <v/>
      </c>
      <c r="N146" s="264" t="str" cm="1">
        <f t="array" ref="N146">IF(AND(SUMPRODUCT((IM!F2:F762=A146)*(ISNUMBER(SEARCH("STAR", IM!AC2:AC762))))&gt;0), "STAR", "")</f>
        <v/>
      </c>
      <c r="O146" s="256" t="str" cm="1">
        <f t="array" ref="O146">IFERROR(INDEX(IM!$X$2:$X$650, MATCH(1, (IM!$F$2:$F$650=A146) * (ISNUMBER(SEARCH($D$1, IM!$AC$2:$AC$650))), 0)), "")</f>
        <v/>
      </c>
      <c r="P146" s="191" t="str">
        <f t="shared" si="30"/>
        <v>-4388-三重薔薇店(定保)</v>
      </c>
      <c r="Q146" s="140"/>
      <c r="R146" s="140"/>
      <c r="S146" s="140"/>
      <c r="T146" s="140"/>
      <c r="U146" s="258">
        <f t="shared" si="31"/>
        <v>2</v>
      </c>
      <c r="V146" s="246" t="str">
        <f t="shared" si="32"/>
        <v>未到店</v>
      </c>
      <c r="W146" s="3" t="s">
        <v>4296</v>
      </c>
      <c r="X146" s="5" t="s">
        <v>4297</v>
      </c>
      <c r="Y146" s="5" t="str">
        <f t="shared" si="28"/>
        <v>STAR</v>
      </c>
    </row>
    <row r="147" spans="1:25" ht="15.75" customHeight="1">
      <c r="A147" s="179">
        <v>4715</v>
      </c>
      <c r="B147" s="180" t="str">
        <f>VLOOKUP(A147,'0919門市清單主檔'!B:C,2,FALSE)</f>
        <v>林口捷韻店</v>
      </c>
      <c r="C147" s="181" t="str">
        <f>VLOOKUP($A147,'0919門市清單主檔'!B:V,20,FALSE)</f>
        <v>新北市</v>
      </c>
      <c r="D147" s="182" t="str">
        <f>VLOOKUP($A147,'0919門市清單主檔'!B:V,21,FALSE)</f>
        <v>林口區</v>
      </c>
      <c r="E147" s="183" t="str">
        <f>VLOOKUP(D147,區域表!A:B,2,FALSE)</f>
        <v>湯家瑋</v>
      </c>
      <c r="F147" s="184" t="str">
        <f>IFERROR(IF(VLOOKUP(A147,門市狀態!A:D,4,FALSE)=0,"",VLOOKUP(A147,門市狀態!A:D,4,FALSE)),"")</f>
        <v/>
      </c>
      <c r="G147" s="185" t="s">
        <v>1746</v>
      </c>
      <c r="H147" s="186" t="str">
        <f t="shared" si="29"/>
        <v>-4715-林口捷韻店(定保)</v>
      </c>
      <c r="I147" s="190" t="s">
        <v>1746</v>
      </c>
      <c r="J147" s="188" t="str" cm="1">
        <f t="array" ref="J147">IFERROR(INDEX(IM!$X$2:$X$650, MATCH(1, (IM!$F$2:$F$650=A147) * (ISNUMBER(SEARCH($C$1, IM!$AC$2:$AC$650))), 0)), "")</f>
        <v/>
      </c>
      <c r="K147" s="159">
        <f>COUNTIFS(IM!F:F,A147,IM!AD:AD,"O",IM!X:X,"&gt;="&amp;$A$1,IM!X:X,"&lt;="&amp;$B$1)</f>
        <v>0</v>
      </c>
      <c r="L147" s="228" t="str" cm="1">
        <f t="array" ref="L147">IF(K147&gt;0,IFERROR(HYPERLINK("#'IM'!AC"&amp;MATCH(1,(IM!$F$1:$F$7700=A147)*(ISNUMBER(SEARCH("PMQ2",IM!$AC$1:$AC$7700))),0),"檢核"),"未登錄"),"")</f>
        <v/>
      </c>
      <c r="M147" s="230" t="str" cm="1">
        <f t="array" ref="M147">IF(AND(SUMPRODUCT((IM!F2:F763=A147)*(ISNUMBER(SEARCH("EDC", IM!AC2:AC763))))&gt;0), "EDC", "")</f>
        <v/>
      </c>
      <c r="N147" s="264" t="str" cm="1">
        <f t="array" ref="N147">IF(AND(SUMPRODUCT((IM!F2:F763=A147)*(ISNUMBER(SEARCH("STAR", IM!AC2:AC763))))&gt;0), "STAR", "")</f>
        <v/>
      </c>
      <c r="O147" s="256" t="str" cm="1">
        <f t="array" ref="O147">IFERROR(INDEX(IM!$X$2:$X$650, MATCH(1, (IM!$F$2:$F$650=A147) * (ISNUMBER(SEARCH($D$1, IM!$AC$2:$AC$650))), 0)), "")</f>
        <v/>
      </c>
      <c r="P147" s="191" t="str">
        <f t="shared" si="30"/>
        <v>-4715-林口捷韻店(定保)</v>
      </c>
      <c r="Q147" s="140"/>
      <c r="R147" s="140"/>
      <c r="S147" s="140"/>
      <c r="T147" s="140"/>
      <c r="U147" s="258">
        <f t="shared" si="31"/>
        <v>2</v>
      </c>
      <c r="V147" s="246" t="str">
        <f t="shared" si="32"/>
        <v>未到店</v>
      </c>
      <c r="W147" s="3" t="s">
        <v>4402</v>
      </c>
      <c r="X147" s="5" t="s">
        <v>4403</v>
      </c>
      <c r="Y147" s="5" t="str">
        <f t="shared" si="28"/>
        <v>STAR</v>
      </c>
    </row>
    <row r="148" spans="1:25" ht="15.75" customHeight="1">
      <c r="A148" s="179">
        <v>4834</v>
      </c>
      <c r="B148" s="180" t="str">
        <f>VLOOKUP(A148,'0919門市清單主檔'!B:C,2,FALSE)</f>
        <v>林口大千苑店</v>
      </c>
      <c r="C148" s="181" t="str">
        <f>VLOOKUP($A148,'0919門市清單主檔'!B:V,20,FALSE)</f>
        <v>新北市</v>
      </c>
      <c r="D148" s="182" t="str">
        <f>VLOOKUP($A148,'0919門市清單主檔'!B:V,21,FALSE)</f>
        <v>林口區</v>
      </c>
      <c r="E148" s="183" t="str">
        <f>VLOOKUP(D148,區域表!A:B,2,FALSE)</f>
        <v>湯家瑋</v>
      </c>
      <c r="F148" s="184" t="str">
        <f>IFERROR(IF(VLOOKUP(A148,門市狀態!A:D,4,FALSE)=0,"",VLOOKUP(A148,門市狀態!A:D,4,FALSE)),"")</f>
        <v/>
      </c>
      <c r="G148" s="185" t="s">
        <v>1746</v>
      </c>
      <c r="H148" s="186" t="str">
        <f t="shared" si="29"/>
        <v>-4834-林口大千苑店(定保)</v>
      </c>
      <c r="I148" s="190" t="s">
        <v>1746</v>
      </c>
      <c r="J148" s="188" t="str" cm="1">
        <f t="array" ref="J148">IFERROR(INDEX(IM!$X$2:$X$650, MATCH(1, (IM!$F$2:$F$650=A148) * (ISNUMBER(SEARCH($C$1, IM!$AC$2:$AC$650))), 0)), "")</f>
        <v/>
      </c>
      <c r="K148" s="159">
        <f>COUNTIFS(IM!F:F,A148,IM!AD:AD,"O",IM!X:X,"&gt;="&amp;$A$1,IM!X:X,"&lt;="&amp;$B$1)</f>
        <v>0</v>
      </c>
      <c r="L148" s="228" t="str" cm="1">
        <f t="array" ref="L148">IF(K148&gt;0,IFERROR(HYPERLINK("#'IM'!AC"&amp;MATCH(1,(IM!$F$1:$F$7700=A148)*(ISNUMBER(SEARCH("PMQ2",IM!$AC$1:$AC$7700))),0),"檢核"),"未登錄"),"")</f>
        <v/>
      </c>
      <c r="M148" s="230" t="str" cm="1">
        <f t="array" ref="M148">IF(AND(SUMPRODUCT((IM!F2:F765=A148)*(ISNUMBER(SEARCH("EDC", IM!AC2:AC765))))&gt;0), "EDC", "")</f>
        <v/>
      </c>
      <c r="N148" s="264" t="str" cm="1">
        <f t="array" ref="N148">IF(AND(SUMPRODUCT((IM!F2:F765=A148)*(ISNUMBER(SEARCH("STAR", IM!AC2:AC765))))&gt;0), "STAR", "")</f>
        <v/>
      </c>
      <c r="O148" s="256" t="str" cm="1">
        <f t="array" ref="O148">IFERROR(INDEX(IM!$X$2:$X$650, MATCH(1, (IM!$F$2:$F$650=A148) * (ISNUMBER(SEARCH($D$1, IM!$AC$2:$AC$650))), 0)), "")</f>
        <v/>
      </c>
      <c r="P148" s="191" t="str">
        <f t="shared" si="30"/>
        <v>-4834-林口大千苑店(定保)</v>
      </c>
      <c r="Q148" s="140"/>
      <c r="R148" s="140"/>
      <c r="S148" s="140"/>
      <c r="T148" s="140"/>
      <c r="U148" s="258">
        <f t="shared" si="31"/>
        <v>1</v>
      </c>
      <c r="V148" s="246" t="str">
        <f t="shared" si="32"/>
        <v>未到店</v>
      </c>
      <c r="W148" s="3" t="s">
        <v>4404</v>
      </c>
      <c r="X148" s="5"/>
      <c r="Y148" s="5" t="str">
        <f t="shared" si="28"/>
        <v>STAR</v>
      </c>
    </row>
    <row r="149" spans="1:25" ht="15.75" customHeight="1">
      <c r="A149" s="179">
        <v>2890</v>
      </c>
      <c r="B149" s="180" t="str">
        <f>VLOOKUP(A149,'0919門市清單主檔'!B:C,2,FALSE)</f>
        <v>蘆洲鷺江店</v>
      </c>
      <c r="C149" s="181" t="str">
        <f>VLOOKUP($A149,'0919門市清單主檔'!B:V,20,FALSE)</f>
        <v>新北市</v>
      </c>
      <c r="D149" s="182" t="str">
        <f>VLOOKUP($A149,'0919門市清單主檔'!B:V,21,FALSE)</f>
        <v>蘆洲區</v>
      </c>
      <c r="E149" s="183" t="str">
        <f>VLOOKUP(D149,區域表!A:B,2,FALSE)</f>
        <v>吳宗鴻</v>
      </c>
      <c r="F149" s="184" t="str">
        <f>IFERROR(IF(VLOOKUP(A149,門市狀態!A:D,4,FALSE)=0,"",VLOOKUP(A149,門市狀態!A:D,4,FALSE)),"")</f>
        <v/>
      </c>
      <c r="G149" s="185" t="s">
        <v>1746</v>
      </c>
      <c r="H149" s="186" t="str">
        <f t="shared" si="29"/>
        <v>-2890-蘆洲鷺江店(定保)</v>
      </c>
      <c r="I149" s="190" t="s">
        <v>1746</v>
      </c>
      <c r="J149" s="188" t="str" cm="1">
        <f t="array" ref="J149">IFERROR(INDEX(IM!$X$2:$X$650, MATCH(1, (IM!$F$2:$F$650=A149) * (ISNUMBER(SEARCH($C$1, IM!$AC$2:$AC$650))), 0)), "")</f>
        <v/>
      </c>
      <c r="K149" s="159">
        <f>COUNTIFS(IM!F:F,A149,IM!AD:AD,"O",IM!X:X,"&gt;="&amp;$A$1,IM!X:X,"&lt;="&amp;$B$1)</f>
        <v>0</v>
      </c>
      <c r="L149" s="228" t="str" cm="1">
        <f t="array" ref="L149">IF(K149&gt;0,IFERROR(HYPERLINK("#'IM'!AC"&amp;MATCH(1,(IM!$F$1:$F$7700=A149)*(ISNUMBER(SEARCH("PMQ2",IM!$AC$1:$AC$7700))),0),"檢核"),"未登錄"),"")</f>
        <v/>
      </c>
      <c r="M149" s="230" t="str" cm="1">
        <f t="array" ref="M149">IF(AND(SUMPRODUCT((IM!F2:F766=A149)*(ISNUMBER(SEARCH("EDC", IM!AC2:AC766))))&gt;0), "EDC", "")</f>
        <v/>
      </c>
      <c r="N149" s="264" t="str" cm="1">
        <f t="array" ref="N149">IF(AND(SUMPRODUCT((IM!F2:F766=A149)*(ISNUMBER(SEARCH("STAR", IM!AC2:AC766))))&gt;0), "STAR", "")</f>
        <v/>
      </c>
      <c r="O149" s="256" t="str" cm="1">
        <f t="array" ref="O149">IFERROR(INDEX(IM!$X$2:$X$650, MATCH(1, (IM!$F$2:$F$650=A149) * (ISNUMBER(SEARCH($D$1, IM!$AC$2:$AC$650))), 0)), "")</f>
        <v/>
      </c>
      <c r="P149" s="191" t="str">
        <f t="shared" si="30"/>
        <v>-2890-蘆洲鷺江店(定保)</v>
      </c>
      <c r="Q149" s="140"/>
      <c r="R149" s="140"/>
      <c r="S149" s="140"/>
      <c r="T149" s="140"/>
      <c r="U149" s="258">
        <f t="shared" si="31"/>
        <v>2</v>
      </c>
      <c r="V149" s="246" t="str">
        <f t="shared" si="32"/>
        <v>未到店</v>
      </c>
      <c r="W149" s="3" t="s">
        <v>4351</v>
      </c>
      <c r="X149" s="5" t="s">
        <v>4352</v>
      </c>
      <c r="Y149" s="5" t="str">
        <f t="shared" si="28"/>
        <v>STAR</v>
      </c>
    </row>
    <row r="150" spans="1:25" ht="15.75" customHeight="1">
      <c r="A150" s="179">
        <v>4923</v>
      </c>
      <c r="B150" s="180" t="str">
        <f>VLOOKUP(A150,'0919門市清單主檔'!B:C,2,FALSE)</f>
        <v>蘆洲永平店</v>
      </c>
      <c r="C150" s="181" t="str">
        <f>VLOOKUP($A150,'0919門市清單主檔'!B:V,20,FALSE)</f>
        <v>新北市</v>
      </c>
      <c r="D150" s="182" t="str">
        <f>VLOOKUP($A150,'0919門市清單主檔'!B:V,21,FALSE)</f>
        <v>蘆洲區</v>
      </c>
      <c r="E150" s="183" t="str">
        <f>VLOOKUP(D150,區域表!A:B,2,FALSE)</f>
        <v>吳宗鴻</v>
      </c>
      <c r="F150" s="184" t="str">
        <f>IFERROR(IF(VLOOKUP(A150,門市狀態!A:D,4,FALSE)=0,"",VLOOKUP(A150,門市狀態!A:D,4,FALSE)),"")</f>
        <v/>
      </c>
      <c r="G150" s="185" t="s">
        <v>1746</v>
      </c>
      <c r="H150" s="186" t="str">
        <f t="shared" si="29"/>
        <v>-4923-蘆洲永平店(定保)</v>
      </c>
      <c r="I150" s="190" t="s">
        <v>1746</v>
      </c>
      <c r="J150" s="188" t="str" cm="1">
        <f t="array" ref="J150">IFERROR(INDEX(IM!$X$2:$X$650, MATCH(1, (IM!$F$2:$F$650=A150) * (ISNUMBER(SEARCH($C$1, IM!$AC$2:$AC$650))), 0)), "")</f>
        <v/>
      </c>
      <c r="K150" s="159">
        <f>COUNTIFS(IM!F:F,A150,IM!AD:AD,"O",IM!X:X,"&gt;="&amp;$A$1,IM!X:X,"&lt;="&amp;$B$1)</f>
        <v>0</v>
      </c>
      <c r="L150" s="228" t="str" cm="1">
        <f t="array" ref="L150">IF(K150&gt;0,IFERROR(HYPERLINK("#'IM'!AC"&amp;MATCH(1,(IM!$F$1:$F$7700=A150)*(ISNUMBER(SEARCH("PMQ2",IM!$AC$1:$AC$7700))),0),"檢核"),"未登錄"),"")</f>
        <v/>
      </c>
      <c r="M150" s="230" t="str" cm="1">
        <f t="array" ref="M150">IF(AND(SUMPRODUCT((IM!F2:F768=A150)*(ISNUMBER(SEARCH("EDC", IM!AC2:AC768))))&gt;0), "EDC", "")</f>
        <v/>
      </c>
      <c r="N150" s="264" t="str" cm="1">
        <f t="array" ref="N150">IF(AND(SUMPRODUCT((IM!F2:F768=A150)*(ISNUMBER(SEARCH("STAR", IM!AC2:AC768))))&gt;0), "STAR", "")</f>
        <v/>
      </c>
      <c r="O150" s="256" t="str" cm="1">
        <f t="array" ref="O150">IFERROR(INDEX(IM!$X$2:$X$650, MATCH(1, (IM!$F$2:$F$650=A150) * (ISNUMBER(SEARCH($D$1, IM!$AC$2:$AC$650))), 0)), "")</f>
        <v/>
      </c>
      <c r="P150" s="191" t="str">
        <f t="shared" si="30"/>
        <v>-4923-蘆洲永平店(定保)</v>
      </c>
      <c r="Q150" s="140"/>
      <c r="R150" s="140"/>
      <c r="S150" s="140"/>
      <c r="T150" s="140"/>
      <c r="U150" s="258">
        <f t="shared" si="31"/>
        <v>1</v>
      </c>
      <c r="V150" s="246" t="str">
        <f t="shared" si="32"/>
        <v>未到店</v>
      </c>
      <c r="X150" s="5" t="s">
        <v>4353</v>
      </c>
      <c r="Y150" s="5" t="str">
        <f t="shared" si="28"/>
        <v>STAR</v>
      </c>
    </row>
    <row r="151" spans="1:25" ht="15.75" customHeight="1">
      <c r="A151" s="179">
        <v>2349</v>
      </c>
      <c r="B151" s="180" t="str">
        <f>VLOOKUP(A151,'0919門市清單主檔'!B:C,2,FALSE)</f>
        <v>三重永福店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 t="shared" si="29"/>
        <v>-2349-三重永福店(定保)</v>
      </c>
      <c r="I151" s="190" t="s">
        <v>1746</v>
      </c>
      <c r="J151" s="188" t="str" cm="1">
        <f t="array" ref="J151">IFERROR(INDEX(IM!$X$2:$X$650, MATCH(1, (IM!$F$2:$F$650=A151) * (ISNUMBER(SEARCH($C$1, IM!$AC$2:$AC$650))), 0)), "")</f>
        <v/>
      </c>
      <c r="K151" s="159">
        <f>COUNTIFS(IM!F:F,A151,IM!AD:AD,"O",IM!X:X,"&gt;="&amp;$A$1,IM!X:X,"&lt;="&amp;$B$1)</f>
        <v>0</v>
      </c>
      <c r="L151" s="228" t="str" cm="1">
        <f t="array" ref="L151">IF(K151&gt;0,IFERROR(HYPERLINK("#'IM'!AC"&amp;MATCH(1,(IM!$F$1:$F$7700=A151)*(ISNUMBER(SEARCH("PMQ2",IM!$AC$1:$AC$7700))),0),"檢核"),"未登錄"),"")</f>
        <v/>
      </c>
      <c r="M151" s="230" t="str" cm="1">
        <f t="array" ref="M151">IF(AND(SUMPRODUCT((IM!F2:F769=A151)*(ISNUMBER(SEARCH("EDC", IM!AC2:AC769))))&gt;0), "EDC", "")</f>
        <v/>
      </c>
      <c r="N151" s="264" t="str" cm="1">
        <f t="array" ref="N151">IF(AND(SUMPRODUCT((IM!F2:F769=A151)*(ISNUMBER(SEARCH("STAR", IM!AC2:AC769))))&gt;0), "STAR", "")</f>
        <v/>
      </c>
      <c r="O151" s="256" t="str" cm="1">
        <f t="array" ref="O151">IFERROR(INDEX(IM!$X$2:$X$650, MATCH(1, (IM!$F$2:$F$650=A151) * (ISNUMBER(SEARCH($D$1, IM!$AC$2:$AC$650))), 0)), "")</f>
        <v/>
      </c>
      <c r="P151" s="191" t="str">
        <f t="shared" si="30"/>
        <v>-2349-三重永福店(定保)</v>
      </c>
      <c r="Q151" s="140"/>
      <c r="R151" s="140"/>
      <c r="S151" s="140"/>
      <c r="T151" s="140"/>
      <c r="U151" s="258">
        <f t="shared" si="31"/>
        <v>2</v>
      </c>
      <c r="V151" s="246" t="str">
        <f t="shared" si="32"/>
        <v>未到店</v>
      </c>
      <c r="W151" s="3" t="s">
        <v>4301</v>
      </c>
      <c r="X151" s="5" t="s">
        <v>4302</v>
      </c>
      <c r="Y151" s="5" t="str">
        <f t="shared" si="28"/>
        <v>STAR</v>
      </c>
    </row>
    <row r="152" spans="1:25" ht="15.75" customHeight="1">
      <c r="A152" s="179" t="s">
        <v>21</v>
      </c>
      <c r="B152" s="180" t="str">
        <f>VLOOKUP(A152,'0919門市清單主檔'!B:C,2,FALSE)</f>
        <v>北縣溪尾二店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1746</v>
      </c>
      <c r="H152" s="186" t="str">
        <f t="shared" si="29"/>
        <v>-D057-北縣溪尾二店(定保)</v>
      </c>
      <c r="I152" s="190" t="s">
        <v>1746</v>
      </c>
      <c r="J152" s="188" t="str" cm="1">
        <f t="array" ref="J152">IFERROR(INDEX(IM!$X$2:$X$650, MATCH(1, (IM!$F$2:$F$650=A152) * (ISNUMBER(SEARCH($C$1, IM!$AC$2:$AC$650))), 0)), "")</f>
        <v/>
      </c>
      <c r="K152" s="159">
        <f>COUNTIFS(IM!F:F,A152,IM!AD:AD,"O",IM!X:X,"&gt;="&amp;$A$1,IM!X:X,"&lt;="&amp;$B$1)</f>
        <v>0</v>
      </c>
      <c r="L152" s="228" t="str" cm="1">
        <f t="array" ref="L152">IF(K152&gt;0,IFERROR(HYPERLINK("#'IM'!AC"&amp;MATCH(1,(IM!$F$1:$F$7700=A152)*(ISNUMBER(SEARCH("PMQ2",IM!$AC$1:$AC$7700))),0),"檢核"),"未登錄"),"")</f>
        <v/>
      </c>
      <c r="M152" s="230" t="str" cm="1">
        <f t="array" ref="M152">IF(AND(SUMPRODUCT((IM!F2:F770=A152)*(ISNUMBER(SEARCH("EDC", IM!AC2:AC770))))&gt;0), "EDC", "")</f>
        <v/>
      </c>
      <c r="N152" s="264" t="str" cm="1">
        <f t="array" ref="N152">IF(AND(SUMPRODUCT((IM!F2:F770=A152)*(ISNUMBER(SEARCH("STAR", IM!AC2:AC770))))&gt;0), "STAR", "")</f>
        <v/>
      </c>
      <c r="O152" s="256" t="str" cm="1">
        <f t="array" ref="O152">IFERROR(INDEX(IM!$X$2:$X$650, MATCH(1, (IM!$F$2:$F$650=A152) * (ISNUMBER(SEARCH($D$1, IM!$AC$2:$AC$650))), 0)), "")</f>
        <v/>
      </c>
      <c r="P152" s="191" t="str">
        <f t="shared" si="30"/>
        <v>-D057-北縣溪尾二店(定保)</v>
      </c>
      <c r="Q152" s="140"/>
      <c r="R152" s="140"/>
      <c r="S152" s="140"/>
      <c r="T152" s="140"/>
      <c r="U152" s="258">
        <f t="shared" si="31"/>
        <v>2</v>
      </c>
      <c r="V152" s="246" t="str">
        <f t="shared" si="32"/>
        <v>未到店</v>
      </c>
      <c r="W152" s="3" t="s">
        <v>4324</v>
      </c>
      <c r="X152" s="5" t="s">
        <v>4325</v>
      </c>
      <c r="Y152" s="5" t="str">
        <f t="shared" si="28"/>
        <v>STAR</v>
      </c>
    </row>
    <row r="153" spans="1:25" ht="15.75" customHeight="1">
      <c r="A153" s="179">
        <v>4196</v>
      </c>
      <c r="B153" s="180" t="str">
        <f>VLOOKUP(A153,'0919門市清單主檔'!B:C,2,FALSE)</f>
        <v>三重蝶愛店</v>
      </c>
      <c r="C153" s="181" t="str">
        <f>VLOOKUP($A153,'0919門市清單主檔'!B:V,20,FALSE)</f>
        <v>新北市</v>
      </c>
      <c r="D153" s="182" t="str">
        <f>VLOOKUP($A153,'0919門市清單主檔'!B:V,21,FALSE)</f>
        <v>三重區</v>
      </c>
      <c r="E153" s="183" t="str">
        <f>VLOOKUP(D153,區域表!A:B,2,FALSE)</f>
        <v>吳宗鴻</v>
      </c>
      <c r="F153" s="184" t="str">
        <f>IFERROR(IF(VLOOKUP(A153,門市狀態!A:D,4,FALSE)=0,"",VLOOKUP(A153,門市狀態!A:D,4,FALSE)),"")</f>
        <v/>
      </c>
      <c r="G153" s="185" t="s">
        <v>1746</v>
      </c>
      <c r="H153" s="186" t="str">
        <f t="shared" si="29"/>
        <v>-4196-三重蝶愛店(定保)</v>
      </c>
      <c r="I153" s="190" t="s">
        <v>1746</v>
      </c>
      <c r="J153" s="188" t="str" cm="1">
        <f t="array" ref="J153">IFERROR(INDEX(IM!$X$2:$X$650, MATCH(1, (IM!$F$2:$F$650=A153) * (ISNUMBER(SEARCH($C$1, IM!$AC$2:$AC$650))), 0)), "")</f>
        <v/>
      </c>
      <c r="K153" s="159">
        <f>COUNTIFS(IM!F:F,A153,IM!AD:AD,"O",IM!X:X,"&gt;="&amp;$A$1,IM!X:X,"&lt;="&amp;$B$1)</f>
        <v>0</v>
      </c>
      <c r="L153" s="228" t="str" cm="1">
        <f t="array" ref="L153">IF(K153&gt;0,IFERROR(HYPERLINK("#'IM'!AC"&amp;MATCH(1,(IM!$F$1:$F$7700=A153)*(ISNUMBER(SEARCH("PMQ2",IM!$AC$1:$AC$7700))),0),"檢核"),"未登錄"),"")</f>
        <v/>
      </c>
      <c r="M153" s="230" t="str" cm="1">
        <f t="array" ref="M153">IF(AND(SUMPRODUCT((IM!F2:F771=A153)*(ISNUMBER(SEARCH("EDC", IM!AC2:AC771))))&gt;0), "EDC", "")</f>
        <v/>
      </c>
      <c r="N153" s="264" t="str" cm="1">
        <f t="array" ref="N153">IF(AND(SUMPRODUCT((IM!F2:F771=A153)*(ISNUMBER(SEARCH("STAR", IM!AC2:AC771))))&gt;0), "STAR", "")</f>
        <v/>
      </c>
      <c r="O153" s="256" t="str" cm="1">
        <f t="array" ref="O153">IFERROR(INDEX(IM!$X$2:$X$650, MATCH(1, (IM!$F$2:$F$650=A153) * (ISNUMBER(SEARCH($D$1, IM!$AC$2:$AC$650))), 0)), "")</f>
        <v/>
      </c>
      <c r="P153" s="191" t="str">
        <f t="shared" si="30"/>
        <v>-4196-三重蝶愛店(定保)</v>
      </c>
      <c r="Q153" s="140"/>
      <c r="R153" s="140"/>
      <c r="S153" s="140"/>
      <c r="T153" s="140"/>
      <c r="U153" s="258">
        <f t="shared" si="31"/>
        <v>2</v>
      </c>
      <c r="V153" s="246" t="str">
        <f t="shared" si="32"/>
        <v>未到店</v>
      </c>
      <c r="W153" s="3" t="s">
        <v>4305</v>
      </c>
      <c r="X153" s="5" t="s">
        <v>4306</v>
      </c>
      <c r="Y153" s="5" t="str">
        <f t="shared" si="28"/>
        <v>STAR</v>
      </c>
    </row>
    <row r="154" spans="1:25" ht="15.75" customHeight="1">
      <c r="A154" s="179">
        <v>4210</v>
      </c>
      <c r="B154" s="180" t="str">
        <f>VLOOKUP(A154,'0919門市清單主檔'!B:C,2,FALSE)</f>
        <v>三重福華店</v>
      </c>
      <c r="C154" s="181" t="str">
        <f>VLOOKUP($A154,'0919門市清單主檔'!B:V,20,FALSE)</f>
        <v>新北市</v>
      </c>
      <c r="D154" s="182" t="str">
        <f>VLOOKUP($A154,'0919門市清單主檔'!B:V,21,FALSE)</f>
        <v>三重區</v>
      </c>
      <c r="E154" s="183" t="str">
        <f>VLOOKUP(D154,區域表!A:B,2,FALSE)</f>
        <v>吳宗鴻</v>
      </c>
      <c r="F154" s="184" t="str">
        <f>IFERROR(IF(VLOOKUP(A154,門市狀態!A:D,4,FALSE)=0,"",VLOOKUP(A154,門市狀態!A:D,4,FALSE)),"")</f>
        <v/>
      </c>
      <c r="G154" s="185" t="s">
        <v>1746</v>
      </c>
      <c r="H154" s="186" t="str">
        <f t="shared" si="29"/>
        <v>-4210-三重福華店(定保)</v>
      </c>
      <c r="I154" s="190" t="s">
        <v>1746</v>
      </c>
      <c r="J154" s="188" t="str" cm="1">
        <f t="array" ref="J154">IFERROR(INDEX(IM!$X$2:$X$650, MATCH(1, (IM!$F$2:$F$650=A154) * (ISNUMBER(SEARCH($C$1, IM!$AC$2:$AC$650))), 0)), "")</f>
        <v/>
      </c>
      <c r="K154" s="159">
        <f>COUNTIFS(IM!F:F,A154,IM!AD:AD,"O",IM!X:X,"&gt;="&amp;$A$1,IM!X:X,"&lt;="&amp;$B$1)</f>
        <v>0</v>
      </c>
      <c r="L154" s="228" t="str" cm="1">
        <f t="array" ref="L154">IF(K154&gt;0,IFERROR(HYPERLINK("#'IM'!AC"&amp;MATCH(1,(IM!$F$1:$F$7700=A154)*(ISNUMBER(SEARCH("PMQ2",IM!$AC$1:$AC$7700))),0),"檢核"),"未登錄"),"")</f>
        <v/>
      </c>
      <c r="M154" s="230" t="str" cm="1">
        <f t="array" ref="M154">IF(AND(SUMPRODUCT((IM!F2:F772=A154)*(ISNUMBER(SEARCH("EDC", IM!AC2:AC772))))&gt;0), "EDC", "")</f>
        <v/>
      </c>
      <c r="N154" s="264" t="str" cm="1">
        <f t="array" ref="N154">IF(AND(SUMPRODUCT((IM!F2:F772=A154)*(ISNUMBER(SEARCH("STAR", IM!AC2:AC772))))&gt;0), "STAR", "")</f>
        <v/>
      </c>
      <c r="O154" s="256" t="str" cm="1">
        <f t="array" ref="O154">IFERROR(INDEX(IM!$X$2:$X$650, MATCH(1, (IM!$F$2:$F$650=A154) * (ISNUMBER(SEARCH($D$1, IM!$AC$2:$AC$650))), 0)), "")</f>
        <v/>
      </c>
      <c r="P154" s="191" t="str">
        <f t="shared" si="30"/>
        <v>-4210-三重福華店(定保)</v>
      </c>
      <c r="Q154" s="140"/>
      <c r="R154" s="140"/>
      <c r="S154" s="140"/>
      <c r="T154" s="140"/>
      <c r="U154" s="258">
        <f t="shared" si="31"/>
        <v>2</v>
      </c>
      <c r="V154" s="246" t="str">
        <f t="shared" si="32"/>
        <v>未到店</v>
      </c>
      <c r="W154" s="3" t="s">
        <v>4307</v>
      </c>
      <c r="X154" s="5" t="s">
        <v>4308</v>
      </c>
      <c r="Y154" s="5" t="str">
        <f t="shared" si="28"/>
        <v>STAR</v>
      </c>
    </row>
    <row r="155" spans="1:25" ht="15.75" customHeight="1">
      <c r="A155" s="179" t="s">
        <v>26</v>
      </c>
      <c r="B155" s="180" t="str">
        <f>VLOOKUP(A155,'0919門市清單主檔'!B:C,2,FALSE)</f>
        <v>北縣五華三店</v>
      </c>
      <c r="C155" s="181" t="str">
        <f>VLOOKUP($A155,'0919門市清單主檔'!B:V,20,FALSE)</f>
        <v>新北市</v>
      </c>
      <c r="D155" s="182" t="str">
        <f>VLOOKUP($A155,'0919門市清單主檔'!B:V,21,FALSE)</f>
        <v>三重區</v>
      </c>
      <c r="E155" s="183" t="str">
        <f>VLOOKUP(D155,區域表!A:B,2,FALSE)</f>
        <v>吳宗鴻</v>
      </c>
      <c r="F155" s="184" t="str">
        <f>IFERROR(IF(VLOOKUP(A155,門市狀態!A:D,4,FALSE)=0,"",VLOOKUP(A155,門市狀態!A:D,4,FALSE)),"")</f>
        <v/>
      </c>
      <c r="G155" s="185" t="s">
        <v>1746</v>
      </c>
      <c r="H155" s="186" t="str">
        <f t="shared" si="29"/>
        <v>-D194-北縣五華三店(定保)</v>
      </c>
      <c r="I155" s="190" t="s">
        <v>1746</v>
      </c>
      <c r="J155" s="188" t="str" cm="1">
        <f t="array" ref="J155">IFERROR(INDEX(IM!$X$2:$X$650, MATCH(1, (IM!$F$2:$F$650=A155) * (ISNUMBER(SEARCH($C$1, IM!$AC$2:$AC$650))), 0)), "")</f>
        <v/>
      </c>
      <c r="K155" s="159">
        <f>COUNTIFS(IM!F:F,A155,IM!AD:AD,"O",IM!X:X,"&gt;="&amp;$A$1,IM!X:X,"&lt;="&amp;$B$1)</f>
        <v>0</v>
      </c>
      <c r="L155" s="228" t="str" cm="1">
        <f t="array" ref="L155">IF(K155&gt;0,IFERROR(HYPERLINK("#'IM'!AC"&amp;MATCH(1,(IM!$F$1:$F$7700=A155)*(ISNUMBER(SEARCH("PMQ2",IM!$AC$1:$AC$7700))),0),"檢核"),"未登錄"),"")</f>
        <v/>
      </c>
      <c r="M155" s="230" t="str" cm="1">
        <f t="array" ref="M155">IF(AND(SUMPRODUCT((IM!F2:F773=A155)*(ISNUMBER(SEARCH("EDC", IM!AC2:AC773))))&gt;0), "EDC", "")</f>
        <v/>
      </c>
      <c r="N155" s="264" t="str" cm="1">
        <f t="array" ref="N155">IF(AND(SUMPRODUCT((IM!F2:F773=A155)*(ISNUMBER(SEARCH("STAR", IM!AC2:AC773))))&gt;0), "STAR", "")</f>
        <v/>
      </c>
      <c r="O155" s="256" t="str" cm="1">
        <f t="array" ref="O155">IFERROR(INDEX(IM!$X$2:$X$650, MATCH(1, (IM!$F$2:$F$650=A155) * (ISNUMBER(SEARCH($D$1, IM!$AC$2:$AC$650))), 0)), "")</f>
        <v/>
      </c>
      <c r="P155" s="191" t="str">
        <f t="shared" si="30"/>
        <v>-D194-北縣五華三店(定保)</v>
      </c>
      <c r="Q155" s="140"/>
      <c r="R155" s="140"/>
      <c r="S155" s="140"/>
      <c r="T155" s="140"/>
      <c r="U155" s="258">
        <f t="shared" si="31"/>
        <v>2</v>
      </c>
      <c r="V155" s="246" t="str">
        <f t="shared" si="32"/>
        <v>未到店</v>
      </c>
      <c r="W155" s="3" t="s">
        <v>4322</v>
      </c>
      <c r="X155" s="5" t="s">
        <v>4323</v>
      </c>
      <c r="Y155" s="5" t="str">
        <f t="shared" si="28"/>
        <v>STAR</v>
      </c>
    </row>
    <row r="156" spans="1:25" ht="15.75" customHeight="1">
      <c r="A156" s="179">
        <v>3892</v>
      </c>
      <c r="B156" s="180" t="str">
        <f>VLOOKUP(A156,'0919門市清單主檔'!B:C,2,FALSE)</f>
        <v>蘆洲光榮店</v>
      </c>
      <c r="C156" s="181" t="str">
        <f>VLOOKUP($A156,'0919門市清單主檔'!B:V,20,FALSE)</f>
        <v>新北市</v>
      </c>
      <c r="D156" s="182" t="str">
        <f>VLOOKUP($A156,'0919門市清單主檔'!B:V,21,FALSE)</f>
        <v>蘆洲區</v>
      </c>
      <c r="E156" s="183" t="str">
        <f>VLOOKUP(D156,區域表!A:B,2,FALSE)</f>
        <v>吳宗鴻</v>
      </c>
      <c r="F156" s="184" t="str">
        <f>IFERROR(IF(VLOOKUP(A156,門市狀態!A:D,4,FALSE)=0,"",VLOOKUP(A156,門市狀態!A:D,4,FALSE)),"")</f>
        <v/>
      </c>
      <c r="G156" s="185" t="s">
        <v>1746</v>
      </c>
      <c r="H156" s="186" t="str">
        <f t="shared" si="29"/>
        <v>-3892-蘆洲光榮店(定保)</v>
      </c>
      <c r="I156" s="190" t="s">
        <v>1746</v>
      </c>
      <c r="J156" s="188" t="str" cm="1">
        <f t="array" ref="J156">IFERROR(INDEX(IM!$X$2:$X$650, MATCH(1, (IM!$F$2:$F$650=A156) * (ISNUMBER(SEARCH($C$1, IM!$AC$2:$AC$650))), 0)), "")</f>
        <v/>
      </c>
      <c r="K156" s="159">
        <f>COUNTIFS(IM!F:F,A156,IM!AD:AD,"O",IM!X:X,"&gt;="&amp;$A$1,IM!X:X,"&lt;="&amp;$B$1)</f>
        <v>0</v>
      </c>
      <c r="L156" s="228" t="str" cm="1">
        <f t="array" ref="L156">IF(K156&gt;0,IFERROR(HYPERLINK("#'IM'!AC"&amp;MATCH(1,(IM!$F$1:$F$7700=A156)*(ISNUMBER(SEARCH("PMQ2",IM!$AC$1:$AC$7700))),0),"檢核"),"未登錄"),"")</f>
        <v/>
      </c>
      <c r="M156" s="230" t="str" cm="1">
        <f t="array" ref="M156">IF(AND(SUMPRODUCT((IM!F2:F774=A156)*(ISNUMBER(SEARCH("EDC", IM!AC2:AC774))))&gt;0), "EDC", "")</f>
        <v/>
      </c>
      <c r="N156" s="264" t="str" cm="1">
        <f t="array" ref="N156">IF(AND(SUMPRODUCT((IM!F2:F774=A156)*(ISNUMBER(SEARCH("STAR", IM!AC2:AC774))))&gt;0), "STAR", "")</f>
        <v/>
      </c>
      <c r="O156" s="256" t="str" cm="1">
        <f t="array" ref="O156">IFERROR(INDEX(IM!$X$2:$X$650, MATCH(1, (IM!$F$2:$F$650=A156) * (ISNUMBER(SEARCH($D$1, IM!$AC$2:$AC$650))), 0)), "")</f>
        <v/>
      </c>
      <c r="P156" s="191" t="str">
        <f t="shared" si="30"/>
        <v>-3892-蘆洲光榮店(定保)</v>
      </c>
      <c r="Q156" s="140"/>
      <c r="R156" s="140"/>
      <c r="S156" s="140"/>
      <c r="T156" s="140"/>
      <c r="U156" s="258">
        <f t="shared" si="31"/>
        <v>0</v>
      </c>
      <c r="V156" s="246" t="str">
        <f t="shared" si="32"/>
        <v>未到店</v>
      </c>
      <c r="X156" s="5"/>
      <c r="Y156" s="5" t="str">
        <f t="shared" si="28"/>
        <v/>
      </c>
    </row>
    <row r="157" spans="1:25" ht="15.75" customHeight="1">
      <c r="A157" s="179">
        <v>4125</v>
      </c>
      <c r="B157" s="180" t="str">
        <f>VLOOKUP(A157,'0919門市清單主檔'!B:C,2,FALSE)</f>
        <v>蘆洲長樂店</v>
      </c>
      <c r="C157" s="181" t="str">
        <f>VLOOKUP($A157,'0919門市清單主檔'!B:V,20,FALSE)</f>
        <v>新北市</v>
      </c>
      <c r="D157" s="182" t="str">
        <f>VLOOKUP($A157,'0919門市清單主檔'!B:V,21,FALSE)</f>
        <v>蘆洲區</v>
      </c>
      <c r="E157" s="183" t="str">
        <f>VLOOKUP(D157,區域表!A:B,2,FALSE)</f>
        <v>吳宗鴻</v>
      </c>
      <c r="F157" s="184" t="str">
        <f>IFERROR(IF(VLOOKUP(A157,門市狀態!A:D,4,FALSE)=0,"",VLOOKUP(A157,門市狀態!A:D,4,FALSE)),"")</f>
        <v/>
      </c>
      <c r="G157" s="185" t="s">
        <v>1746</v>
      </c>
      <c r="H157" s="186" t="str">
        <f t="shared" si="29"/>
        <v>-4125-蘆洲長樂店(定保)</v>
      </c>
      <c r="I157" s="190" t="s">
        <v>1746</v>
      </c>
      <c r="J157" s="188" t="str" cm="1">
        <f t="array" ref="J157">IFERROR(INDEX(IM!$X$2:$X$650, MATCH(1, (IM!$F$2:$F$650=A157) * (ISNUMBER(SEARCH($C$1, IM!$AC$2:$AC$650))), 0)), "")</f>
        <v/>
      </c>
      <c r="K157" s="159">
        <f>COUNTIFS(IM!F:F,A157,IM!AD:AD,"O",IM!X:X,"&gt;="&amp;$A$1,IM!X:X,"&lt;="&amp;$B$1)</f>
        <v>0</v>
      </c>
      <c r="L157" s="228" t="str" cm="1">
        <f t="array" ref="L157">IF(K157&gt;0,IFERROR(HYPERLINK("#'IM'!AC"&amp;MATCH(1,(IM!$F$1:$F$7700=A157)*(ISNUMBER(SEARCH("PMQ2",IM!$AC$1:$AC$7700))),0),"檢核"),"未登錄"),"")</f>
        <v/>
      </c>
      <c r="M157" s="230" t="str" cm="1">
        <f t="array" ref="M157">IF(AND(SUMPRODUCT((IM!F2:F775=A157)*(ISNUMBER(SEARCH("EDC", IM!AC2:AC775))))&gt;0), "EDC", "")</f>
        <v/>
      </c>
      <c r="N157" s="264" t="str" cm="1">
        <f t="array" ref="N157">IF(AND(SUMPRODUCT((IM!F2:F775=A157)*(ISNUMBER(SEARCH("STAR", IM!AC2:AC775))))&gt;0), "STAR", "")</f>
        <v/>
      </c>
      <c r="O157" s="256" t="str" cm="1">
        <f t="array" ref="O157">IFERROR(INDEX(IM!$X$2:$X$650, MATCH(1, (IM!$F$2:$F$650=A157) * (ISNUMBER(SEARCH($D$1, IM!$AC$2:$AC$650))), 0)), "")</f>
        <v/>
      </c>
      <c r="P157" s="191" t="str">
        <f t="shared" si="30"/>
        <v>-4125-蘆洲長樂店(定保)</v>
      </c>
      <c r="Q157" s="140"/>
      <c r="R157" s="140"/>
      <c r="S157" s="140"/>
      <c r="T157" s="140"/>
      <c r="U157" s="258">
        <f t="shared" si="31"/>
        <v>2</v>
      </c>
      <c r="V157" s="246" t="str">
        <f t="shared" si="32"/>
        <v>未到店</v>
      </c>
      <c r="W157" s="3" t="s">
        <v>4354</v>
      </c>
      <c r="X157" s="5" t="s">
        <v>4355</v>
      </c>
      <c r="Y157" s="5" t="str">
        <f t="shared" si="28"/>
        <v>STAR</v>
      </c>
    </row>
    <row r="158" spans="1:25" ht="15.75" customHeight="1">
      <c r="A158" s="179">
        <v>4609</v>
      </c>
      <c r="B158" s="180" t="str">
        <f>VLOOKUP(A158,'0919門市清單主檔'!B:C,2,FALSE)</f>
        <v>蘆洲洲正店</v>
      </c>
      <c r="C158" s="181" t="str">
        <f>VLOOKUP($A158,'0919門市清單主檔'!B:V,20,FALSE)</f>
        <v>新北市</v>
      </c>
      <c r="D158" s="182" t="str">
        <f>VLOOKUP($A158,'0919門市清單主檔'!B:V,21,FALSE)</f>
        <v>蘆洲區</v>
      </c>
      <c r="E158" s="183" t="str">
        <f>VLOOKUP(D158,區域表!A:B,2,FALSE)</f>
        <v>吳宗鴻</v>
      </c>
      <c r="F158" s="184" t="str">
        <f>IFERROR(IF(VLOOKUP(A158,門市狀態!A:D,4,FALSE)=0,"",VLOOKUP(A158,門市狀態!A:D,4,FALSE)),"")</f>
        <v/>
      </c>
      <c r="G158" s="185" t="s">
        <v>1746</v>
      </c>
      <c r="H158" s="186" t="str">
        <f t="shared" si="29"/>
        <v>-4609-蘆洲洲正店(定保)</v>
      </c>
      <c r="I158" s="190" t="s">
        <v>1746</v>
      </c>
      <c r="J158" s="188" t="str" cm="1">
        <f t="array" ref="J158">IFERROR(INDEX(IM!$X$2:$X$650, MATCH(1, (IM!$F$2:$F$650=A158) * (ISNUMBER(SEARCH($C$1, IM!$AC$2:$AC$650))), 0)), "")</f>
        <v/>
      </c>
      <c r="K158" s="159">
        <f>COUNTIFS(IM!F:F,A158,IM!AD:AD,"O",IM!X:X,"&gt;="&amp;$A$1,IM!X:X,"&lt;="&amp;$B$1)</f>
        <v>0</v>
      </c>
      <c r="L158" s="228" t="str" cm="1">
        <f t="array" ref="L158">IF(K158&gt;0,IFERROR(HYPERLINK("#'IM'!AC"&amp;MATCH(1,(IM!$F$1:$F$7700=A158)*(ISNUMBER(SEARCH("PMQ2",IM!$AC$1:$AC$7700))),0),"檢核"),"未登錄"),"")</f>
        <v/>
      </c>
      <c r="M158" s="230" t="str" cm="1">
        <f t="array" ref="M158">IF(AND(SUMPRODUCT((IM!F2:F776=A158)*(ISNUMBER(SEARCH("EDC", IM!AC2:AC776))))&gt;0), "EDC", "")</f>
        <v/>
      </c>
      <c r="N158" s="264" t="str" cm="1">
        <f t="array" ref="N158">IF(AND(SUMPRODUCT((IM!F2:F776=A158)*(ISNUMBER(SEARCH("STAR", IM!AC2:AC776))))&gt;0), "STAR", "")</f>
        <v/>
      </c>
      <c r="O158" s="256" t="str" cm="1">
        <f t="array" ref="O158">IFERROR(INDEX(IM!$X$2:$X$650, MATCH(1, (IM!$F$2:$F$650=A158) * (ISNUMBER(SEARCH($D$1, IM!$AC$2:$AC$650))), 0)), "")</f>
        <v/>
      </c>
      <c r="P158" s="191" t="str">
        <f t="shared" si="30"/>
        <v>-4609-蘆洲洲正店(定保)</v>
      </c>
      <c r="Q158" s="140"/>
      <c r="R158" s="140"/>
      <c r="S158" s="140"/>
      <c r="T158" s="140"/>
      <c r="U158" s="258">
        <f t="shared" si="31"/>
        <v>2</v>
      </c>
      <c r="V158" s="246" t="str">
        <f t="shared" si="32"/>
        <v>未到店</v>
      </c>
      <c r="W158" s="3" t="s">
        <v>4356</v>
      </c>
      <c r="X158" s="5" t="s">
        <v>4357</v>
      </c>
      <c r="Y158" s="5" t="str">
        <f t="shared" si="28"/>
        <v>STAR</v>
      </c>
    </row>
    <row r="159" spans="1:25" ht="15.75" customHeight="1">
      <c r="A159" s="179">
        <v>2958</v>
      </c>
      <c r="B159" s="180" t="str">
        <f>VLOOKUP(A159,'0919門市清單主檔'!B:C,2,FALSE)</f>
        <v>北縣蘆旺店</v>
      </c>
      <c r="C159" s="181" t="str">
        <f>VLOOKUP($A159,'0919門市清單主檔'!B:V,20,FALSE)</f>
        <v>新北市</v>
      </c>
      <c r="D159" s="182" t="str">
        <f>VLOOKUP($A159,'0919門市清單主檔'!B:V,21,FALSE)</f>
        <v>蘆洲區</v>
      </c>
      <c r="E159" s="183" t="str">
        <f>VLOOKUP(D159,區域表!A:B,2,FALSE)</f>
        <v>吳宗鴻</v>
      </c>
      <c r="F159" s="184" t="str">
        <f>IFERROR(IF(VLOOKUP(A159,門市狀態!A:D,4,FALSE)=0,"",VLOOKUP(A159,門市狀態!A:D,4,FALSE)),"")</f>
        <v/>
      </c>
      <c r="G159" s="185" t="s">
        <v>1746</v>
      </c>
      <c r="H159" s="186" t="str">
        <f t="shared" si="29"/>
        <v>-2958-北縣蘆旺店(定保)</v>
      </c>
      <c r="I159" s="190" t="s">
        <v>1746</v>
      </c>
      <c r="J159" s="188" t="str" cm="1">
        <f t="array" ref="J159">IFERROR(INDEX(IM!$X$2:$X$650, MATCH(1, (IM!$F$2:$F$650=A159) * (ISNUMBER(SEARCH($C$1, IM!$AC$2:$AC$650))), 0)), "")</f>
        <v/>
      </c>
      <c r="K159" s="159">
        <f>COUNTIFS(IM!F:F,A159,IM!AD:AD,"O",IM!X:X,"&gt;="&amp;$A$1,IM!X:X,"&lt;="&amp;$B$1)</f>
        <v>0</v>
      </c>
      <c r="L159" s="228" t="str" cm="1">
        <f t="array" ref="L159">IF(K159&gt;0,IFERROR(HYPERLINK("#'IM'!AC"&amp;MATCH(1,(IM!$F$1:$F$7700=A159)*(ISNUMBER(SEARCH("PMQ2",IM!$AC$1:$AC$7700))),0),"檢核"),"未登錄"),"")</f>
        <v/>
      </c>
      <c r="M159" s="230" t="str" cm="1">
        <f t="array" ref="M159">IF(AND(SUMPRODUCT((IM!F2:F777=A159)*(ISNUMBER(SEARCH("EDC", IM!AC2:AC777))))&gt;0), "EDC", "")</f>
        <v/>
      </c>
      <c r="N159" s="264" t="str" cm="1">
        <f t="array" ref="N159">IF(AND(SUMPRODUCT((IM!F2:F777=A159)*(ISNUMBER(SEARCH("STAR", IM!AC2:AC777))))&gt;0), "STAR", "")</f>
        <v/>
      </c>
      <c r="O159" s="256" t="str" cm="1">
        <f t="array" ref="O159">IFERROR(INDEX(IM!$X$2:$X$650, MATCH(1, (IM!$F$2:$F$650=A159) * (ISNUMBER(SEARCH($D$1, IM!$AC$2:$AC$650))), 0)), "")</f>
        <v/>
      </c>
      <c r="P159" s="191" t="str">
        <f t="shared" si="30"/>
        <v>-2958-北縣蘆旺店(定保)</v>
      </c>
      <c r="Q159" s="140"/>
      <c r="R159" s="140"/>
      <c r="S159" s="140"/>
      <c r="T159" s="140"/>
      <c r="U159" s="258">
        <f t="shared" si="31"/>
        <v>2</v>
      </c>
      <c r="V159" s="246" t="str">
        <f t="shared" si="32"/>
        <v>未到店</v>
      </c>
      <c r="W159" s="3" t="s">
        <v>4349</v>
      </c>
      <c r="X159" s="5" t="s">
        <v>4350</v>
      </c>
      <c r="Y159" s="5" t="str">
        <f t="shared" ref="Y159:Y190" si="33">IF(U159&gt;0,"STAR","")</f>
        <v>STAR</v>
      </c>
    </row>
    <row r="160" spans="1:25" ht="15.75" customHeight="1">
      <c r="A160" s="179">
        <v>4701</v>
      </c>
      <c r="B160" s="180" t="str">
        <f>VLOOKUP(A160,'0919門市清單主檔'!B:C,2,FALSE)</f>
        <v>新莊昌平店</v>
      </c>
      <c r="C160" s="181" t="str">
        <f>VLOOKUP($A160,'0919門市清單主檔'!B:V,20,FALSE)</f>
        <v>新北市</v>
      </c>
      <c r="D160" s="182" t="str">
        <f>VLOOKUP($A160,'0919門市清單主檔'!B:V,21,FALSE)</f>
        <v>新莊區</v>
      </c>
      <c r="E160" s="183" t="str">
        <f>VLOOKUP(D160,區域表!A:B,2,FALSE)</f>
        <v>湯家瑋</v>
      </c>
      <c r="F160" s="184" t="str">
        <f>IFERROR(IF(VLOOKUP(A160,門市狀態!A:D,4,FALSE)=0,"",VLOOKUP(A160,門市狀態!A:D,4,FALSE)),"")</f>
        <v/>
      </c>
      <c r="G160" s="185" t="s">
        <v>1746</v>
      </c>
      <c r="H160" s="186" t="str">
        <f t="shared" si="29"/>
        <v>-4701-新莊昌平店(定保)</v>
      </c>
      <c r="I160" s="190" t="s">
        <v>1746</v>
      </c>
      <c r="J160" s="188" t="str" cm="1">
        <f t="array" ref="J160">IFERROR(INDEX(IM!$X$2:$X$650, MATCH(1, (IM!$F$2:$F$650=A160) * (ISNUMBER(SEARCH($C$1, IM!$AC$2:$AC$650))), 0)), "")</f>
        <v/>
      </c>
      <c r="K160" s="159">
        <f>COUNTIFS(IM!F:F,A160,IM!AD:AD,"O",IM!X:X,"&gt;="&amp;$A$1,IM!X:X,"&lt;="&amp;$B$1)</f>
        <v>0</v>
      </c>
      <c r="L160" s="228" t="str" cm="1">
        <f t="array" ref="L160">IF(K160&gt;0,IFERROR(HYPERLINK("#'IM'!AC"&amp;MATCH(1,(IM!$F$1:$F$7700=A160)*(ISNUMBER(SEARCH("PMQ2",IM!$AC$1:$AC$7700))),0),"檢核"),"未登錄"),"")</f>
        <v/>
      </c>
      <c r="M160" s="230" t="str" cm="1">
        <f t="array" ref="M160">IF(AND(SUMPRODUCT((IM!F2:F778=A160)*(ISNUMBER(SEARCH("EDC", IM!AC2:AC778))))&gt;0), "EDC", "")</f>
        <v/>
      </c>
      <c r="N160" s="264" t="str" cm="1">
        <f t="array" ref="N160">IF(AND(SUMPRODUCT((IM!F2:F778=A160)*(ISNUMBER(SEARCH("STAR", IM!AC2:AC778))))&gt;0), "STAR", "")</f>
        <v/>
      </c>
      <c r="O160" s="256" t="str" cm="1">
        <f t="array" ref="O160">IFERROR(INDEX(IM!$X$2:$X$650, MATCH(1, (IM!$F$2:$F$650=A160) * (ISNUMBER(SEARCH($D$1, IM!$AC$2:$AC$650))), 0)), "")</f>
        <v/>
      </c>
      <c r="P160" s="191" t="str">
        <f t="shared" si="30"/>
        <v>-4701-新莊昌平店(定保)</v>
      </c>
      <c r="Q160" s="140"/>
      <c r="R160" s="140"/>
      <c r="S160" s="140"/>
      <c r="T160" s="140"/>
      <c r="U160" s="258">
        <f t="shared" si="31"/>
        <v>0</v>
      </c>
      <c r="V160" s="246" t="str">
        <f t="shared" si="32"/>
        <v>未到店</v>
      </c>
      <c r="X160" s="5"/>
      <c r="Y160" s="5" t="str">
        <f t="shared" si="33"/>
        <v/>
      </c>
    </row>
    <row r="161" spans="1:25" ht="15.75" customHeight="1">
      <c r="A161" s="179">
        <v>3999</v>
      </c>
      <c r="B161" s="180" t="str">
        <f>VLOOKUP(A161,'0919門市清單主檔'!B:C,2,FALSE)</f>
        <v>新莊福祐店</v>
      </c>
      <c r="C161" s="181" t="str">
        <f>VLOOKUP($A161,'0919門市清單主檔'!B:V,20,FALSE)</f>
        <v>新北市</v>
      </c>
      <c r="D161" s="182" t="str">
        <f>VLOOKUP($A161,'0919門市清單主檔'!B:V,21,FALSE)</f>
        <v>新莊區</v>
      </c>
      <c r="E161" s="183" t="str">
        <f>VLOOKUP(D161,區域表!A:B,2,FALSE)</f>
        <v>湯家瑋</v>
      </c>
      <c r="F161" s="184" t="str">
        <f>IFERROR(IF(VLOOKUP(A161,門市狀態!A:D,4,FALSE)=0,"",VLOOKUP(A161,門市狀態!A:D,4,FALSE)),"")</f>
        <v/>
      </c>
      <c r="G161" s="185" t="s">
        <v>1746</v>
      </c>
      <c r="H161" s="186" t="str">
        <f t="shared" si="29"/>
        <v>-3999-新莊福祐店(定保)</v>
      </c>
      <c r="I161" s="190" t="s">
        <v>1746</v>
      </c>
      <c r="J161" s="188" t="str" cm="1">
        <f t="array" ref="J161">IFERROR(INDEX(IM!$X$2:$X$650, MATCH(1, (IM!$F$2:$F$650=A161) * (ISNUMBER(SEARCH($C$1, IM!$AC$2:$AC$650))), 0)), "")</f>
        <v/>
      </c>
      <c r="K161" s="159">
        <f>COUNTIFS(IM!F:F,A161,IM!AD:AD,"O",IM!X:X,"&gt;="&amp;$A$1,IM!X:X,"&lt;="&amp;$B$1)</f>
        <v>0</v>
      </c>
      <c r="L161" s="228" t="str" cm="1">
        <f t="array" ref="L161">IF(K161&gt;0,IFERROR(HYPERLINK("#'IM'!AC"&amp;MATCH(1,(IM!$F$1:$F$7700=A161)*(ISNUMBER(SEARCH("PMQ2",IM!$AC$1:$AC$7700))),0),"檢核"),"未登錄"),"")</f>
        <v/>
      </c>
      <c r="M161" s="230" t="str" cm="1">
        <f t="array" ref="M161">IF(AND(SUMPRODUCT((IM!F2:F779=A161)*(ISNUMBER(SEARCH("EDC", IM!AC2:AC779))))&gt;0), "EDC", "")</f>
        <v/>
      </c>
      <c r="N161" s="264" t="str" cm="1">
        <f t="array" ref="N161">IF(AND(SUMPRODUCT((IM!F2:F779=A161)*(ISNUMBER(SEARCH("STAR", IM!AC2:AC779))))&gt;0), "STAR", "")</f>
        <v/>
      </c>
      <c r="O161" s="256" t="str" cm="1">
        <f t="array" ref="O161">IFERROR(INDEX(IM!$X$2:$X$650, MATCH(1, (IM!$F$2:$F$650=A161) * (ISNUMBER(SEARCH($D$1, IM!$AC$2:$AC$650))), 0)), "")</f>
        <v/>
      </c>
      <c r="P161" s="191" t="str">
        <f t="shared" si="30"/>
        <v>-3999-新莊福祐店(定保)</v>
      </c>
      <c r="Q161" s="140"/>
      <c r="R161" s="140"/>
      <c r="S161" s="140"/>
      <c r="T161" s="140"/>
      <c r="U161" s="258">
        <f t="shared" si="31"/>
        <v>1</v>
      </c>
      <c r="V161" s="246" t="str">
        <f t="shared" si="32"/>
        <v>未到店</v>
      </c>
      <c r="X161" s="5" t="s">
        <v>4413</v>
      </c>
      <c r="Y161" s="5" t="str">
        <f t="shared" si="33"/>
        <v>STAR</v>
      </c>
    </row>
    <row r="162" spans="1:25" ht="15.75" customHeight="1">
      <c r="A162" s="179">
        <v>2069</v>
      </c>
      <c r="B162" s="180" t="str">
        <f>VLOOKUP(A162,'0919門市清單主檔'!B:C,2,FALSE)</f>
        <v>板橋江子翠站</v>
      </c>
      <c r="C162" s="181" t="str">
        <f>VLOOKUP($A162,'0919門市清單主檔'!B:V,20,FALSE)</f>
        <v>新北市</v>
      </c>
      <c r="D162" s="182" t="str">
        <f>VLOOKUP($A162,'0919門市清單主檔'!B:V,21,FALSE)</f>
        <v>板橋區</v>
      </c>
      <c r="E162" s="183" t="str">
        <f>VLOOKUP(D162,區域表!A:B,2,FALSE)</f>
        <v>狄澤洋</v>
      </c>
      <c r="F162" s="184" t="str">
        <f>IFERROR(IF(VLOOKUP(A162,門市狀態!A:D,4,FALSE)=0,"",VLOOKUP(A162,門市狀態!A:D,4,FALSE)),"")</f>
        <v/>
      </c>
      <c r="G162" s="185"/>
      <c r="H162" s="186" t="str">
        <f t="shared" si="29"/>
        <v>-2069-板橋江子翠站(定保)</v>
      </c>
      <c r="I162" s="190" t="s">
        <v>1746</v>
      </c>
      <c r="J162" s="188" t="str" cm="1">
        <f t="array" ref="J162">IFERROR(INDEX(IM!$X$2:$X$650, MATCH(1, (IM!$F$2:$F$650=A162) * (ISNUMBER(SEARCH($C$1, IM!$AC$2:$AC$650))), 0)), "")</f>
        <v/>
      </c>
      <c r="K162" s="159">
        <f>COUNTIFS(IM!F:F,A162,IM!AD:AD,"O",IM!X:X,"&gt;="&amp;$A$1,IM!X:X,"&lt;="&amp;$B$1)</f>
        <v>0</v>
      </c>
      <c r="L162" s="228" t="str" cm="1">
        <f t="array" ref="L162">IF(K162&gt;0,IFERROR(HYPERLINK("#'IM'!AC"&amp;MATCH(1,(IM!$F$1:$F$7700=A162)*(ISNUMBER(SEARCH("PMQ2",IM!$AC$1:$AC$7700))),0),"檢核"),"未登錄"),"")</f>
        <v/>
      </c>
      <c r="M162" s="230" t="str" cm="1">
        <f t="array" ref="M162">IF(AND(SUMPRODUCT((IM!F2:F781=A162)*(ISNUMBER(SEARCH("EDC", IM!AC2:AC781))))&gt;0), "EDC", "")</f>
        <v/>
      </c>
      <c r="N162" s="264" t="str" cm="1">
        <f t="array" ref="N162">IF(AND(SUMPRODUCT((IM!F2:F781=A162)*(ISNUMBER(SEARCH("STAR", IM!AC2:AC781))))&gt;0), "STAR", "")</f>
        <v/>
      </c>
      <c r="O162" s="256" t="str" cm="1">
        <f t="array" ref="O162">IFERROR(INDEX(IM!$X$2:$X$650, MATCH(1, (IM!$F$2:$F$650=A162) * (ISNUMBER(SEARCH($D$1, IM!$AC$2:$AC$650))), 0)), "")</f>
        <v/>
      </c>
      <c r="P162" s="191" t="str">
        <f t="shared" si="30"/>
        <v>-2069-板橋江子翠站(定保)</v>
      </c>
      <c r="Q162" s="140"/>
      <c r="R162" s="140"/>
      <c r="S162" s="140"/>
      <c r="T162" s="140"/>
      <c r="U162" s="258">
        <f t="shared" si="31"/>
        <v>2</v>
      </c>
      <c r="V162" s="246" t="str">
        <f t="shared" si="32"/>
        <v>未到店</v>
      </c>
      <c r="W162" s="3" t="s">
        <v>4380</v>
      </c>
      <c r="X162" s="5" t="s">
        <v>4381</v>
      </c>
      <c r="Y162" s="5" t="str">
        <f t="shared" si="33"/>
        <v>STAR</v>
      </c>
    </row>
    <row r="163" spans="1:25" ht="15.75" customHeight="1">
      <c r="A163" s="179" t="s">
        <v>27</v>
      </c>
      <c r="B163" s="180" t="str">
        <f>VLOOKUP(A163,'0919門市清單主檔'!B:C,2,FALSE)</f>
        <v>三重車路頭</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1746</v>
      </c>
      <c r="H163" s="186" t="str">
        <f t="shared" si="29"/>
        <v>-D195-三重車路頭(定保)</v>
      </c>
      <c r="I163" s="190" t="s">
        <v>1746</v>
      </c>
      <c r="J163" s="188" t="str" cm="1">
        <f t="array" ref="J163">IFERROR(INDEX(IM!$X$2:$X$650, MATCH(1, (IM!$F$2:$F$650=A163) * (ISNUMBER(SEARCH($C$1, IM!$AC$2:$AC$650))), 0)), "")</f>
        <v/>
      </c>
      <c r="K163" s="159">
        <f>COUNTIFS(IM!F:F,A163,IM!AD:AD,"O",IM!X:X,"&gt;="&amp;$A$1,IM!X:X,"&lt;="&amp;$B$1)</f>
        <v>0</v>
      </c>
      <c r="L163" s="228" t="str" cm="1">
        <f t="array" ref="L163">IF(K163&gt;0,IFERROR(HYPERLINK("#'IM'!AC"&amp;MATCH(1,(IM!$F$1:$F$7700=A163)*(ISNUMBER(SEARCH("PMQ2",IM!$AC$1:$AC$7700))),0),"檢核"),"未登錄"),"")</f>
        <v/>
      </c>
      <c r="M163" s="230" t="str" cm="1">
        <f t="array" ref="M163">IF(AND(SUMPRODUCT((IM!F2:F782=A163)*(ISNUMBER(SEARCH("EDC", IM!AC2:AC782))))&gt;0), "EDC", "")</f>
        <v/>
      </c>
      <c r="N163" s="264" t="str" cm="1">
        <f t="array" ref="N163">IF(AND(SUMPRODUCT((IM!F2:F782=A163)*(ISNUMBER(SEARCH("STAR", IM!AC2:AC782))))&gt;0), "STAR", "")</f>
        <v/>
      </c>
      <c r="O163" s="256" t="str" cm="1">
        <f t="array" ref="O163">IFERROR(INDEX(IM!$X$2:$X$650, MATCH(1, (IM!$F$2:$F$650=A163) * (ISNUMBER(SEARCH($D$1, IM!$AC$2:$AC$650))), 0)), "")</f>
        <v/>
      </c>
      <c r="P163" s="191" t="str">
        <f t="shared" si="30"/>
        <v>-D195-三重車路頭(定保)</v>
      </c>
      <c r="Q163" s="140"/>
      <c r="R163" s="140"/>
      <c r="S163" s="140"/>
      <c r="T163" s="140"/>
      <c r="U163" s="258">
        <f t="shared" si="31"/>
        <v>1</v>
      </c>
      <c r="V163" s="246" t="str">
        <f t="shared" si="32"/>
        <v>未到店</v>
      </c>
      <c r="W163" s="3">
        <v>8155002442</v>
      </c>
      <c r="X163" s="5"/>
      <c r="Y163" s="5" t="str">
        <f t="shared" si="33"/>
        <v>STAR</v>
      </c>
    </row>
    <row r="164" spans="1:25" ht="15.75" customHeight="1">
      <c r="A164" s="179">
        <v>2222</v>
      </c>
      <c r="B164" s="180" t="str">
        <f>VLOOKUP(A164,'0919門市清單主檔'!B:C,2,FALSE)</f>
        <v>三重義天店</v>
      </c>
      <c r="C164" s="181" t="str">
        <f>VLOOKUP($A164,'0919門市清單主檔'!B:V,20,FALSE)</f>
        <v>新北市</v>
      </c>
      <c r="D164" s="182" t="str">
        <f>VLOOKUP($A164,'0919門市清單主檔'!B:V,21,FALSE)</f>
        <v>三重區</v>
      </c>
      <c r="E164" s="183" t="str">
        <f>VLOOKUP(D164,區域表!A:B,2,FALSE)</f>
        <v>吳宗鴻</v>
      </c>
      <c r="F164" s="184" t="str">
        <f>IFERROR(IF(VLOOKUP(A164,門市狀態!A:D,4,FALSE)=0,"",VLOOKUP(A164,門市狀態!A:D,4,FALSE)),"")</f>
        <v/>
      </c>
      <c r="G164" s="185" t="s">
        <v>1746</v>
      </c>
      <c r="H164" s="186" t="str">
        <f t="shared" si="29"/>
        <v>-2222-三重義天店(定保)</v>
      </c>
      <c r="I164" s="190" t="s">
        <v>1746</v>
      </c>
      <c r="J164" s="188" t="str" cm="1">
        <f t="array" ref="J164">IFERROR(INDEX(IM!$X$2:$X$650, MATCH(1, (IM!$F$2:$F$650=A164) * (ISNUMBER(SEARCH($C$1, IM!$AC$2:$AC$650))), 0)), "")</f>
        <v/>
      </c>
      <c r="K164" s="159">
        <f>COUNTIFS(IM!F:F,A164,IM!AD:AD,"O",IM!X:X,"&gt;="&amp;$A$1,IM!X:X,"&lt;="&amp;$B$1)</f>
        <v>0</v>
      </c>
      <c r="L164" s="228" t="str" cm="1">
        <f t="array" ref="L164">IF(K164&gt;0,IFERROR(HYPERLINK("#'IM'!AC"&amp;MATCH(1,(IM!$F$1:$F$7700=A164)*(ISNUMBER(SEARCH("PMQ2",IM!$AC$1:$AC$7700))),0),"檢核"),"未登錄"),"")</f>
        <v/>
      </c>
      <c r="M164" s="230" t="str" cm="1">
        <f t="array" ref="M164">IF(AND(SUMPRODUCT((IM!F2:F783=A164)*(ISNUMBER(SEARCH("EDC", IM!AC2:AC783))))&gt;0), "EDC", "")</f>
        <v/>
      </c>
      <c r="N164" s="264" t="str" cm="1">
        <f t="array" ref="N164">IF(AND(SUMPRODUCT((IM!F2:F783=A164)*(ISNUMBER(SEARCH("STAR", IM!AC2:AC783))))&gt;0), "STAR", "")</f>
        <v/>
      </c>
      <c r="O164" s="256" t="str" cm="1">
        <f t="array" ref="O164">IFERROR(INDEX(IM!$X$2:$X$650, MATCH(1, (IM!$F$2:$F$650=A164) * (ISNUMBER(SEARCH($D$1, IM!$AC$2:$AC$650))), 0)), "")</f>
        <v/>
      </c>
      <c r="P164" s="191" t="str">
        <f t="shared" si="30"/>
        <v>-2222-三重義天店(定保)</v>
      </c>
      <c r="Q164" s="140"/>
      <c r="R164" s="140"/>
      <c r="S164" s="140"/>
      <c r="T164" s="140"/>
      <c r="U164" s="258">
        <f t="shared" si="31"/>
        <v>2</v>
      </c>
      <c r="V164" s="246" t="str">
        <f t="shared" si="32"/>
        <v>未到店</v>
      </c>
      <c r="W164" s="3" t="s">
        <v>4313</v>
      </c>
      <c r="X164" s="5" t="s">
        <v>4314</v>
      </c>
      <c r="Y164" s="5" t="str">
        <f t="shared" si="33"/>
        <v>STAR</v>
      </c>
    </row>
    <row r="165" spans="1:25" ht="15.75" customHeight="1">
      <c r="A165" s="179">
        <v>3601</v>
      </c>
      <c r="B165" s="180" t="str">
        <f>VLOOKUP(A165,'0919門市清單主檔'!B:C,2,FALSE)</f>
        <v>北縣重富店</v>
      </c>
      <c r="C165" s="181" t="str">
        <f>VLOOKUP($A165,'0919門市清單主檔'!B:V,20,FALSE)</f>
        <v>新北市</v>
      </c>
      <c r="D165" s="182" t="str">
        <f>VLOOKUP($A165,'0919門市清單主檔'!B:V,21,FALSE)</f>
        <v>三重區</v>
      </c>
      <c r="E165" s="183" t="str">
        <f>VLOOKUP(D165,區域表!A:B,2,FALSE)</f>
        <v>吳宗鴻</v>
      </c>
      <c r="F165" s="184" t="str">
        <f>IFERROR(IF(VLOOKUP(A165,門市狀態!A:D,4,FALSE)=0,"",VLOOKUP(A165,門市狀態!A:D,4,FALSE)),"")</f>
        <v/>
      </c>
      <c r="G165" s="185" t="s">
        <v>1746</v>
      </c>
      <c r="H165" s="186" t="str">
        <f t="shared" si="29"/>
        <v>-3601-北縣重富店(定保)</v>
      </c>
      <c r="I165" s="190" t="s">
        <v>1746</v>
      </c>
      <c r="J165" s="188" t="str" cm="1">
        <f t="array" ref="J165">IFERROR(INDEX(IM!$X$2:$X$650, MATCH(1, (IM!$F$2:$F$650=A165) * (ISNUMBER(SEARCH($C$1, IM!$AC$2:$AC$650))), 0)), "")</f>
        <v/>
      </c>
      <c r="K165" s="159">
        <f>COUNTIFS(IM!F:F,A165,IM!AD:AD,"O",IM!X:X,"&gt;="&amp;$A$1,IM!X:X,"&lt;="&amp;$B$1)</f>
        <v>0</v>
      </c>
      <c r="L165" s="228" t="str" cm="1">
        <f t="array" ref="L165">IF(K165&gt;0,IFERROR(HYPERLINK("#'IM'!AC"&amp;MATCH(1,(IM!$F$1:$F$7700=A165)*(ISNUMBER(SEARCH("PMQ2",IM!$AC$1:$AC$7700))),0),"檢核"),"未登錄"),"")</f>
        <v/>
      </c>
      <c r="M165" s="230" t="str" cm="1">
        <f t="array" ref="M165">IF(AND(SUMPRODUCT((IM!F2:F785=A165)*(ISNUMBER(SEARCH("EDC", IM!AC2:AC785))))&gt;0), "EDC", "")</f>
        <v/>
      </c>
      <c r="N165" s="264" t="str" cm="1">
        <f t="array" ref="N165">IF(AND(SUMPRODUCT((IM!F2:F785=A165)*(ISNUMBER(SEARCH("STAR", IM!AC2:AC785))))&gt;0), "STAR", "")</f>
        <v/>
      </c>
      <c r="O165" s="256" t="str" cm="1">
        <f t="array" ref="O165">IFERROR(INDEX(IM!$X$2:$X$650, MATCH(1, (IM!$F$2:$F$650=A165) * (ISNUMBER(SEARCH($D$1, IM!$AC$2:$AC$650))), 0)), "")</f>
        <v/>
      </c>
      <c r="P165" s="191" t="str">
        <f t="shared" si="30"/>
        <v>-3601-北縣重富店(定保)</v>
      </c>
      <c r="Q165" s="140"/>
      <c r="R165" s="140"/>
      <c r="S165" s="140"/>
      <c r="T165" s="140"/>
      <c r="U165" s="258">
        <f t="shared" si="31"/>
        <v>2</v>
      </c>
      <c r="V165" s="246" t="str">
        <f t="shared" si="32"/>
        <v>未到店</v>
      </c>
      <c r="W165" s="3" t="s">
        <v>4332</v>
      </c>
      <c r="X165" s="5" t="s">
        <v>4333</v>
      </c>
      <c r="Y165" s="5" t="str">
        <f t="shared" si="33"/>
        <v>STAR</v>
      </c>
    </row>
    <row r="166" spans="1:25" ht="15.75" customHeight="1">
      <c r="A166" s="179">
        <v>3840</v>
      </c>
      <c r="B166" s="180" t="str">
        <f>VLOOKUP(A166,'0919門市清單主檔'!B:C,2,FALSE)</f>
        <v>北縣天龍店</v>
      </c>
      <c r="C166" s="181" t="str">
        <f>VLOOKUP($A166,'0919門市清單主檔'!B:V,20,FALSE)</f>
        <v>新北市</v>
      </c>
      <c r="D166" s="182" t="str">
        <f>VLOOKUP($A166,'0919門市清單主檔'!B:V,21,FALSE)</f>
        <v>三重區</v>
      </c>
      <c r="E166" s="183" t="str">
        <f>VLOOKUP(D166,區域表!A:B,2,FALSE)</f>
        <v>吳宗鴻</v>
      </c>
      <c r="F166" s="184" t="str">
        <f>IFERROR(IF(VLOOKUP(A166,門市狀態!A:D,4,FALSE)=0,"",VLOOKUP(A166,門市狀態!A:D,4,FALSE)),"")</f>
        <v/>
      </c>
      <c r="G166" s="185" t="s">
        <v>1746</v>
      </c>
      <c r="H166" s="186" t="str">
        <f t="shared" si="29"/>
        <v>-3840-北縣天龍店(定保)</v>
      </c>
      <c r="I166" s="190" t="s">
        <v>1746</v>
      </c>
      <c r="J166" s="188" t="str" cm="1">
        <f t="array" ref="J166">IFERROR(INDEX(IM!$X$2:$X$650, MATCH(1, (IM!$F$2:$F$650=A166) * (ISNUMBER(SEARCH($C$1, IM!$AC$2:$AC$650))), 0)), "")</f>
        <v/>
      </c>
      <c r="K166" s="159">
        <f>COUNTIFS(IM!F:F,A166,IM!AD:AD,"O",IM!X:X,"&gt;="&amp;$A$1,IM!X:X,"&lt;="&amp;$B$1)</f>
        <v>0</v>
      </c>
      <c r="L166" s="228" t="str" cm="1">
        <f t="array" ref="L166">IF(K166&gt;0,IFERROR(HYPERLINK("#'IM'!AC"&amp;MATCH(1,(IM!$F$1:$F$7700=A166)*(ISNUMBER(SEARCH("PMQ2",IM!$AC$1:$AC$7700))),0),"檢核"),"未登錄"),"")</f>
        <v/>
      </c>
      <c r="M166" s="230" t="str" cm="1">
        <f t="array" ref="M166">IF(AND(SUMPRODUCT((IM!F2:F786=A166)*(ISNUMBER(SEARCH("EDC", IM!AC2:AC786))))&gt;0), "EDC", "")</f>
        <v/>
      </c>
      <c r="N166" s="264" t="str" cm="1">
        <f t="array" ref="N166">IF(AND(SUMPRODUCT((IM!F2:F786=A166)*(ISNUMBER(SEARCH("STAR", IM!AC2:AC786))))&gt;0), "STAR", "")</f>
        <v/>
      </c>
      <c r="O166" s="256" t="str" cm="1">
        <f t="array" ref="O166">IFERROR(INDEX(IM!$X$2:$X$650, MATCH(1, (IM!$F$2:$F$650=A166) * (ISNUMBER(SEARCH($D$1, IM!$AC$2:$AC$650))), 0)), "")</f>
        <v/>
      </c>
      <c r="P166" s="191" t="str">
        <f t="shared" si="30"/>
        <v>-3840-北縣天龍店(定保)</v>
      </c>
      <c r="Q166" s="140"/>
      <c r="R166" s="140"/>
      <c r="S166" s="140"/>
      <c r="T166" s="140"/>
      <c r="U166" s="258">
        <f t="shared" si="31"/>
        <v>2</v>
      </c>
      <c r="V166" s="246" t="str">
        <f t="shared" si="32"/>
        <v>未到店</v>
      </c>
      <c r="W166" s="3" t="s">
        <v>4330</v>
      </c>
      <c r="X166" s="5" t="s">
        <v>4331</v>
      </c>
      <c r="Y166" s="5" t="str">
        <f t="shared" si="33"/>
        <v>STAR</v>
      </c>
    </row>
    <row r="167" spans="1:25" ht="15.75" customHeight="1">
      <c r="A167" s="179">
        <v>4352</v>
      </c>
      <c r="B167" s="180" t="str">
        <f>VLOOKUP(A167,'0919門市清單主檔'!B:C,2,FALSE)</f>
        <v>三重公園店</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 t="shared" si="29"/>
        <v>-4352-三重公園店(定保)</v>
      </c>
      <c r="I167" s="190" t="s">
        <v>1746</v>
      </c>
      <c r="J167" s="188" t="str" cm="1">
        <f t="array" ref="J167">IFERROR(INDEX(IM!$X$2:$X$650, MATCH(1, (IM!$F$2:$F$650=A167) * (ISNUMBER(SEARCH($C$1, IM!$AC$2:$AC$650))), 0)), "")</f>
        <v/>
      </c>
      <c r="K167" s="159">
        <f>COUNTIFS(IM!F:F,A167,IM!AD:AD,"O",IM!X:X,"&gt;="&amp;$A$1,IM!X:X,"&lt;="&amp;$B$1)</f>
        <v>0</v>
      </c>
      <c r="L167" s="228" t="str" cm="1">
        <f t="array" ref="L167">IF(K167&gt;0,IFERROR(HYPERLINK("#'IM'!AC"&amp;MATCH(1,(IM!$F$1:$F$7700=A167)*(ISNUMBER(SEARCH("PMQ2",IM!$AC$1:$AC$7700))),0),"檢核"),"未登錄"),"")</f>
        <v/>
      </c>
      <c r="M167" s="230" t="str" cm="1">
        <f t="array" ref="M167">IF(AND(SUMPRODUCT((IM!F2:F787=A167)*(ISNUMBER(SEARCH("EDC", IM!AC2:AC787))))&gt;0), "EDC", "")</f>
        <v/>
      </c>
      <c r="N167" s="264" t="str" cm="1">
        <f t="array" ref="N167">IF(AND(SUMPRODUCT((IM!F2:F787=A167)*(ISNUMBER(SEARCH("STAR", IM!AC2:AC787))))&gt;0), "STAR", "")</f>
        <v/>
      </c>
      <c r="O167" s="256" t="str" cm="1">
        <f t="array" ref="O167">IFERROR(INDEX(IM!$X$2:$X$650, MATCH(1, (IM!$F$2:$F$650=A167) * (ISNUMBER(SEARCH($D$1, IM!$AC$2:$AC$650))), 0)), "")</f>
        <v/>
      </c>
      <c r="P167" s="191" t="str">
        <f t="shared" si="30"/>
        <v>-4352-三重公園店(定保)</v>
      </c>
      <c r="Q167" s="140"/>
      <c r="R167" s="140"/>
      <c r="S167" s="140"/>
      <c r="T167" s="140"/>
      <c r="U167" s="258">
        <f t="shared" si="31"/>
        <v>2</v>
      </c>
      <c r="V167" s="246" t="str">
        <f t="shared" si="32"/>
        <v>未到店</v>
      </c>
      <c r="W167" s="3" t="s">
        <v>4328</v>
      </c>
      <c r="X167" s="5" t="s">
        <v>4329</v>
      </c>
      <c r="Y167" s="5" t="str">
        <f t="shared" si="33"/>
        <v>STAR</v>
      </c>
    </row>
    <row r="168" spans="1:25" ht="15.75" customHeight="1">
      <c r="A168" s="179">
        <v>3796</v>
      </c>
      <c r="B168" s="180" t="str">
        <f>VLOOKUP(A168,'0919門市清單主檔'!B:C,2,FALSE)</f>
        <v>三重進安店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 t="shared" si="29"/>
        <v>-3796-三重進安店(定保)</v>
      </c>
      <c r="I168" s="190" t="s">
        <v>1746</v>
      </c>
      <c r="J168" s="188" t="str" cm="1">
        <f t="array" ref="J168">IFERROR(INDEX(IM!$X$2:$X$650, MATCH(1, (IM!$F$2:$F$650=A168) * (ISNUMBER(SEARCH($C$1, IM!$AC$2:$AC$650))), 0)), "")</f>
        <v/>
      </c>
      <c r="K168" s="159">
        <f>COUNTIFS(IM!F:F,A168,IM!AD:AD,"O",IM!X:X,"&gt;="&amp;$A$1,IM!X:X,"&lt;="&amp;$B$1)</f>
        <v>0</v>
      </c>
      <c r="L168" s="228" t="str" cm="1">
        <f t="array" ref="L168">IF(K168&gt;0,IFERROR(HYPERLINK("#'IM'!AC"&amp;MATCH(1,(IM!$F$1:$F$7700=A168)*(ISNUMBER(SEARCH("PMQ2",IM!$AC$1:$AC$7700))),0),"檢核"),"未登錄"),"")</f>
        <v/>
      </c>
      <c r="M168" s="230" t="str" cm="1">
        <f t="array" ref="M168">IF(AND(SUMPRODUCT((IM!F2:F789=A168)*(ISNUMBER(SEARCH("EDC", IM!AC2:AC789))))&gt;0), "EDC", "")</f>
        <v/>
      </c>
      <c r="N168" s="264" t="str" cm="1">
        <f t="array" ref="N168">IF(AND(SUMPRODUCT((IM!F2:F789=A168)*(ISNUMBER(SEARCH("STAR", IM!AC2:AC789))))&gt;0), "STAR", "")</f>
        <v/>
      </c>
      <c r="O168" s="256" t="str" cm="1">
        <f t="array" ref="O168">IFERROR(INDEX(IM!$X$2:$X$650, MATCH(1, (IM!$F$2:$F$650=A168) * (ISNUMBER(SEARCH($D$1, IM!$AC$2:$AC$650))), 0)), "")</f>
        <v/>
      </c>
      <c r="P168" s="191" t="str">
        <f t="shared" si="30"/>
        <v>-3796-三重進安店(定保)</v>
      </c>
      <c r="Q168" s="140"/>
      <c r="R168" s="140"/>
      <c r="S168" s="140"/>
      <c r="T168" s="140"/>
      <c r="U168" s="258">
        <f t="shared" si="31"/>
        <v>2</v>
      </c>
      <c r="V168" s="246" t="str">
        <f t="shared" si="32"/>
        <v>未到店</v>
      </c>
      <c r="W168" s="3" t="s">
        <v>4320</v>
      </c>
      <c r="X168" s="5" t="s">
        <v>4321</v>
      </c>
      <c r="Y168" s="5" t="str">
        <f t="shared" si="33"/>
        <v>STAR</v>
      </c>
    </row>
    <row r="169" spans="1:25" ht="15.75" customHeight="1">
      <c r="A169" s="179" t="s">
        <v>39</v>
      </c>
      <c r="B169" s="180" t="str">
        <f>VLOOKUP(A169,'0919門市清單主檔'!B:C,2,FALSE)</f>
        <v>北縣三愛三店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 t="shared" si="29"/>
        <v>-D620-北縣三愛三店(定保)</v>
      </c>
      <c r="I169" s="190" t="s">
        <v>1746</v>
      </c>
      <c r="J169" s="188" t="str" cm="1">
        <f t="array" ref="J169">IFERROR(INDEX(IM!$X$2:$X$650, MATCH(1, (IM!$F$2:$F$650=A169) * (ISNUMBER(SEARCH($C$1, IM!$AC$2:$AC$650))), 0)), "")</f>
        <v/>
      </c>
      <c r="K169" s="159">
        <f>COUNTIFS(IM!F:F,A169,IM!AD:AD,"O",IM!X:X,"&gt;="&amp;$A$1,IM!X:X,"&lt;="&amp;$B$1)</f>
        <v>0</v>
      </c>
      <c r="L169" s="228" t="str" cm="1">
        <f t="array" ref="L169">IF(K169&gt;0,IFERROR(HYPERLINK("#'IM'!AC"&amp;MATCH(1,(IM!$F$1:$F$7700=A169)*(ISNUMBER(SEARCH("PMQ2",IM!$AC$1:$AC$7700))),0),"檢核"),"未登錄"),"")</f>
        <v/>
      </c>
      <c r="M169" s="230" t="str" cm="1">
        <f t="array" ref="M169">IF(AND(SUMPRODUCT((IM!F2:F790=A169)*(ISNUMBER(SEARCH("EDC", IM!AC2:AC790))))&gt;0), "EDC", "")</f>
        <v/>
      </c>
      <c r="N169" s="264" t="str" cm="1">
        <f t="array" ref="N169">IF(AND(SUMPRODUCT((IM!F2:F790=A169)*(ISNUMBER(SEARCH("STAR", IM!AC2:AC790))))&gt;0), "STAR", "")</f>
        <v/>
      </c>
      <c r="O169" s="256" t="str" cm="1">
        <f t="array" ref="O169">IFERROR(INDEX(IM!$X$2:$X$650, MATCH(1, (IM!$F$2:$F$650=A169) * (ISNUMBER(SEARCH($D$1, IM!$AC$2:$AC$650))), 0)), "")</f>
        <v/>
      </c>
      <c r="P169" s="191" t="str">
        <f t="shared" si="30"/>
        <v>-D620-北縣三愛三店(定保)</v>
      </c>
      <c r="Q169" s="140"/>
      <c r="R169" s="140"/>
      <c r="S169" s="140"/>
      <c r="T169" s="140"/>
      <c r="U169" s="258">
        <f t="shared" si="31"/>
        <v>2</v>
      </c>
      <c r="V169" s="246" t="str">
        <f t="shared" si="32"/>
        <v>未到店</v>
      </c>
      <c r="W169" s="3" t="s">
        <v>4303</v>
      </c>
      <c r="X169" s="5" t="s">
        <v>4304</v>
      </c>
      <c r="Y169" s="5" t="str">
        <f t="shared" si="33"/>
        <v>STAR</v>
      </c>
    </row>
    <row r="170" spans="1:25" ht="15.75" customHeight="1">
      <c r="A170" s="179" t="s">
        <v>28</v>
      </c>
      <c r="B170" s="180" t="str">
        <f>VLOOKUP(A170,'0919門市清單主檔'!B:C,2,FALSE)</f>
        <v>三重維德店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 t="shared" si="29"/>
        <v>-D346-三重維德店(定保)</v>
      </c>
      <c r="I170" s="190" t="s">
        <v>1746</v>
      </c>
      <c r="J170" s="188" t="str" cm="1">
        <f t="array" ref="J170">IFERROR(INDEX(IM!$X$2:$X$650, MATCH(1, (IM!$F$2:$F$650=A170) * (ISNUMBER(SEARCH($C$1, IM!$AC$2:$AC$650))), 0)), "")</f>
        <v/>
      </c>
      <c r="K170" s="159">
        <f>COUNTIFS(IM!F:F,A170,IM!AD:AD,"O",IM!X:X,"&gt;="&amp;$A$1,IM!X:X,"&lt;="&amp;$B$1)</f>
        <v>0</v>
      </c>
      <c r="L170" s="228" t="str" cm="1">
        <f t="array" ref="L170">IF(K170&gt;0,IFERROR(HYPERLINK("#'IM'!AC"&amp;MATCH(1,(IM!$F$1:$F$7700=A170)*(ISNUMBER(SEARCH("PMQ2",IM!$AC$1:$AC$7700))),0),"檢核"),"未登錄"),"")</f>
        <v/>
      </c>
      <c r="M170" s="230" t="str" cm="1">
        <f t="array" ref="M170">IF(AND(SUMPRODUCT((IM!F2:F791=A170)*(ISNUMBER(SEARCH("EDC", IM!AC2:AC791))))&gt;0), "EDC", "")</f>
        <v/>
      </c>
      <c r="N170" s="264" t="str" cm="1">
        <f t="array" ref="N170">IF(AND(SUMPRODUCT((IM!F2:F791=A170)*(ISNUMBER(SEARCH("STAR", IM!AC2:AC791))))&gt;0), "STAR", "")</f>
        <v/>
      </c>
      <c r="O170" s="256" t="str" cm="1">
        <f t="array" ref="O170">IFERROR(INDEX(IM!$X$2:$X$650, MATCH(1, (IM!$F$2:$F$650=A170) * (ISNUMBER(SEARCH($D$1, IM!$AC$2:$AC$650))), 0)), "")</f>
        <v/>
      </c>
      <c r="P170" s="191" t="str">
        <f t="shared" si="30"/>
        <v>-D346-三重維德店(定保)</v>
      </c>
      <c r="Q170" s="140"/>
      <c r="R170" s="140"/>
      <c r="S170" s="140"/>
      <c r="T170" s="140"/>
      <c r="U170" s="258">
        <f t="shared" si="31"/>
        <v>1</v>
      </c>
      <c r="V170" s="246" t="str">
        <f t="shared" si="32"/>
        <v>未到店</v>
      </c>
      <c r="X170" s="5" t="s">
        <v>4300</v>
      </c>
      <c r="Y170" s="5" t="str">
        <f t="shared" si="33"/>
        <v>STAR</v>
      </c>
    </row>
    <row r="171" spans="1:25" ht="15.75" customHeight="1">
      <c r="A171" s="179">
        <v>2303</v>
      </c>
      <c r="B171" s="180" t="str">
        <f>VLOOKUP(A171,'0919門市清單主檔'!B:C,2,FALSE)</f>
        <v>三重三和夜市</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 t="shared" si="29"/>
        <v>-2303-三重三和夜市(定保)</v>
      </c>
      <c r="I171" s="190" t="s">
        <v>1746</v>
      </c>
      <c r="J171" s="188" t="str" cm="1">
        <f t="array" ref="J171">IFERROR(INDEX(IM!$X$2:$X$650, MATCH(1, (IM!$F$2:$F$650=A171) * (ISNUMBER(SEARCH($C$1, IM!$AC$2:$AC$650))), 0)), "")</f>
        <v/>
      </c>
      <c r="K171" s="159">
        <f>COUNTIFS(IM!F:F,A171,IM!AD:AD,"O",IM!X:X,"&gt;="&amp;$A$1,IM!X:X,"&lt;="&amp;$B$1)</f>
        <v>0</v>
      </c>
      <c r="L171" s="228" t="str" cm="1">
        <f t="array" ref="L171">IF(K171&gt;0,IFERROR(HYPERLINK("#'IM'!AC"&amp;MATCH(1,(IM!$F$1:$F$7700=A171)*(ISNUMBER(SEARCH("PMQ2",IM!$AC$1:$AC$7700))),0),"檢核"),"未登錄"),"")</f>
        <v/>
      </c>
      <c r="M171" s="230" t="str" cm="1">
        <f t="array" ref="M171">IF(AND(SUMPRODUCT((IM!F2:F792=A171)*(ISNUMBER(SEARCH("EDC", IM!AC2:AC792))))&gt;0), "EDC", "")</f>
        <v/>
      </c>
      <c r="N171" s="264" t="str" cm="1">
        <f t="array" ref="N171">IF(AND(SUMPRODUCT((IM!F2:F792=A171)*(ISNUMBER(SEARCH("STAR", IM!AC2:AC792))))&gt;0), "STAR", "")</f>
        <v/>
      </c>
      <c r="O171" s="256" t="str" cm="1">
        <f t="array" ref="O171">IFERROR(INDEX(IM!$X$2:$X$650, MATCH(1, (IM!$F$2:$F$650=A171) * (ISNUMBER(SEARCH($D$1, IM!$AC$2:$AC$650))), 0)), "")</f>
        <v/>
      </c>
      <c r="P171" s="191" t="str">
        <f t="shared" si="30"/>
        <v>-2303-三重三和夜市(定保)</v>
      </c>
      <c r="Q171" s="140"/>
      <c r="R171" s="140"/>
      <c r="S171" s="140"/>
      <c r="T171" s="140"/>
      <c r="U171" s="258">
        <f t="shared" si="31"/>
        <v>2</v>
      </c>
      <c r="V171" s="246" t="str">
        <f t="shared" si="32"/>
        <v>未到店</v>
      </c>
      <c r="W171" s="3" t="s">
        <v>4311</v>
      </c>
      <c r="X171" s="5" t="s">
        <v>4312</v>
      </c>
      <c r="Y171" s="5" t="str">
        <f t="shared" si="33"/>
        <v>STAR</v>
      </c>
    </row>
    <row r="172" spans="1:25" ht="15.75" customHeight="1">
      <c r="A172" s="179">
        <v>4098</v>
      </c>
      <c r="B172" s="180" t="str">
        <f>VLOOKUP(A172,'0919門市清單主檔'!B:C,2,FALSE)</f>
        <v>三重仁美店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 t="shared" si="29"/>
        <v>-4098-三重仁美店(定保)</v>
      </c>
      <c r="I172" s="190" t="s">
        <v>1746</v>
      </c>
      <c r="J172" s="188" t="str" cm="1">
        <f t="array" ref="J172">IFERROR(INDEX(IM!$X$2:$X$650, MATCH(1, (IM!$F$2:$F$650=A172) * (ISNUMBER(SEARCH($C$1, IM!$AC$2:$AC$650))), 0)), "")</f>
        <v/>
      </c>
      <c r="K172" s="159">
        <f>COUNTIFS(IM!F:F,A172,IM!AD:AD,"O",IM!X:X,"&gt;="&amp;$A$1,IM!X:X,"&lt;="&amp;$B$1)</f>
        <v>0</v>
      </c>
      <c r="L172" s="228" t="str" cm="1">
        <f t="array" ref="L172">IF(K172&gt;0,IFERROR(HYPERLINK("#'IM'!AC"&amp;MATCH(1,(IM!$F$1:$F$7700=A172)*(ISNUMBER(SEARCH("PMQ2",IM!$AC$1:$AC$7700))),0),"檢核"),"未登錄"),"")</f>
        <v/>
      </c>
      <c r="M172" s="230" t="str" cm="1">
        <f t="array" ref="M172">IF(AND(SUMPRODUCT((IM!F2:F793=A172)*(ISNUMBER(SEARCH("EDC", IM!AC2:AC793))))&gt;0), "EDC", "")</f>
        <v/>
      </c>
      <c r="N172" s="264" t="str" cm="1">
        <f t="array" ref="N172">IF(AND(SUMPRODUCT((IM!F2:F793=A172)*(ISNUMBER(SEARCH("STAR", IM!AC2:AC793))))&gt;0), "STAR", "")</f>
        <v/>
      </c>
      <c r="O172" s="256" t="str" cm="1">
        <f t="array" ref="O172">IFERROR(INDEX(IM!$X$2:$X$650, MATCH(1, (IM!$F$2:$F$650=A172) * (ISNUMBER(SEARCH($D$1, IM!$AC$2:$AC$650))), 0)), "")</f>
        <v/>
      </c>
      <c r="P172" s="191" t="str">
        <f t="shared" si="30"/>
        <v>-4098-三重仁美店(定保)</v>
      </c>
      <c r="Q172" s="140"/>
      <c r="R172" s="140"/>
      <c r="S172" s="140"/>
      <c r="T172" s="140"/>
      <c r="U172" s="258">
        <f t="shared" si="31"/>
        <v>1</v>
      </c>
      <c r="V172" s="246" t="str">
        <f t="shared" si="32"/>
        <v>未到店</v>
      </c>
      <c r="W172" s="3" t="s">
        <v>4317</v>
      </c>
      <c r="X172" s="5"/>
      <c r="Y172" s="5" t="str">
        <f t="shared" si="33"/>
        <v>STAR</v>
      </c>
    </row>
    <row r="173" spans="1:25" ht="15.75" customHeight="1">
      <c r="A173" s="179">
        <v>3811</v>
      </c>
      <c r="B173" s="180" t="str">
        <f>VLOOKUP(A173,'0919門市清單主檔'!B:C,2,FALSE)</f>
        <v>三重碧華公園</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 t="shared" si="29"/>
        <v>-3811-三重碧華公園(定保)</v>
      </c>
      <c r="I173" s="190" t="s">
        <v>1746</v>
      </c>
      <c r="J173" s="188" t="str" cm="1">
        <f t="array" ref="J173">IFERROR(INDEX(IM!$X$2:$X$650, MATCH(1, (IM!$F$2:$F$650=A173) * (ISNUMBER(SEARCH($C$1, IM!$AC$2:$AC$650))), 0)), "")</f>
        <v/>
      </c>
      <c r="K173" s="159">
        <f>COUNTIFS(IM!F:F,A173,IM!AD:AD,"O",IM!X:X,"&gt;="&amp;$A$1,IM!X:X,"&lt;="&amp;$B$1)</f>
        <v>0</v>
      </c>
      <c r="L173" s="228" t="str" cm="1">
        <f t="array" ref="L173">IF(K173&gt;0,IFERROR(HYPERLINK("#'IM'!AC"&amp;MATCH(1,(IM!$F$1:$F$7700=A173)*(ISNUMBER(SEARCH("PMQ2",IM!$AC$1:$AC$7700))),0),"檢核"),"未登錄"),"")</f>
        <v/>
      </c>
      <c r="M173" s="230" t="str" cm="1">
        <f t="array" ref="M173">IF(AND(SUMPRODUCT((IM!F2:F794=A173)*(ISNUMBER(SEARCH("EDC", IM!AC2:AC794))))&gt;0), "EDC", "")</f>
        <v/>
      </c>
      <c r="N173" s="264" t="str" cm="1">
        <f t="array" ref="N173">IF(AND(SUMPRODUCT((IM!F2:F794=A173)*(ISNUMBER(SEARCH("STAR", IM!AC2:AC794))))&gt;0), "STAR", "")</f>
        <v/>
      </c>
      <c r="O173" s="256" t="str" cm="1">
        <f t="array" ref="O173">IFERROR(INDEX(IM!$X$2:$X$650, MATCH(1, (IM!$F$2:$F$650=A173) * (ISNUMBER(SEARCH($D$1, IM!$AC$2:$AC$650))), 0)), "")</f>
        <v/>
      </c>
      <c r="P173" s="191" t="str">
        <f t="shared" si="30"/>
        <v>-3811-三重碧華公園(定保)</v>
      </c>
      <c r="Q173" s="140"/>
      <c r="R173" s="140"/>
      <c r="S173" s="140"/>
      <c r="T173" s="140"/>
      <c r="U173" s="258">
        <f t="shared" si="31"/>
        <v>2</v>
      </c>
      <c r="V173" s="246" t="str">
        <f t="shared" si="32"/>
        <v>未到店</v>
      </c>
      <c r="W173" s="3" t="s">
        <v>4318</v>
      </c>
      <c r="X173" s="5" t="s">
        <v>4319</v>
      </c>
      <c r="Y173" s="5" t="str">
        <f t="shared" si="33"/>
        <v>STAR</v>
      </c>
    </row>
    <row r="174" spans="1:25" ht="15.75" customHeight="1">
      <c r="A174" s="179" t="s">
        <v>43</v>
      </c>
      <c r="B174" s="180" t="str">
        <f>VLOOKUP(A174,'0919門市清單主檔'!B:C,2,FALSE)</f>
        <v>車麗屋蘆洲店</v>
      </c>
      <c r="C174" s="181" t="str">
        <f>VLOOKUP($A174,'0919門市清單主檔'!B:V,20,FALSE)</f>
        <v>新北市</v>
      </c>
      <c r="D174" s="182" t="str">
        <f>VLOOKUP($A174,'0919門市清單主檔'!B:V,21,FALSE)</f>
        <v>蘆洲區</v>
      </c>
      <c r="E174" s="183" t="str">
        <f>VLOOKUP(D174,區域表!A:B,2,FALSE)</f>
        <v>吳宗鴻</v>
      </c>
      <c r="F174" s="184" t="str">
        <f>IFERROR(IF(VLOOKUP(A174,門市狀態!A:D,4,FALSE)=0,"",VLOOKUP(A174,門市狀態!A:D,4,FALSE)),"")</f>
        <v/>
      </c>
      <c r="G174" s="185" t="s">
        <v>1747</v>
      </c>
      <c r="H174" s="186" t="str">
        <f t="shared" si="29"/>
        <v>-L517-車麗屋蘆洲店(定保)</v>
      </c>
      <c r="I174" s="190" t="s">
        <v>1746</v>
      </c>
      <c r="J174" s="188" t="str" cm="1">
        <f t="array" ref="J174">IFERROR(INDEX(IM!$X$2:$X$650, MATCH(1, (IM!$F$2:$F$650=A174) * (ISNUMBER(SEARCH($C$1, IM!$AC$2:$AC$650))), 0)), "")</f>
        <v/>
      </c>
      <c r="K174" s="159">
        <f>COUNTIFS(IM!F:F,A174,IM!AD:AD,"O",IM!X:X,"&gt;="&amp;$A$1,IM!X:X,"&lt;="&amp;$B$1)</f>
        <v>0</v>
      </c>
      <c r="L174" s="228" t="str" cm="1">
        <f t="array" ref="L174">IF(K174&gt;0,IFERROR(HYPERLINK("#'IM'!AC"&amp;MATCH(1,(IM!$F$1:$F$7700=A174)*(ISNUMBER(SEARCH("PMQ2",IM!$AC$1:$AC$7700))),0),"檢核"),"未登錄"),"")</f>
        <v/>
      </c>
      <c r="M174" s="230" t="str" cm="1">
        <f t="array" ref="M174">IF(AND(SUMPRODUCT((IM!F2:F795=A174)*(ISNUMBER(SEARCH("EDC", IM!AC2:AC795))))&gt;0), "EDC", "")</f>
        <v/>
      </c>
      <c r="N174" s="264" t="str" cm="1">
        <f t="array" ref="N174">IF(AND(SUMPRODUCT((IM!F2:F795=A174)*(ISNUMBER(SEARCH("STAR", IM!AC2:AC795))))&gt;0), "STAR", "")</f>
        <v/>
      </c>
      <c r="O174" s="256" t="str" cm="1">
        <f t="array" ref="O174">IFERROR(INDEX(IM!$X$2:$X$650, MATCH(1, (IM!$F$2:$F$650=A174) * (ISNUMBER(SEARCH($D$1, IM!$AC$2:$AC$650))), 0)), "")</f>
        <v/>
      </c>
      <c r="P174" s="191" t="str">
        <f t="shared" si="30"/>
        <v>-L517-車麗屋蘆洲店(定保)</v>
      </c>
      <c r="Q174" s="140"/>
      <c r="R174" s="140"/>
      <c r="S174" s="140"/>
      <c r="T174" s="140"/>
      <c r="U174" s="258">
        <f t="shared" si="31"/>
        <v>0</v>
      </c>
      <c r="V174" s="246" t="str">
        <f t="shared" si="32"/>
        <v>未到店</v>
      </c>
      <c r="X174" s="5"/>
      <c r="Y174" s="5" t="str">
        <f t="shared" si="33"/>
        <v/>
      </c>
    </row>
    <row r="175" spans="1:25" ht="15.75" customHeight="1">
      <c r="A175" s="179" t="s">
        <v>37</v>
      </c>
      <c r="B175" s="180" t="str">
        <f>VLOOKUP(A175,'0919門市清單主檔'!B:C,2,FALSE)</f>
        <v>北縣仁和店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 t="shared" si="29"/>
        <v>-D350-北縣仁和店(定保)</v>
      </c>
      <c r="I175" s="190" t="s">
        <v>1746</v>
      </c>
      <c r="J175" s="188" t="str" cm="1">
        <f t="array" ref="J175">IFERROR(INDEX(IM!$X$2:$X$650, MATCH(1, (IM!$F$2:$F$650=A175) * (ISNUMBER(SEARCH($C$1, IM!$AC$2:$AC$650))), 0)), "")</f>
        <v/>
      </c>
      <c r="K175" s="159">
        <f>COUNTIFS(IM!F:F,A175,IM!AD:AD,"O",IM!X:X,"&gt;="&amp;$A$1,IM!X:X,"&lt;="&amp;$B$1)</f>
        <v>0</v>
      </c>
      <c r="L175" s="228" t="str" cm="1">
        <f t="array" ref="L175">IF(K175&gt;0,IFERROR(HYPERLINK("#'IM'!AC"&amp;MATCH(1,(IM!$F$1:$F$7700=A175)*(ISNUMBER(SEARCH("PMQ2",IM!$AC$1:$AC$7700))),0),"檢核"),"未登錄"),"")</f>
        <v/>
      </c>
      <c r="M175" s="230" t="str" cm="1">
        <f t="array" ref="M175">IF(AND(SUMPRODUCT((IM!F2:F796=A175)*(ISNUMBER(SEARCH("EDC", IM!AC2:AC796))))&gt;0), "EDC", "")</f>
        <v/>
      </c>
      <c r="N175" s="264" t="str" cm="1">
        <f t="array" ref="N175">IF(AND(SUMPRODUCT((IM!F2:F796=A175)*(ISNUMBER(SEARCH("STAR", IM!AC2:AC796))))&gt;0), "STAR", "")</f>
        <v/>
      </c>
      <c r="O175" s="256" t="str" cm="1">
        <f t="array" ref="O175">IFERROR(INDEX(IM!$X$2:$X$650, MATCH(1, (IM!$F$2:$F$650=A175) * (ISNUMBER(SEARCH($D$1, IM!$AC$2:$AC$650))), 0)), "")</f>
        <v/>
      </c>
      <c r="P175" s="191" t="str">
        <f t="shared" si="30"/>
        <v>-D350-北縣仁和店(定保)</v>
      </c>
      <c r="Q175" s="140"/>
      <c r="R175" s="140"/>
      <c r="S175" s="140"/>
      <c r="T175" s="140"/>
      <c r="U175" s="258">
        <f t="shared" si="31"/>
        <v>2</v>
      </c>
      <c r="V175" s="246" t="str">
        <f t="shared" si="32"/>
        <v>未到店</v>
      </c>
      <c r="W175" s="3" t="s">
        <v>4315</v>
      </c>
      <c r="X175" s="5" t="s">
        <v>4316</v>
      </c>
      <c r="Y175" s="5" t="str">
        <f t="shared" si="33"/>
        <v>STAR</v>
      </c>
    </row>
    <row r="176" spans="1:25" ht="15.75" customHeight="1">
      <c r="A176" s="179">
        <v>3957</v>
      </c>
      <c r="B176" s="180" t="str">
        <f>VLOOKUP(A176,'0919門市清單主檔'!B:C,2,FALSE)</f>
        <v>三重福仁店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 t="shared" si="29"/>
        <v>-3957-三重福仁店(定保)</v>
      </c>
      <c r="I176" s="190" t="s">
        <v>1746</v>
      </c>
      <c r="J176" s="188" t="str" cm="1">
        <f t="array" ref="J176">IFERROR(INDEX(IM!$X$2:$X$650, MATCH(1, (IM!$F$2:$F$650=A176) * (ISNUMBER(SEARCH($C$1, IM!$AC$2:$AC$650))), 0)), "")</f>
        <v/>
      </c>
      <c r="K176" s="159">
        <f>COUNTIFS(IM!F:F,A176,IM!AD:AD,"O",IM!X:X,"&gt;="&amp;$A$1,IM!X:X,"&lt;="&amp;$B$1)</f>
        <v>0</v>
      </c>
      <c r="L176" s="228" t="str" cm="1">
        <f t="array" ref="L176">IF(K176&gt;0,IFERROR(HYPERLINK("#'IM'!AC"&amp;MATCH(1,(IM!$F$1:$F$7700=A176)*(ISNUMBER(SEARCH("PMQ2",IM!$AC$1:$AC$7700))),0),"檢核"),"未登錄"),"")</f>
        <v/>
      </c>
      <c r="M176" s="230" t="str" cm="1">
        <f t="array" ref="M176">IF(AND(SUMPRODUCT((IM!F2:F797=A176)*(ISNUMBER(SEARCH("EDC", IM!AC2:AC797))))&gt;0), "EDC", "")</f>
        <v/>
      </c>
      <c r="N176" s="264" t="str" cm="1">
        <f t="array" ref="N176">IF(AND(SUMPRODUCT((IM!F2:F797=A176)*(ISNUMBER(SEARCH("STAR", IM!AC2:AC797))))&gt;0), "STAR", "")</f>
        <v/>
      </c>
      <c r="O176" s="256" t="str" cm="1">
        <f t="array" ref="O176">IFERROR(INDEX(IM!$X$2:$X$650, MATCH(1, (IM!$F$2:$F$650=A176) * (ISNUMBER(SEARCH($D$1, IM!$AC$2:$AC$650))), 0)), "")</f>
        <v/>
      </c>
      <c r="P176" s="191" t="str">
        <f t="shared" si="30"/>
        <v>-3957-三重福仁店(定保)</v>
      </c>
      <c r="Q176" s="140"/>
      <c r="R176" s="140"/>
      <c r="S176" s="140"/>
      <c r="T176" s="140"/>
      <c r="U176" s="258">
        <f t="shared" si="31"/>
        <v>2</v>
      </c>
      <c r="V176" s="246" t="str">
        <f t="shared" si="32"/>
        <v>未到店</v>
      </c>
      <c r="W176" s="3" t="s">
        <v>4298</v>
      </c>
      <c r="X176" s="5" t="s">
        <v>4299</v>
      </c>
      <c r="Y176" s="5" t="str">
        <f t="shared" si="33"/>
        <v>STAR</v>
      </c>
    </row>
    <row r="177" spans="1:25" ht="15.75" customHeight="1">
      <c r="A177" s="179">
        <v>3452</v>
      </c>
      <c r="B177" s="180" t="str">
        <f>VLOOKUP(A177,'0919門市清單主檔'!B:C,2,FALSE)</f>
        <v>北縣蘆信店</v>
      </c>
      <c r="C177" s="181" t="str">
        <f>VLOOKUP($A177,'0919門市清單主檔'!B:V,20,FALSE)</f>
        <v>新北市</v>
      </c>
      <c r="D177" s="182" t="str">
        <f>VLOOKUP($A177,'0919門市清單主檔'!B:V,21,FALSE)</f>
        <v>蘆洲區</v>
      </c>
      <c r="E177" s="183" t="str">
        <f>VLOOKUP(D177,區域表!A:B,2,FALSE)</f>
        <v>吳宗鴻</v>
      </c>
      <c r="F177" s="184" t="str">
        <f>IFERROR(IF(VLOOKUP(A177,門市狀態!A:D,4,FALSE)=0,"",VLOOKUP(A177,門市狀態!A:D,4,FALSE)),"")</f>
        <v/>
      </c>
      <c r="G177" s="185" t="s">
        <v>1746</v>
      </c>
      <c r="H177" s="186" t="str">
        <f t="shared" si="29"/>
        <v>-3452-北縣蘆信店(定保)</v>
      </c>
      <c r="I177" s="190" t="s">
        <v>1746</v>
      </c>
      <c r="J177" s="188" t="str" cm="1">
        <f t="array" ref="J177">IFERROR(INDEX(IM!$X$2:$X$650, MATCH(1, (IM!$F$2:$F$650=A177) * (ISNUMBER(SEARCH($C$1, IM!$AC$2:$AC$650))), 0)), "")</f>
        <v/>
      </c>
      <c r="K177" s="159">
        <f>COUNTIFS(IM!$F:$F,A177,IM!$AD:$AD,"O",IM!$X:$X,"&gt;="&amp;$A$1,IM!$X:$X,"&lt;="&amp;$B$1)</f>
        <v>0</v>
      </c>
      <c r="L177" s="228" t="str" cm="1">
        <f t="array" ref="L177">IF(K177&gt;0,IFERROR(HYPERLINK("#'IM'!AC"&amp;MATCH(1,(IM!$F$1:$F$7700=A177)*(ISNUMBER(SEARCH("PMQ2",IM!$AC$1:$AC$7700))),0),"檢核"),"未登錄"),"")</f>
        <v/>
      </c>
      <c r="M177" s="230" t="str" cm="1">
        <f t="array" ref="M177">IF(AND(SUMPRODUCT((IM!F2:F798=A177)*(ISNUMBER(SEARCH("EDC", IM!AC2:AC798))))&gt;0), "EDC", "")</f>
        <v/>
      </c>
      <c r="N177" s="264" t="str" cm="1">
        <f t="array" ref="N177">IF(AND(SUMPRODUCT((IM!F2:F798=A177)*(ISNUMBER(SEARCH("STAR", IM!AC2:AC798))))&gt;0), "STAR", "")</f>
        <v/>
      </c>
      <c r="O177" s="256" t="str" cm="1">
        <f t="array" ref="O177">IFERROR(INDEX(IM!$X$2:$X$650, MATCH(1, (IM!$F$2:$F$650=A177) * (ISNUMBER(SEARCH($D$1, IM!$AC$2:$AC$650))), 0)), "")</f>
        <v/>
      </c>
      <c r="P177" s="191" t="str">
        <f t="shared" si="30"/>
        <v>-3452-北縣蘆信店(定保)</v>
      </c>
      <c r="Q177" s="140"/>
      <c r="R177" s="140"/>
      <c r="S177" s="140"/>
      <c r="T177" s="140"/>
      <c r="U177" s="258">
        <f t="shared" si="31"/>
        <v>2</v>
      </c>
      <c r="V177" s="246" t="str">
        <f t="shared" si="32"/>
        <v>未到店</v>
      </c>
      <c r="W177" s="3" t="s">
        <v>4346</v>
      </c>
      <c r="X177" s="5" t="s">
        <v>4347</v>
      </c>
      <c r="Y177" s="5" t="str">
        <f t="shared" si="33"/>
        <v>STAR</v>
      </c>
    </row>
    <row r="178" spans="1:25" ht="15.75" customHeight="1">
      <c r="A178" s="179">
        <v>4218</v>
      </c>
      <c r="B178" s="180" t="str">
        <f>VLOOKUP(A178,'0919門市清單主檔'!B:C,2,FALSE)</f>
        <v>蘆洲湧蓮店</v>
      </c>
      <c r="C178" s="181" t="str">
        <f>VLOOKUP($A178,'0919門市清單主檔'!B:V,20,FALSE)</f>
        <v>新北市</v>
      </c>
      <c r="D178" s="182" t="str">
        <f>VLOOKUP($A178,'0919門市清單主檔'!B:V,21,FALSE)</f>
        <v>蘆洲區</v>
      </c>
      <c r="E178" s="183" t="str">
        <f>VLOOKUP(D178,區域表!A:B,2,FALSE)</f>
        <v>吳宗鴻</v>
      </c>
      <c r="F178" s="184" t="str">
        <f>IFERROR(IF(VLOOKUP(A178,門市狀態!A:D,4,FALSE)=0,"",VLOOKUP(A178,門市狀態!A:D,4,FALSE)),"")</f>
        <v/>
      </c>
      <c r="G178" s="185" t="s">
        <v>1746</v>
      </c>
      <c r="H178" s="186" t="str">
        <f t="shared" si="29"/>
        <v>-4218-蘆洲湧蓮店(定保)</v>
      </c>
      <c r="I178" s="190" t="s">
        <v>1746</v>
      </c>
      <c r="J178" s="188" t="str" cm="1">
        <f t="array" ref="J178">IFERROR(INDEX(IM!$X$2:$X$650, MATCH(1, (IM!$F$2:$F$650=A178) * (ISNUMBER(SEARCH($C$1, IM!$AC$2:$AC$650))), 0)), "")</f>
        <v/>
      </c>
      <c r="K178" s="159">
        <f>COUNTIFS(IM!F:F,A178,IM!AD:AD,"O",IM!X:X,"&gt;="&amp;$A$1,IM!X:X,"&lt;="&amp;$B$1)</f>
        <v>0</v>
      </c>
      <c r="L178" s="228" t="str" cm="1">
        <f t="array" ref="L178">IF(K178&gt;0,IFERROR(HYPERLINK("#'IM'!AC"&amp;MATCH(1,(IM!$F$1:$F$7700=A178)*(ISNUMBER(SEARCH("PMQ2",IM!$AC$1:$AC$7700))),0),"檢核"),"未登錄"),"")</f>
        <v/>
      </c>
      <c r="M178" s="230" t="str" cm="1">
        <f t="array" ref="M178">IF(AND(SUMPRODUCT((IM!F2:F800=A178)*(ISNUMBER(SEARCH("EDC", IM!AC2:AC800))))&gt;0), "EDC", "")</f>
        <v/>
      </c>
      <c r="N178" s="264" t="str" cm="1">
        <f t="array" ref="N178">IF(AND(SUMPRODUCT((IM!F2:F800=A178)*(ISNUMBER(SEARCH("STAR", IM!AC2:AC800))))&gt;0), "STAR", "")</f>
        <v/>
      </c>
      <c r="O178" s="256" t="str" cm="1">
        <f t="array" ref="O178">IFERROR(INDEX(IM!$X$2:$X$650, MATCH(1, (IM!$F$2:$F$650=A178) * (ISNUMBER(SEARCH($D$1, IM!$AC$2:$AC$650))), 0)), "")</f>
        <v/>
      </c>
      <c r="P178" s="191" t="str">
        <f t="shared" si="30"/>
        <v>-4218-蘆洲湧蓮店(定保)</v>
      </c>
      <c r="Q178" s="140"/>
      <c r="R178" s="140"/>
      <c r="S178" s="140"/>
      <c r="T178" s="140"/>
      <c r="U178" s="258">
        <f t="shared" si="31"/>
        <v>1</v>
      </c>
      <c r="V178" s="246" t="str">
        <f t="shared" si="32"/>
        <v>未到店</v>
      </c>
      <c r="X178" s="5" t="s">
        <v>4358</v>
      </c>
      <c r="Y178" s="5" t="str">
        <f t="shared" si="33"/>
        <v>STAR</v>
      </c>
    </row>
    <row r="179" spans="1:25" ht="15.75" customHeight="1">
      <c r="A179" s="179">
        <v>3929</v>
      </c>
      <c r="B179" s="180" t="str">
        <f>VLOOKUP(A179,'0919門市清單主檔'!B:C,2,FALSE)</f>
        <v>蘆洲中山一</v>
      </c>
      <c r="C179" s="181" t="str">
        <f>VLOOKUP($A179,'0919門市清單主檔'!B:V,20,FALSE)</f>
        <v>新北市</v>
      </c>
      <c r="D179" s="182" t="str">
        <f>VLOOKUP($A179,'0919門市清單主檔'!B:V,21,FALSE)</f>
        <v>蘆洲區</v>
      </c>
      <c r="E179" s="183" t="str">
        <f>VLOOKUP(D179,區域表!A:B,2,FALSE)</f>
        <v>吳宗鴻</v>
      </c>
      <c r="F179" s="184" t="str">
        <f>IFERROR(IF(VLOOKUP(A179,門市狀態!A:D,4,FALSE)=0,"",VLOOKUP(A179,門市狀態!A:D,4,FALSE)),"")</f>
        <v/>
      </c>
      <c r="G179" s="185" t="s">
        <v>1746</v>
      </c>
      <c r="H179" s="186" t="str">
        <f t="shared" si="29"/>
        <v>-3929-蘆洲中山一(定保)</v>
      </c>
      <c r="I179" s="190" t="s">
        <v>1746</v>
      </c>
      <c r="J179" s="188" t="str" cm="1">
        <f t="array" ref="J179">IFERROR(INDEX(IM!$X$2:$X$650, MATCH(1, (IM!$F$2:$F$650=A179) * (ISNUMBER(SEARCH($C$1, IM!$AC$2:$AC$650))), 0)), "")</f>
        <v/>
      </c>
      <c r="K179" s="159">
        <f>COUNTIFS(IM!F:F,A179,IM!AD:AD,"O",IM!X:X,"&gt;="&amp;$A$1,IM!X:X,"&lt;="&amp;$B$1)</f>
        <v>0</v>
      </c>
      <c r="L179" s="228" t="str" cm="1">
        <f t="array" ref="L179">IF(K179&gt;0,IFERROR(HYPERLINK("#'IM'!AC"&amp;MATCH(1,(IM!$F$1:$F$7700=A179)*(ISNUMBER(SEARCH("PMQ2",IM!$AC$1:$AC$7700))),0),"檢核"),"未登錄"),"")</f>
        <v/>
      </c>
      <c r="M179" s="230" t="str" cm="1">
        <f t="array" ref="M179">IF(AND(SUMPRODUCT((IM!F2:F801=A179)*(ISNUMBER(SEARCH("EDC", IM!AC2:AC801))))&gt;0), "EDC", "")</f>
        <v/>
      </c>
      <c r="N179" s="264" t="str" cm="1">
        <f t="array" ref="N179">IF(AND(SUMPRODUCT((IM!F2:F801=A179)*(ISNUMBER(SEARCH("STAR", IM!AC2:AC801))))&gt;0), "STAR", "")</f>
        <v/>
      </c>
      <c r="O179" s="256" t="str" cm="1">
        <f t="array" ref="O179">IFERROR(INDEX(IM!$X$2:$X$650, MATCH(1, (IM!$F$2:$F$650=A179) * (ISNUMBER(SEARCH($D$1, IM!$AC$2:$AC$650))), 0)), "")</f>
        <v/>
      </c>
      <c r="P179" s="191" t="str">
        <f t="shared" si="30"/>
        <v>-3929-蘆洲中山一(定保)</v>
      </c>
      <c r="Q179" s="140"/>
      <c r="R179" s="140"/>
      <c r="S179" s="140"/>
      <c r="T179" s="140"/>
      <c r="U179" s="258">
        <f t="shared" si="31"/>
        <v>1</v>
      </c>
      <c r="V179" s="246" t="str">
        <f t="shared" si="32"/>
        <v>未到店</v>
      </c>
      <c r="W179" s="3" t="s">
        <v>4348</v>
      </c>
      <c r="X179" s="5"/>
      <c r="Y179" s="5" t="str">
        <f t="shared" si="33"/>
        <v>STAR</v>
      </c>
    </row>
    <row r="180" spans="1:25" ht="15.75" customHeight="1">
      <c r="A180" s="179">
        <v>4658</v>
      </c>
      <c r="B180" s="180" t="str">
        <f>VLOOKUP(A180,'0919門市清單主檔'!B:C,2,FALSE)</f>
        <v>淡水英才店</v>
      </c>
      <c r="C180" s="181" t="str">
        <f>VLOOKUP($A180,'0919門市清單主檔'!B:V,20,FALSE)</f>
        <v>新北市</v>
      </c>
      <c r="D180" s="182" t="str">
        <f>VLOOKUP($A180,'0919門市清單主檔'!B:V,21,FALSE)</f>
        <v>淡水區</v>
      </c>
      <c r="E180" s="183" t="str">
        <f>VLOOKUP(D180,區域表!A:B,2,FALSE)</f>
        <v>吳宗鴻</v>
      </c>
      <c r="F180" s="184" t="str">
        <f>IFERROR(IF(VLOOKUP(A180,門市狀態!A:D,4,FALSE)=0,"",VLOOKUP(A180,門市狀態!A:D,4,FALSE)),"")</f>
        <v/>
      </c>
      <c r="G180" s="185" t="s">
        <v>1746</v>
      </c>
      <c r="H180" s="186" t="str">
        <f t="shared" si="29"/>
        <v>-4658-淡水英才店(定保)</v>
      </c>
      <c r="I180" s="190" t="s">
        <v>1746</v>
      </c>
      <c r="J180" s="188" t="str" cm="1">
        <f t="array" ref="J180">IFERROR(INDEX(IM!$X$2:$X$650, MATCH(1, (IM!$F$2:$F$650=A180) * (ISNUMBER(SEARCH($C$1, IM!$AC$2:$AC$650))), 0)), "")</f>
        <v/>
      </c>
      <c r="K180" s="159">
        <f>COUNTIFS(IM!F:F,A180,IM!AD:AD,"O",IM!X:X,"&gt;="&amp;$A$1,IM!X:X,"&lt;="&amp;$B$1)</f>
        <v>0</v>
      </c>
      <c r="L180" s="228" t="str" cm="1">
        <f t="array" ref="L180">IF(K180&gt;0,IFERROR(HYPERLINK("#'IM'!AC"&amp;MATCH(1,(IM!$F$1:$F$7700=A180)*(ISNUMBER(SEARCH("PMQ2",IM!$AC$1:$AC$7700))),0),"檢核"),"未登錄"),"")</f>
        <v/>
      </c>
      <c r="M180" s="230" t="str" cm="1">
        <f t="array" ref="M180">IF(AND(SUMPRODUCT((IM!F2:F802=A180)*(ISNUMBER(SEARCH("EDC", IM!AC2:AC802))))&gt;0), "EDC", "")</f>
        <v/>
      </c>
      <c r="N180" s="264" t="str" cm="1">
        <f t="array" ref="N180">IF(AND(SUMPRODUCT((IM!F2:F802=A180)*(ISNUMBER(SEARCH("STAR", IM!AC2:AC802))))&gt;0), "STAR", "")</f>
        <v/>
      </c>
      <c r="O180" s="256" t="str" cm="1">
        <f t="array" ref="O180">IFERROR(INDEX(IM!$X$2:$X$650, MATCH(1, (IM!$F$2:$F$650=A180) * (ISNUMBER(SEARCH($D$1, IM!$AC$2:$AC$650))), 0)), "")</f>
        <v/>
      </c>
      <c r="P180" s="191" t="str">
        <f t="shared" si="30"/>
        <v>-4658-淡水英才店(定保)</v>
      </c>
      <c r="Q180" s="140"/>
      <c r="R180" s="140"/>
      <c r="S180" s="140"/>
      <c r="T180" s="140"/>
      <c r="U180" s="258">
        <f t="shared" si="31"/>
        <v>0</v>
      </c>
      <c r="V180" s="246" t="str">
        <f t="shared" si="32"/>
        <v>未到店</v>
      </c>
      <c r="X180" s="5"/>
      <c r="Y180" s="5" t="str">
        <f t="shared" si="33"/>
        <v/>
      </c>
    </row>
    <row r="181" spans="1:25" ht="15.75" customHeight="1">
      <c r="A181" s="179">
        <v>3751</v>
      </c>
      <c r="B181" s="180" t="str">
        <f>VLOOKUP(A181,'0919門市清單主檔'!B:C,2,FALSE)</f>
        <v>淡水真理大</v>
      </c>
      <c r="C181" s="181" t="str">
        <f>VLOOKUP($A181,'0919門市清單主檔'!B:V,20,FALSE)</f>
        <v>新北市</v>
      </c>
      <c r="D181" s="182" t="str">
        <f>VLOOKUP($A181,'0919門市清單主檔'!B:V,21,FALSE)</f>
        <v>淡水區</v>
      </c>
      <c r="E181" s="183" t="str">
        <f>VLOOKUP(D181,區域表!A:B,2,FALSE)</f>
        <v>吳宗鴻</v>
      </c>
      <c r="F181" s="184" t="str">
        <f>IFERROR(IF(VLOOKUP(A181,門市狀態!A:D,4,FALSE)=0,"",VLOOKUP(A181,門市狀態!A:D,4,FALSE)),"")</f>
        <v/>
      </c>
      <c r="G181" s="185" t="s">
        <v>4086</v>
      </c>
      <c r="H181" s="186" t="str">
        <f t="shared" si="29"/>
        <v>-3751-淡水真理大(定保)</v>
      </c>
      <c r="I181" s="190" t="s">
        <v>1746</v>
      </c>
      <c r="J181" s="188" t="str" cm="1">
        <f t="array" ref="J181">IFERROR(INDEX(IM!$X$2:$X$650, MATCH(1, (IM!$F$2:$F$650=A181) * (ISNUMBER(SEARCH($C$1, IM!$AC$2:$AC$650))), 0)), "")</f>
        <v/>
      </c>
      <c r="K181" s="159">
        <f>COUNTIFS(IM!F:F,A181,IM!AD:AD,"O",IM!X:X,"&gt;="&amp;$A$1,IM!X:X,"&lt;="&amp;$B$1)</f>
        <v>0</v>
      </c>
      <c r="L181" s="228" t="str" cm="1">
        <f t="array" ref="L181">IF(K181&gt;0,IFERROR(HYPERLINK("#'IM'!AC"&amp;MATCH(1,(IM!$F$1:$F$7700=A181)*(ISNUMBER(SEARCH("PMQ2",IM!$AC$1:$AC$7700))),0),"檢核"),"未登錄"),"")</f>
        <v/>
      </c>
      <c r="M181" s="230" t="str" cm="1">
        <f t="array" ref="M181">IF(AND(SUMPRODUCT((IM!F2:F804=A181)*(ISNUMBER(SEARCH("EDC", IM!AC2:AC804))))&gt;0), "EDC", "")</f>
        <v/>
      </c>
      <c r="N181" s="264" t="str" cm="1">
        <f t="array" ref="N181">IF(AND(SUMPRODUCT((IM!F2:F804=A181)*(ISNUMBER(SEARCH("STAR", IM!AC2:AC804))))&gt;0), "STAR", "")</f>
        <v/>
      </c>
      <c r="O181" s="256" t="str" cm="1">
        <f t="array" ref="O181">IFERROR(INDEX(IM!$X$2:$X$650, MATCH(1, (IM!$F$2:$F$650=A181) * (ISNUMBER(SEARCH($D$1, IM!$AC$2:$AC$650))), 0)), "")</f>
        <v/>
      </c>
      <c r="P181" s="191" t="str">
        <f t="shared" si="30"/>
        <v>-3751-淡水真理大(定保)</v>
      </c>
      <c r="Q181" s="140"/>
      <c r="R181" s="140"/>
      <c r="S181" s="140"/>
      <c r="T181" s="140"/>
      <c r="U181" s="258">
        <f t="shared" si="31"/>
        <v>2</v>
      </c>
      <c r="V181" s="246" t="str">
        <f t="shared" si="32"/>
        <v>未到店</v>
      </c>
      <c r="W181" s="3" t="s">
        <v>4334</v>
      </c>
      <c r="X181" s="5" t="s">
        <v>4335</v>
      </c>
      <c r="Y181" s="5" t="str">
        <f t="shared" si="33"/>
        <v>STAR</v>
      </c>
    </row>
    <row r="182" spans="1:25" ht="15.75" customHeight="1">
      <c r="A182" s="179">
        <v>3965</v>
      </c>
      <c r="B182" s="180" t="str">
        <f>VLOOKUP(A182,'0919門市清單主檔'!B:C,2,FALSE)</f>
        <v>板橋民治店</v>
      </c>
      <c r="C182" s="181" t="str">
        <f>VLOOKUP($A182,'0919門市清單主檔'!B:V,20,FALSE)</f>
        <v>新北市</v>
      </c>
      <c r="D182" s="182" t="str">
        <f>VLOOKUP($A182,'0919門市清單主檔'!B:V,21,FALSE)</f>
        <v>板橋區</v>
      </c>
      <c r="E182" s="183" t="str">
        <f>VLOOKUP(D182,區域表!A:B,2,FALSE)</f>
        <v>狄澤洋</v>
      </c>
      <c r="F182" s="184" t="str">
        <f>IFERROR(IF(VLOOKUP(A182,門市狀態!A:D,4,FALSE)=0,"",VLOOKUP(A182,門市狀態!A:D,4,FALSE)),"")</f>
        <v/>
      </c>
      <c r="G182" s="185" t="s">
        <v>1746</v>
      </c>
      <c r="H182" s="186" t="str">
        <f t="shared" si="29"/>
        <v>-3965-板橋民治店(定保)</v>
      </c>
      <c r="I182" s="190" t="s">
        <v>1746</v>
      </c>
      <c r="J182" s="188" t="str" cm="1">
        <f t="array" ref="J182">IFERROR(INDEX(IM!$X$2:$X$650, MATCH(1, (IM!$F$2:$F$650=A182) * (ISNUMBER(SEARCH($C$1, IM!$AC$2:$AC$650))), 0)), "")</f>
        <v/>
      </c>
      <c r="K182" s="159">
        <f>COUNTIFS(IM!F:F,A182,IM!AD:AD,"O",IM!X:X,"&gt;="&amp;$A$1,IM!X:X,"&lt;="&amp;$B$1)</f>
        <v>0</v>
      </c>
      <c r="L182" s="228" t="str" cm="1">
        <f t="array" ref="L182">IF(K182&gt;0,IFERROR(HYPERLINK("#'IM'!AC"&amp;MATCH(1,(IM!$F$1:$F$7700=A182)*(ISNUMBER(SEARCH("PMQ2",IM!$AC$1:$AC$7700))),0),"檢核"),"未登錄"),"")</f>
        <v/>
      </c>
      <c r="M182" s="230" t="str" cm="1">
        <f t="array" ref="M182">IF(AND(SUMPRODUCT((IM!F2:F805=A182)*(ISNUMBER(SEARCH("EDC", IM!AC2:AC805))))&gt;0), "EDC", "")</f>
        <v/>
      </c>
      <c r="N182" s="264" t="str" cm="1">
        <f t="array" ref="N182">IF(AND(SUMPRODUCT((IM!F2:F805=A182)*(ISNUMBER(SEARCH("STAR", IM!AC2:AC805))))&gt;0), "STAR", "")</f>
        <v/>
      </c>
      <c r="O182" s="256" t="str" cm="1">
        <f t="array" ref="O182">IFERROR(INDEX(IM!$X$2:$X$650, MATCH(1, (IM!$F$2:$F$650=A182) * (ISNUMBER(SEARCH($D$1, IM!$AC$2:$AC$650))), 0)), "")</f>
        <v/>
      </c>
      <c r="P182" s="191" t="str">
        <f t="shared" si="30"/>
        <v>-3965-板橋民治店(定保)</v>
      </c>
      <c r="Q182" s="140"/>
      <c r="R182" s="140"/>
      <c r="S182" s="140"/>
      <c r="T182" s="140"/>
      <c r="U182" s="258">
        <f t="shared" si="31"/>
        <v>2</v>
      </c>
      <c r="V182" s="246" t="str">
        <f t="shared" si="32"/>
        <v>未到店</v>
      </c>
      <c r="W182" s="3" t="s">
        <v>4361</v>
      </c>
      <c r="X182" s="5" t="s">
        <v>4362</v>
      </c>
      <c r="Y182" s="5" t="str">
        <f t="shared" si="33"/>
        <v>STAR</v>
      </c>
    </row>
    <row r="183" spans="1:25" ht="15.75" customHeight="1">
      <c r="A183" s="179">
        <v>5101</v>
      </c>
      <c r="B183" s="180" t="str">
        <f>VLOOKUP(A183,'0919門市清單主檔'!B:C,2,FALSE)</f>
        <v>淡水小坪頂</v>
      </c>
      <c r="C183" s="181" t="str">
        <f>VLOOKUP($A183,'0919門市清單主檔'!B:V,20,FALSE)</f>
        <v>新北市</v>
      </c>
      <c r="D183" s="182" t="str">
        <f>VLOOKUP($A183,'0919門市清單主檔'!B:V,21,FALSE)</f>
        <v>淡水區</v>
      </c>
      <c r="E183" s="183" t="str">
        <f>VLOOKUP(D183,區域表!A:B,2,FALSE)</f>
        <v>吳宗鴻</v>
      </c>
      <c r="F183" s="184" t="str">
        <f>IFERROR(IF(VLOOKUP(A183,門市狀態!A:D,4,FALSE)=0,"",VLOOKUP(A183,門市狀態!A:D,4,FALSE)),"")</f>
        <v/>
      </c>
      <c r="G183" s="185" t="s">
        <v>1746</v>
      </c>
      <c r="H183" s="186" t="str">
        <f t="shared" si="29"/>
        <v>-5101-淡水小坪頂(定保)</v>
      </c>
      <c r="I183" s="190" t="s">
        <v>1746</v>
      </c>
      <c r="J183" s="188" t="str" cm="1">
        <f t="array" ref="J183">IFERROR(INDEX(IM!$X$2:$X$650, MATCH(1, (IM!$F$2:$F$650=A183) * (ISNUMBER(SEARCH($C$1, IM!$AC$2:$AC$650))), 0)), "")</f>
        <v/>
      </c>
      <c r="K183" s="159">
        <f>COUNTIFS(IM!F:F,A183,IM!AD:AD,"O",IM!X:X,"&gt;="&amp;$A$1,IM!X:X,"&lt;="&amp;$B$1)</f>
        <v>0</v>
      </c>
      <c r="L183" s="228" t="str" cm="1">
        <f t="array" ref="L183">IF(K183&gt;0,IFERROR(HYPERLINK("#'IM'!AC"&amp;MATCH(1,(IM!$F$1:$F$7700=A183)*(ISNUMBER(SEARCH("PMQ2",IM!$AC$1:$AC$7700))),0),"檢核"),"未登錄"),"")</f>
        <v/>
      </c>
      <c r="M183" s="230" t="str" cm="1">
        <f t="array" ref="M183">IF(AND(SUMPRODUCT((IM!F2:F806=A183)*(ISNUMBER(SEARCH("EDC", IM!AC2:AC806))))&gt;0), "EDC", "")</f>
        <v/>
      </c>
      <c r="N183" s="264" t="str" cm="1">
        <f t="array" ref="N183">IF(AND(SUMPRODUCT((IM!F2:F806=A183)*(ISNUMBER(SEARCH("STAR", IM!AC2:AC806))))&gt;0), "STAR", "")</f>
        <v/>
      </c>
      <c r="O183" s="256" t="str" cm="1">
        <f t="array" ref="O183">IFERROR(INDEX(IM!$X$2:$X$650, MATCH(1, (IM!$F$2:$F$650=A183) * (ISNUMBER(SEARCH($D$1, IM!$AC$2:$AC$650))), 0)), "")</f>
        <v/>
      </c>
      <c r="P183" s="191" t="str">
        <f t="shared" si="30"/>
        <v>-5101-淡水小坪頂(定保)</v>
      </c>
      <c r="Q183" s="140"/>
      <c r="R183" s="140"/>
      <c r="S183" s="140"/>
      <c r="T183" s="140"/>
      <c r="U183" s="258">
        <f t="shared" si="31"/>
        <v>0</v>
      </c>
      <c r="V183" s="246" t="str">
        <f t="shared" si="32"/>
        <v>未到店</v>
      </c>
      <c r="X183" s="5"/>
      <c r="Y183" s="5" t="str">
        <f t="shared" si="33"/>
        <v/>
      </c>
    </row>
    <row r="184" spans="1:25" ht="15.75" customHeight="1">
      <c r="A184" s="179">
        <v>4739</v>
      </c>
      <c r="B184" s="180" t="str">
        <f>VLOOKUP(A184,'0919門市清單主檔'!B:C,2,FALSE)</f>
        <v>淡水櫻花店</v>
      </c>
      <c r="C184" s="181" t="str">
        <f>VLOOKUP($A184,'0919門市清單主檔'!B:V,20,FALSE)</f>
        <v>新北市</v>
      </c>
      <c r="D184" s="182" t="str">
        <f>VLOOKUP($A184,'0919門市清單主檔'!B:V,21,FALSE)</f>
        <v>淡水區</v>
      </c>
      <c r="E184" s="183" t="str">
        <f>VLOOKUP(D184,區域表!A:B,2,FALSE)</f>
        <v>吳宗鴻</v>
      </c>
      <c r="F184" s="184" t="str">
        <f>IFERROR(IF(VLOOKUP(A184,門市狀態!A:D,4,FALSE)=0,"",VLOOKUP(A184,門市狀態!A:D,4,FALSE)),"")</f>
        <v/>
      </c>
      <c r="G184" s="185" t="s">
        <v>1746</v>
      </c>
      <c r="H184" s="186" t="str">
        <f t="shared" si="29"/>
        <v>-4739-淡水櫻花店(定保)</v>
      </c>
      <c r="I184" s="190" t="s">
        <v>1746</v>
      </c>
      <c r="J184" s="188" t="str" cm="1">
        <f t="array" ref="J184">IFERROR(INDEX(IM!$X$2:$X$650, MATCH(1, (IM!$F$2:$F$650=A184) * (ISNUMBER(SEARCH($C$1, IM!$AC$2:$AC$650))), 0)), "")</f>
        <v/>
      </c>
      <c r="K184" s="159">
        <f>COUNTIFS(IM!F:F,A184,IM!AD:AD,"O",IM!X:X,"&gt;="&amp;$A$1,IM!X:X,"&lt;="&amp;$B$1)</f>
        <v>0</v>
      </c>
      <c r="L184" s="228" t="str" cm="1">
        <f t="array" ref="L184">IF(K184&gt;0,IFERROR(HYPERLINK("#'IM'!AC"&amp;MATCH(1,(IM!$F$1:$F$7700=A184)*(ISNUMBER(SEARCH("PMQ2",IM!$AC$1:$AC$7700))),0),"檢核"),"未登錄"),"")</f>
        <v/>
      </c>
      <c r="M184" s="230" t="str" cm="1">
        <f t="array" ref="M184">IF(AND(SUMPRODUCT((IM!F2:F807=A184)*(ISNUMBER(SEARCH("EDC", IM!AC2:AC807))))&gt;0), "EDC", "")</f>
        <v/>
      </c>
      <c r="N184" s="264" t="str" cm="1">
        <f t="array" ref="N184">IF(AND(SUMPRODUCT((IM!F2:F807=A184)*(ISNUMBER(SEARCH("STAR", IM!AC2:AC807))))&gt;0), "STAR", "")</f>
        <v/>
      </c>
      <c r="O184" s="256" t="str" cm="1">
        <f t="array" ref="O184">IFERROR(INDEX(IM!$X$2:$X$650, MATCH(1, (IM!$F$2:$F$650=A184) * (ISNUMBER(SEARCH($D$1, IM!$AC$2:$AC$650))), 0)), "")</f>
        <v/>
      </c>
      <c r="P184" s="191" t="str">
        <f t="shared" si="30"/>
        <v>-4739-淡水櫻花店(定保)</v>
      </c>
      <c r="Q184" s="140"/>
      <c r="R184" s="140"/>
      <c r="S184" s="140"/>
      <c r="T184" s="140"/>
      <c r="U184" s="258">
        <f t="shared" si="31"/>
        <v>1</v>
      </c>
      <c r="V184" s="246" t="str">
        <f t="shared" si="32"/>
        <v>未到店</v>
      </c>
      <c r="X184" s="5" t="s">
        <v>4339</v>
      </c>
      <c r="Y184" s="5" t="str">
        <f t="shared" si="33"/>
        <v>STAR</v>
      </c>
    </row>
    <row r="185" spans="1:25" ht="15.75" customHeight="1">
      <c r="A185" s="179">
        <v>5080</v>
      </c>
      <c r="B185" s="180" t="str">
        <f>VLOOKUP(A185,'0919門市清單主檔'!B:C,2,FALSE)</f>
        <v>三芝楓愛林</v>
      </c>
      <c r="C185" s="181" t="str">
        <f>VLOOKUP($A185,'0919門市清單主檔'!B:V,20,FALSE)</f>
        <v>新北市</v>
      </c>
      <c r="D185" s="182" t="str">
        <f>VLOOKUP($A185,'0919門市清單主檔'!B:V,21,FALSE)</f>
        <v>三芝區</v>
      </c>
      <c r="E185" s="183" t="str">
        <f>VLOOKUP(D185,區域表!A:B,2,FALSE)</f>
        <v>吳宗鴻</v>
      </c>
      <c r="F185" s="184" t="str">
        <f>IFERROR(IF(VLOOKUP(A185,門市狀態!A:D,4,FALSE)=0,"",VLOOKUP(A185,門市狀態!A:D,4,FALSE)),"")</f>
        <v/>
      </c>
      <c r="G185" s="185" t="s">
        <v>1746</v>
      </c>
      <c r="H185" s="186" t="str">
        <f t="shared" si="29"/>
        <v>-5080-三芝楓愛林(定保)</v>
      </c>
      <c r="I185" s="190" t="s">
        <v>1746</v>
      </c>
      <c r="J185" s="188" t="str" cm="1">
        <f t="array" ref="J185">IFERROR(INDEX(IM!$X$2:$X$650, MATCH(1, (IM!$F$2:$F$650=A185) * (ISNUMBER(SEARCH($C$1, IM!$AC$2:$AC$650))), 0)), "")</f>
        <v/>
      </c>
      <c r="K185" s="159">
        <f>COUNTIFS(IM!F:F,A185,IM!AD:AD,"O",IM!X:X,"&gt;="&amp;$A$1,IM!X:X,"&lt;="&amp;$B$1)</f>
        <v>0</v>
      </c>
      <c r="L185" s="228" t="str" cm="1">
        <f t="array" ref="L185">IF(K185&gt;0,IFERROR(HYPERLINK("#'IM'!AC"&amp;MATCH(1,(IM!$F$1:$F$7700=A185)*(ISNUMBER(SEARCH("PMQ2",IM!$AC$1:$AC$7700))),0),"檢核"),"未登錄"),"")</f>
        <v/>
      </c>
      <c r="M185" s="230" t="str" cm="1">
        <f t="array" ref="M185">IF(AND(SUMPRODUCT((IM!F2:F808=A185)*(ISNUMBER(SEARCH("EDC", IM!AC2:AC808))))&gt;0), "EDC", "")</f>
        <v/>
      </c>
      <c r="N185" s="264" t="str" cm="1">
        <f t="array" ref="N185">IF(AND(SUMPRODUCT((IM!F2:F808=A185)*(ISNUMBER(SEARCH("STAR", IM!AC2:AC808))))&gt;0), "STAR", "")</f>
        <v/>
      </c>
      <c r="O185" s="256" t="str" cm="1">
        <f t="array" ref="O185">IFERROR(INDEX(IM!$X$2:$X$650, MATCH(1, (IM!$F$2:$F$650=A185) * (ISNUMBER(SEARCH($D$1, IM!$AC$2:$AC$650))), 0)), "")</f>
        <v/>
      </c>
      <c r="P185" s="191" t="str">
        <f t="shared" si="30"/>
        <v>-5080-三芝楓愛林(定保)</v>
      </c>
      <c r="Q185" s="140"/>
      <c r="R185" s="140"/>
      <c r="S185" s="140"/>
      <c r="T185" s="140"/>
      <c r="U185" s="258">
        <f t="shared" si="31"/>
        <v>0</v>
      </c>
      <c r="V185" s="246" t="str">
        <f t="shared" si="32"/>
        <v>未到店</v>
      </c>
      <c r="X185" s="5"/>
      <c r="Y185" s="5" t="str">
        <f t="shared" si="33"/>
        <v/>
      </c>
    </row>
    <row r="186" spans="1:25" ht="15.75" customHeight="1">
      <c r="A186" s="179">
        <v>4154</v>
      </c>
      <c r="B186" s="180" t="str">
        <f>VLOOKUP(A186,'0919門市清單主檔'!B:C,2,FALSE)</f>
        <v>林口麗園店</v>
      </c>
      <c r="C186" s="181" t="str">
        <f>VLOOKUP($A186,'0919門市清單主檔'!B:V,20,FALSE)</f>
        <v>新北市</v>
      </c>
      <c r="D186" s="182" t="str">
        <f>VLOOKUP($A186,'0919門市清單主檔'!B:V,21,FALSE)</f>
        <v>林口區</v>
      </c>
      <c r="E186" s="183" t="str">
        <f>VLOOKUP(D186,區域表!A:B,2,FALSE)</f>
        <v>湯家瑋</v>
      </c>
      <c r="F186" s="184" t="str">
        <f>IFERROR(IF(VLOOKUP(A186,門市狀態!A:D,4,FALSE)=0,"",VLOOKUP(A186,門市狀態!A:D,4,FALSE)),"")</f>
        <v/>
      </c>
      <c r="G186" s="185" t="s">
        <v>1746</v>
      </c>
      <c r="H186" s="186" t="str">
        <f t="shared" si="29"/>
        <v>-4154-林口麗園店(定保)</v>
      </c>
      <c r="I186" s="190" t="s">
        <v>1746</v>
      </c>
      <c r="J186" s="188" t="str" cm="1">
        <f t="array" ref="J186">IFERROR(INDEX(IM!$X$2:$X$650, MATCH(1, (IM!$F$2:$F$650=A186) * (ISNUMBER(SEARCH($C$1, IM!$AC$2:$AC$650))), 0)), "")</f>
        <v/>
      </c>
      <c r="K186" s="159">
        <f>COUNTIFS(IM!F:F,A186,IM!AD:AD,"O",IM!X:X,"&gt;="&amp;$A$1,IM!X:X,"&lt;="&amp;$B$1)</f>
        <v>0</v>
      </c>
      <c r="L186" s="228" t="str" cm="1">
        <f t="array" ref="L186">IF(K186&gt;0,IFERROR(HYPERLINK("#'IM'!AC"&amp;MATCH(1,(IM!$F$1:$F$7700=A186)*(ISNUMBER(SEARCH("PMQ2",IM!$AC$1:$AC$7700))),0),"檢核"),"未登錄"),"")</f>
        <v/>
      </c>
      <c r="M186" s="230" t="str" cm="1">
        <f t="array" ref="M186">IF(AND(SUMPRODUCT((IM!F2:F809=A186)*(ISNUMBER(SEARCH("EDC", IM!AC2:AC809))))&gt;0), "EDC", "")</f>
        <v/>
      </c>
      <c r="N186" s="264" t="str" cm="1">
        <f t="array" ref="N186">IF(AND(SUMPRODUCT((IM!F2:F809=A186)*(ISNUMBER(SEARCH("STAR", IM!AC2:AC809))))&gt;0), "STAR", "")</f>
        <v/>
      </c>
      <c r="O186" s="256" t="str" cm="1">
        <f t="array" ref="O186">IFERROR(INDEX(IM!$X$2:$X$650, MATCH(1, (IM!$F$2:$F$650=A186) * (ISNUMBER(SEARCH($D$1, IM!$AC$2:$AC$650))), 0)), "")</f>
        <v/>
      </c>
      <c r="P186" s="191" t="str">
        <f t="shared" si="30"/>
        <v>-4154-林口麗園店(定保)</v>
      </c>
      <c r="Q186" s="140"/>
      <c r="R186" s="140"/>
      <c r="S186" s="140"/>
      <c r="T186" s="140"/>
      <c r="U186" s="258">
        <f t="shared" si="31"/>
        <v>2</v>
      </c>
      <c r="V186" s="246" t="str">
        <f t="shared" si="32"/>
        <v>未到店</v>
      </c>
      <c r="W186" s="3" t="s">
        <v>4405</v>
      </c>
      <c r="X186" s="5" t="s">
        <v>4406</v>
      </c>
      <c r="Y186" s="5" t="str">
        <f t="shared" si="33"/>
        <v>STAR</v>
      </c>
    </row>
    <row r="187" spans="1:25" ht="15.75" customHeight="1">
      <c r="A187" s="179" t="s">
        <v>41</v>
      </c>
      <c r="B187" s="180" t="str">
        <f>VLOOKUP(A187,'0919門市清單主檔'!B:C,2,FALSE)</f>
        <v>車麗屋林口店</v>
      </c>
      <c r="C187" s="181" t="str">
        <f>VLOOKUP($A187,'0919門市清單主檔'!B:V,20,FALSE)</f>
        <v>新北市</v>
      </c>
      <c r="D187" s="182" t="str">
        <f>VLOOKUP($A187,'0919門市清單主檔'!B:V,21,FALSE)</f>
        <v>林口區</v>
      </c>
      <c r="E187" s="183" t="str">
        <f>VLOOKUP(D187,區域表!A:B,2,FALSE)</f>
        <v>湯家瑋</v>
      </c>
      <c r="F187" s="184" t="str">
        <f>IFERROR(IF(VLOOKUP(A187,門市狀態!A:D,4,FALSE)=0,"",VLOOKUP(A187,門市狀態!A:D,4,FALSE)),"")</f>
        <v/>
      </c>
      <c r="G187" s="185" t="s">
        <v>1747</v>
      </c>
      <c r="H187" s="186" t="str">
        <f t="shared" si="29"/>
        <v>-L519-車麗屋林口店(定保)</v>
      </c>
      <c r="I187" s="190" t="s">
        <v>1746</v>
      </c>
      <c r="J187" s="188" t="str" cm="1">
        <f t="array" ref="J187">IFERROR(INDEX(IM!$X$2:$X$650, MATCH(1, (IM!$F$2:$F$650=A187) * (ISNUMBER(SEARCH($C$1, IM!$AC$2:$AC$650))), 0)), "")</f>
        <v/>
      </c>
      <c r="K187" s="159">
        <f>COUNTIFS(IM!F:F,A187,IM!AD:AD,"O",IM!X:X,"&gt;="&amp;$A$1,IM!X:X,"&lt;="&amp;$B$1)</f>
        <v>0</v>
      </c>
      <c r="L187" s="228" t="str" cm="1">
        <f t="array" ref="L187">IF(K187&gt;0,IFERROR(HYPERLINK("#'IM'!AC"&amp;MATCH(1,(IM!$F$1:$F$7700=A187)*(ISNUMBER(SEARCH("PMQ2",IM!$AC$1:$AC$7700))),0),"檢核"),"未登錄"),"")</f>
        <v/>
      </c>
      <c r="M187" s="230" t="str" cm="1">
        <f t="array" ref="M187">IF(AND(SUMPRODUCT((IM!F2:F810=A187)*(ISNUMBER(SEARCH("EDC", IM!AC2:AC810))))&gt;0), "EDC", "")</f>
        <v/>
      </c>
      <c r="N187" s="264" t="str" cm="1">
        <f t="array" ref="N187">IF(AND(SUMPRODUCT((IM!F2:F810=A187)*(ISNUMBER(SEARCH("STAR", IM!AC2:AC810))))&gt;0), "STAR", "")</f>
        <v/>
      </c>
      <c r="O187" s="256" t="str" cm="1">
        <f t="array" ref="O187">IFERROR(INDEX(IM!$X$2:$X$650, MATCH(1, (IM!$F$2:$F$650=A187) * (ISNUMBER(SEARCH($D$1, IM!$AC$2:$AC$650))), 0)), "")</f>
        <v/>
      </c>
      <c r="P187" s="191" t="str">
        <f t="shared" si="30"/>
        <v>-L519-車麗屋林口店(定保)</v>
      </c>
      <c r="Q187" s="140"/>
      <c r="R187" s="140"/>
      <c r="S187" s="140"/>
      <c r="T187" s="140"/>
      <c r="U187" s="258">
        <f t="shared" si="31"/>
        <v>0</v>
      </c>
      <c r="V187" s="246" t="str">
        <f t="shared" si="32"/>
        <v>未到店</v>
      </c>
      <c r="X187" s="5"/>
      <c r="Y187" s="5" t="str">
        <f t="shared" si="33"/>
        <v/>
      </c>
    </row>
    <row r="188" spans="1:25" ht="15.75" customHeight="1">
      <c r="A188" s="179" t="s">
        <v>1453</v>
      </c>
      <c r="B188" s="180" t="str">
        <f>VLOOKUP(A188,'0919門市清單主檔'!B:C,2,FALSE)</f>
        <v>林口顧家店</v>
      </c>
      <c r="C188" s="181" t="str">
        <f>VLOOKUP($A188,'0919門市清單主檔'!B:V,20,FALSE)</f>
        <v>新北市</v>
      </c>
      <c r="D188" s="182" t="str">
        <f>VLOOKUP($A188,'0919門市清單主檔'!B:V,21,FALSE)</f>
        <v>林口區</v>
      </c>
      <c r="E188" s="183" t="str">
        <f>VLOOKUP(D188,區域表!A:B,2,FALSE)</f>
        <v>湯家瑋</v>
      </c>
      <c r="F188" s="184" t="str">
        <f>IFERROR(IF(VLOOKUP(A188,門市狀態!A:D,4,FALSE)=0,"",VLOOKUP(A188,門市狀態!A:D,4,FALSE)),"")</f>
        <v/>
      </c>
      <c r="G188" s="185" t="s">
        <v>1747</v>
      </c>
      <c r="H188" s="186" t="str">
        <f t="shared" si="29"/>
        <v>-L551-林口顧家店(定保)</v>
      </c>
      <c r="I188" s="190" t="s">
        <v>1746</v>
      </c>
      <c r="J188" s="188" t="str" cm="1">
        <f t="array" ref="J188">IFERROR(INDEX(IM!$X$2:$X$650, MATCH(1, (IM!$F$2:$F$650=A188) * (ISNUMBER(SEARCH($C$1, IM!$AC$2:$AC$650))), 0)), "")</f>
        <v/>
      </c>
      <c r="K188" s="159">
        <f>COUNTIFS(IM!F:F,A188,IM!AD:AD,"O",IM!X:X,"&gt;="&amp;$A$1,IM!X:X,"&lt;="&amp;$B$1)</f>
        <v>0</v>
      </c>
      <c r="L188" s="228" t="str" cm="1">
        <f t="array" ref="L188">IF(K188&gt;0,IFERROR(HYPERLINK("#'IM'!AC"&amp;MATCH(1,(IM!$F$1:$F$7700=A188)*(ISNUMBER(SEARCH("PMQ2",IM!$AC$1:$AC$7700))),0),"檢核"),"未登錄"),"")</f>
        <v/>
      </c>
      <c r="M188" s="230" t="str" cm="1">
        <f t="array" ref="M188">IF(AND(SUMPRODUCT((IM!F2:F811=A188)*(ISNUMBER(SEARCH("EDC", IM!AC2:AC811))))&gt;0), "EDC", "")</f>
        <v/>
      </c>
      <c r="N188" s="264" t="str" cm="1">
        <f t="array" ref="N188">IF(AND(SUMPRODUCT((IM!F2:F811=A188)*(ISNUMBER(SEARCH("STAR", IM!AC2:AC811))))&gt;0), "STAR", "")</f>
        <v/>
      </c>
      <c r="O188" s="256" t="str" cm="1">
        <f t="array" ref="O188">IFERROR(INDEX(IM!$X$2:$X$650, MATCH(1, (IM!$F$2:$F$650=A188) * (ISNUMBER(SEARCH($D$1, IM!$AC$2:$AC$650))), 0)), "")</f>
        <v/>
      </c>
      <c r="P188" s="191" t="str">
        <f t="shared" si="30"/>
        <v>-L551-林口顧家店(定保)</v>
      </c>
      <c r="Q188" s="140"/>
      <c r="R188" s="140"/>
      <c r="S188" s="140"/>
      <c r="T188" s="140"/>
      <c r="U188" s="258">
        <f t="shared" si="31"/>
        <v>0</v>
      </c>
      <c r="V188" s="246" t="str">
        <f t="shared" si="32"/>
        <v>未到店</v>
      </c>
      <c r="X188" s="5"/>
      <c r="Y188" s="5" t="str">
        <f t="shared" si="33"/>
        <v/>
      </c>
    </row>
    <row r="189" spans="1:25" ht="15.75" customHeight="1">
      <c r="A189" s="179">
        <v>4483</v>
      </c>
      <c r="B189" s="180" t="str">
        <f>VLOOKUP(A189,'0919門市清單主檔'!B:C,2,FALSE)</f>
        <v>林口築夢店</v>
      </c>
      <c r="C189" s="181" t="str">
        <f>VLOOKUP($A189,'0919門市清單主檔'!B:V,20,FALSE)</f>
        <v>新北市</v>
      </c>
      <c r="D189" s="182" t="str">
        <f>VLOOKUP($A189,'0919門市清單主檔'!B:V,21,FALSE)</f>
        <v>林口區</v>
      </c>
      <c r="E189" s="183" t="str">
        <f>VLOOKUP(D189,區域表!A:B,2,FALSE)</f>
        <v>湯家瑋</v>
      </c>
      <c r="F189" s="184" t="str">
        <f>IFERROR(IF(VLOOKUP(A189,門市狀態!A:D,4,FALSE)=0,"",VLOOKUP(A189,門市狀態!A:D,4,FALSE)),"")</f>
        <v/>
      </c>
      <c r="G189" s="185" t="s">
        <v>1746</v>
      </c>
      <c r="H189" s="186" t="str">
        <f t="shared" si="29"/>
        <v>-4483-林口築夢店(定保)</v>
      </c>
      <c r="I189" s="190" t="s">
        <v>1746</v>
      </c>
      <c r="J189" s="188" t="str" cm="1">
        <f t="array" ref="J189">IFERROR(INDEX(IM!$X$2:$X$650, MATCH(1, (IM!$F$2:$F$650=A189) * (ISNUMBER(SEARCH($C$1, IM!$AC$2:$AC$650))), 0)), "")</f>
        <v/>
      </c>
      <c r="K189" s="159">
        <f>COUNTIFS(IM!F:F,A189,IM!AD:AD,"O",IM!X:X,"&gt;="&amp;$A$1,IM!X:X,"&lt;="&amp;$B$1)</f>
        <v>0</v>
      </c>
      <c r="L189" s="228" t="str" cm="1">
        <f t="array" ref="L189">IF(K189&gt;0,IFERROR(HYPERLINK("#'IM'!AC"&amp;MATCH(1,(IM!$F$1:$F$7700=A189)*(ISNUMBER(SEARCH("PMQ2",IM!$AC$1:$AC$7700))),0),"檢核"),"未登錄"),"")</f>
        <v/>
      </c>
      <c r="M189" s="230" t="str" cm="1">
        <f t="array" ref="M189">IF(AND(SUMPRODUCT((IM!F2:F813=A189)*(ISNUMBER(SEARCH("EDC", IM!AC2:AC813))))&gt;0), "EDC", "")</f>
        <v/>
      </c>
      <c r="N189" s="264" t="str" cm="1">
        <f t="array" ref="N189">IF(AND(SUMPRODUCT((IM!F2:F813=A189)*(ISNUMBER(SEARCH("STAR", IM!AC2:AC813))))&gt;0), "STAR", "")</f>
        <v/>
      </c>
      <c r="O189" s="256" t="str" cm="1">
        <f t="array" ref="O189">IFERROR(INDEX(IM!$X$2:$X$650, MATCH(1, (IM!$F$2:$F$650=A189) * (ISNUMBER(SEARCH($D$1, IM!$AC$2:$AC$650))), 0)), "")</f>
        <v/>
      </c>
      <c r="P189" s="191" t="str">
        <f t="shared" si="30"/>
        <v>-4483-林口築夢店(定保)</v>
      </c>
      <c r="Q189" s="140"/>
      <c r="R189" s="140"/>
      <c r="S189" s="140"/>
      <c r="T189" s="140"/>
      <c r="U189" s="258">
        <f t="shared" si="31"/>
        <v>1</v>
      </c>
      <c r="V189" s="246" t="str">
        <f t="shared" si="32"/>
        <v>未到店</v>
      </c>
      <c r="W189" s="3" t="s">
        <v>4407</v>
      </c>
      <c r="X189" s="5"/>
      <c r="Y189" s="5" t="str">
        <f t="shared" si="33"/>
        <v>STAR</v>
      </c>
    </row>
    <row r="190" spans="1:25" ht="15.75" customHeight="1">
      <c r="A190" s="179">
        <v>2746</v>
      </c>
      <c r="B190" s="180" t="str">
        <f>VLOOKUP(A190,'0919門市清單主檔'!B:C,2,FALSE)</f>
        <v>北縣板嘉店</v>
      </c>
      <c r="C190" s="181" t="str">
        <f>VLOOKUP($A190,'0919門市清單主檔'!B:V,20,FALSE)</f>
        <v>新北市</v>
      </c>
      <c r="D190" s="182" t="str">
        <f>VLOOKUP($A190,'0919門市清單主檔'!B:V,21,FALSE)</f>
        <v>板橋區</v>
      </c>
      <c r="E190" s="183" t="str">
        <f>VLOOKUP(D190,區域表!A:B,2,FALSE)</f>
        <v>狄澤洋</v>
      </c>
      <c r="F190" s="184" t="str">
        <f>IFERROR(IF(VLOOKUP(A190,門市狀態!A:D,4,FALSE)=0,"",VLOOKUP(A190,門市狀態!A:D,4,FALSE)),"")</f>
        <v/>
      </c>
      <c r="G190" s="185" t="s">
        <v>1746</v>
      </c>
      <c r="H190" s="186" t="str">
        <f t="shared" si="29"/>
        <v>-2746-北縣板嘉店(定保)</v>
      </c>
      <c r="I190" s="190" t="s">
        <v>1746</v>
      </c>
      <c r="J190" s="188" t="str" cm="1">
        <f t="array" ref="J190">IFERROR(INDEX(IM!$X$2:$X$650, MATCH(1, (IM!$F$2:$F$650=A190) * (ISNUMBER(SEARCH($C$1, IM!$AC$2:$AC$650))), 0)), "")</f>
        <v/>
      </c>
      <c r="K190" s="159">
        <f>COUNTIFS(IM!F:F,A190,IM!AD:AD,"O",IM!X:X,"&gt;="&amp;$A$1,IM!X:X,"&lt;="&amp;$B$1)</f>
        <v>0</v>
      </c>
      <c r="L190" s="228" t="str" cm="1">
        <f t="array" ref="L190">IF(K190&gt;0,IFERROR(HYPERLINK("#'IM'!AC"&amp;MATCH(1,(IM!$F$1:$F$7700=A190)*(ISNUMBER(SEARCH("PMQ2",IM!$AC$1:$AC$7700))),0),"檢核"),"未登錄"),"")</f>
        <v/>
      </c>
      <c r="M190" s="230" t="str" cm="1">
        <f t="array" ref="M190">IF(AND(SUMPRODUCT((IM!F2:F814=A190)*(ISNUMBER(SEARCH("EDC", IM!AC2:AC814))))&gt;0), "EDC", "")</f>
        <v/>
      </c>
      <c r="N190" s="264" t="str" cm="1">
        <f t="array" ref="N190">IF(AND(SUMPRODUCT((IM!F2:F814=A190)*(ISNUMBER(SEARCH("STAR", IM!AC2:AC814))))&gt;0), "STAR", "")</f>
        <v/>
      </c>
      <c r="O190" s="256" t="str" cm="1">
        <f t="array" ref="O190">IFERROR(INDEX(IM!$X$2:$X$650, MATCH(1, (IM!$F$2:$F$650=A190) * (ISNUMBER(SEARCH($D$1, IM!$AC$2:$AC$650))), 0)), "")</f>
        <v/>
      </c>
      <c r="P190" s="191" t="str">
        <f t="shared" si="30"/>
        <v>-2746-北縣板嘉店(定保)</v>
      </c>
      <c r="Q190" s="140"/>
      <c r="R190" s="140"/>
      <c r="S190" s="140"/>
      <c r="T190" s="140"/>
      <c r="U190" s="258">
        <f t="shared" si="31"/>
        <v>2</v>
      </c>
      <c r="V190" s="246" t="str">
        <f t="shared" si="32"/>
        <v>未到店</v>
      </c>
      <c r="W190" s="3" t="s">
        <v>4372</v>
      </c>
      <c r="X190" s="5" t="s">
        <v>4373</v>
      </c>
      <c r="Y190" s="5" t="str">
        <f t="shared" si="33"/>
        <v>STAR</v>
      </c>
    </row>
    <row r="191" spans="1:25" ht="15.75" customHeight="1">
      <c r="A191" s="179">
        <v>3243</v>
      </c>
      <c r="B191" s="180" t="str">
        <f>VLOOKUP(A191,'0919門市清單主檔'!B:C,2,FALSE)</f>
        <v>北縣醒吾店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4086</v>
      </c>
      <c r="H191" s="186" t="str">
        <f t="shared" si="29"/>
        <v>-3243-北縣醒吾店(定保)</v>
      </c>
      <c r="I191" s="190" t="s">
        <v>1746</v>
      </c>
      <c r="J191" s="188" t="str" cm="1">
        <f t="array" ref="J191">IFERROR(INDEX(IM!$X$2:$X$650, MATCH(1, (IM!$F$2:$F$650=A191) * (ISNUMBER(SEARCH($C$1, IM!$AC$2:$AC$650))), 0)), "")</f>
        <v/>
      </c>
      <c r="K191" s="159">
        <f>COUNTIFS(IM!F:F,A191,IM!AD:AD,"O",IM!X:X,"&gt;="&amp;$A$1,IM!X:X,"&lt;="&amp;$B$1)</f>
        <v>0</v>
      </c>
      <c r="L191" s="228" t="str" cm="1">
        <f t="array" ref="L191">IF(K191&gt;0,IFERROR(HYPERLINK("#'IM'!AC"&amp;MATCH(1,(IM!$F$1:$F$7700=A191)*(ISNUMBER(SEARCH("PMQ2",IM!$AC$1:$AC$7700))),0),"檢核"),"未登錄"),"")</f>
        <v/>
      </c>
      <c r="M191" s="230" t="str" cm="1">
        <f t="array" ref="M191">IF(AND(SUMPRODUCT((IM!F2:F815=A191)*(ISNUMBER(SEARCH("EDC", IM!AC2:AC815))))&gt;0), "EDC", "")</f>
        <v/>
      </c>
      <c r="N191" s="264" t="str" cm="1">
        <f t="array" ref="N191">IF(AND(SUMPRODUCT((IM!F2:F815=A191)*(ISNUMBER(SEARCH("STAR", IM!AC2:AC815))))&gt;0), "STAR", "")</f>
        <v/>
      </c>
      <c r="O191" s="256" t="str" cm="1">
        <f t="array" ref="O191">IFERROR(INDEX(IM!$X$2:$X$650, MATCH(1, (IM!$F$2:$F$650=A191) * (ISNUMBER(SEARCH($D$1, IM!$AC$2:$AC$650))), 0)), "")</f>
        <v/>
      </c>
      <c r="P191" s="191" t="str">
        <f t="shared" si="30"/>
        <v>-3243-北縣醒吾店(定保)</v>
      </c>
      <c r="Q191" s="140"/>
      <c r="R191" s="140"/>
      <c r="S191" s="140"/>
      <c r="T191" s="140"/>
      <c r="U191" s="258">
        <f t="shared" si="31"/>
        <v>2</v>
      </c>
      <c r="V191" s="246" t="str">
        <f t="shared" si="32"/>
        <v>未到店</v>
      </c>
      <c r="W191" s="3" t="s">
        <v>4408</v>
      </c>
      <c r="X191" s="5" t="s">
        <v>4409</v>
      </c>
      <c r="Y191" s="5" t="str">
        <f t="shared" ref="Y191:Y226" si="34">IF(U191&gt;0,"STAR","")</f>
        <v>STAR</v>
      </c>
    </row>
    <row r="192" spans="1:25" ht="15.75" customHeight="1">
      <c r="A192" s="179">
        <v>3137</v>
      </c>
      <c r="B192" s="180" t="str">
        <f>VLOOKUP(A192,'0919門市清單主檔'!B:C,2,FALSE)</f>
        <v>北縣黎明店</v>
      </c>
      <c r="C192" s="181" t="str">
        <f>VLOOKUP($A192,'0919門市清單主檔'!B:V,20,FALSE)</f>
        <v>新北市</v>
      </c>
      <c r="D192" s="182" t="str">
        <f>VLOOKUP($A192,'0919門市清單主檔'!B:V,21,FALSE)</f>
        <v>泰山區</v>
      </c>
      <c r="E192" s="183" t="str">
        <f>VLOOKUP(D192,區域表!A:B,2,FALSE)</f>
        <v>湯家瑋</v>
      </c>
      <c r="F192" s="184" t="str">
        <f>IFERROR(IF(VLOOKUP(A192,門市狀態!A:D,4,FALSE)=0,"",VLOOKUP(A192,門市狀態!A:D,4,FALSE)),"")</f>
        <v/>
      </c>
      <c r="G192" s="185" t="s">
        <v>4086</v>
      </c>
      <c r="H192" s="186" t="str">
        <f t="shared" si="29"/>
        <v>-3137-北縣黎明店(定保)</v>
      </c>
      <c r="I192" s="190" t="s">
        <v>1746</v>
      </c>
      <c r="J192" s="188" t="str" cm="1">
        <f t="array" ref="J192">IFERROR(INDEX(IM!$X$2:$X$650, MATCH(1, (IM!$F$2:$F$650=A192) * (ISNUMBER(SEARCH($C$1, IM!$AC$2:$AC$650))), 0)), "")</f>
        <v/>
      </c>
      <c r="K192" s="159">
        <f>COUNTIFS(IM!F:F,A192,IM!AD:AD,"O",IM!X:X,"&gt;="&amp;$A$1,IM!X:X,"&lt;="&amp;$B$1)</f>
        <v>0</v>
      </c>
      <c r="L192" s="228" t="str" cm="1">
        <f t="array" ref="L192">IF(K192&gt;0,IFERROR(HYPERLINK("#'IM'!AC"&amp;MATCH(1,(IM!$F$1:$F$7700=A192)*(ISNUMBER(SEARCH("PMQ2",IM!$AC$1:$AC$7700))),0),"檢核"),"未登錄"),"")</f>
        <v/>
      </c>
      <c r="M192" s="230" t="str" cm="1">
        <f t="array" ref="M192">IF(AND(SUMPRODUCT((IM!F2:F816=A192)*(ISNUMBER(SEARCH("EDC", IM!AC2:AC816))))&gt;0), "EDC", "")</f>
        <v/>
      </c>
      <c r="N192" s="264" t="str" cm="1">
        <f t="array" ref="N192">IF(AND(SUMPRODUCT((IM!F2:F816=A192)*(ISNUMBER(SEARCH("STAR", IM!AC2:AC816))))&gt;0), "STAR", "")</f>
        <v/>
      </c>
      <c r="O192" s="256" t="str" cm="1">
        <f t="array" ref="O192">IFERROR(INDEX(IM!$X$2:$X$650, MATCH(1, (IM!$F$2:$F$650=A192) * (ISNUMBER(SEARCH($D$1, IM!$AC$2:$AC$650))), 0)), "")</f>
        <v/>
      </c>
      <c r="P192" s="191" t="str">
        <f t="shared" si="30"/>
        <v>-3137-北縣黎明店(定保)</v>
      </c>
      <c r="Q192" s="140"/>
      <c r="R192" s="140"/>
      <c r="S192" s="140"/>
      <c r="T192" s="140"/>
      <c r="U192" s="258">
        <f t="shared" si="31"/>
        <v>0</v>
      </c>
      <c r="V192" s="246" t="str">
        <f t="shared" si="32"/>
        <v>未到店</v>
      </c>
      <c r="X192" s="5"/>
      <c r="Y192" s="5" t="str">
        <f t="shared" si="34"/>
        <v/>
      </c>
    </row>
    <row r="193" spans="1:25" ht="15.75" customHeight="1">
      <c r="A193" s="179">
        <v>2897</v>
      </c>
      <c r="B193" s="180" t="str">
        <f>VLOOKUP(A193,'0919門市清單主檔'!B:C,2,FALSE)</f>
        <v>淡水台電宿舍</v>
      </c>
      <c r="C193" s="181" t="str">
        <f>VLOOKUP($A193,'0919門市清單主檔'!B:V,20,FALSE)</f>
        <v>新北市</v>
      </c>
      <c r="D193" s="182" t="str">
        <f>VLOOKUP($A193,'0919門市清單主檔'!B:V,21,FALSE)</f>
        <v>淡水區</v>
      </c>
      <c r="E193" s="183" t="str">
        <f>VLOOKUP(D193,區域表!A:B,2,FALSE)</f>
        <v>吳宗鴻</v>
      </c>
      <c r="F193" s="184" t="str">
        <f>IFERROR(IF(VLOOKUP(A193,門市狀態!A:D,4,FALSE)=0,"",VLOOKUP(A193,門市狀態!A:D,4,FALSE)),"")</f>
        <v/>
      </c>
      <c r="G193" s="185" t="s">
        <v>1746</v>
      </c>
      <c r="H193" s="186" t="str">
        <f t="shared" si="29"/>
        <v>-2897-淡水台電宿舍(定保)</v>
      </c>
      <c r="I193" s="190" t="s">
        <v>1746</v>
      </c>
      <c r="J193" s="188" t="str" cm="1">
        <f t="array" ref="J193">IFERROR(INDEX(IM!$X$2:$X$650, MATCH(1, (IM!$F$2:$F$650=A193) * (ISNUMBER(SEARCH($C$1, IM!$AC$2:$AC$650))), 0)), "")</f>
        <v/>
      </c>
      <c r="K193" s="159">
        <f>COUNTIFS(IM!F:F,A193,IM!AD:AD,"O",IM!X:X,"&gt;="&amp;$A$1,IM!X:X,"&lt;="&amp;$B$1)</f>
        <v>0</v>
      </c>
      <c r="L193" s="228" t="str" cm="1">
        <f t="array" ref="L193">IF(K193&gt;0,IFERROR(HYPERLINK("#'IM'!AC"&amp;MATCH(1,(IM!$F$1:$F$7700=A193)*(ISNUMBER(SEARCH("PMQ2",IM!$AC$1:$AC$7700))),0),"檢核"),"未登錄"),"")</f>
        <v/>
      </c>
      <c r="M193" s="230" t="str" cm="1">
        <f t="array" ref="M193">IF(AND(SUMPRODUCT((IM!F2:F817=A193)*(ISNUMBER(SEARCH("EDC", IM!AC2:AC817))))&gt;0), "EDC", "")</f>
        <v/>
      </c>
      <c r="N193" s="264" t="str" cm="1">
        <f t="array" ref="N193">IF(AND(SUMPRODUCT((IM!F2:F817=A193)*(ISNUMBER(SEARCH("STAR", IM!AC2:AC817))))&gt;0), "STAR", "")</f>
        <v/>
      </c>
      <c r="O193" s="256" t="str" cm="1">
        <f t="array" ref="O193">IFERROR(INDEX(IM!$X$2:$X$650, MATCH(1, (IM!$F$2:$F$650=A193) * (ISNUMBER(SEARCH($D$1, IM!$AC$2:$AC$650))), 0)), "")</f>
        <v/>
      </c>
      <c r="P193" s="191" t="str">
        <f t="shared" si="30"/>
        <v>-2897-淡水台電宿舍(定保)</v>
      </c>
      <c r="Q193" s="140"/>
      <c r="R193" s="140"/>
      <c r="S193" s="140"/>
      <c r="T193" s="140"/>
      <c r="U193" s="258">
        <f t="shared" si="31"/>
        <v>2</v>
      </c>
      <c r="V193" s="246" t="str">
        <f t="shared" si="32"/>
        <v>未到店</v>
      </c>
      <c r="W193" s="3" t="s">
        <v>4340</v>
      </c>
      <c r="X193" s="5" t="s">
        <v>4341</v>
      </c>
      <c r="Y193" s="5" t="str">
        <f t="shared" si="34"/>
        <v>STAR</v>
      </c>
    </row>
    <row r="194" spans="1:25" ht="15.75" customHeight="1">
      <c r="A194" s="179">
        <v>4153</v>
      </c>
      <c r="B194" s="180" t="str">
        <f>VLOOKUP(A194,'0919門市清單主檔'!B:C,2,FALSE)</f>
        <v>淡水莊園店</v>
      </c>
      <c r="C194" s="181" t="str">
        <f>VLOOKUP($A194,'0919門市清單主檔'!B:V,20,FALSE)</f>
        <v>新北市</v>
      </c>
      <c r="D194" s="182" t="str">
        <f>VLOOKUP($A194,'0919門市清單主檔'!B:V,21,FALSE)</f>
        <v>淡水區</v>
      </c>
      <c r="E194" s="183" t="str">
        <f>VLOOKUP(D194,區域表!A:B,2,FALSE)</f>
        <v>吳宗鴻</v>
      </c>
      <c r="F194" s="184" t="str">
        <f>IFERROR(IF(VLOOKUP(A194,門市狀態!A:D,4,FALSE)=0,"",VLOOKUP(A194,門市狀態!A:D,4,FALSE)),"")</f>
        <v/>
      </c>
      <c r="G194" s="185" t="s">
        <v>1746</v>
      </c>
      <c r="H194" s="186" t="str">
        <f t="shared" si="29"/>
        <v>-4153-淡水莊園店(定保)</v>
      </c>
      <c r="I194" s="190" t="s">
        <v>1746</v>
      </c>
      <c r="J194" s="188" t="str" cm="1">
        <f t="array" ref="J194">IFERROR(INDEX(IM!$X$2:$X$650, MATCH(1, (IM!$F$2:$F$650=A194) * (ISNUMBER(SEARCH($C$1, IM!$AC$2:$AC$650))), 0)), "")</f>
        <v/>
      </c>
      <c r="K194" s="159">
        <f>COUNTIFS(IM!F:F,A194,IM!AD:AD,"O",IM!X:X,"&gt;="&amp;$A$1,IM!X:X,"&lt;="&amp;$B$1)</f>
        <v>0</v>
      </c>
      <c r="L194" s="228" t="str" cm="1">
        <f t="array" ref="L194">IF(K194&gt;0,IFERROR(HYPERLINK("#'IM'!AC"&amp;MATCH(1,(IM!$F$1:$F$7700=A194)*(ISNUMBER(SEARCH("PMQ2",IM!$AC$1:$AC$7700))),0),"檢核"),"未登錄"),"")</f>
        <v/>
      </c>
      <c r="M194" s="230" t="str" cm="1">
        <f t="array" ref="M194">IF(AND(SUMPRODUCT((IM!F2:F818=A194)*(ISNUMBER(SEARCH("EDC", IM!AC2:AC818))))&gt;0), "EDC", "")</f>
        <v/>
      </c>
      <c r="N194" s="264" t="str" cm="1">
        <f t="array" ref="N194">IF(AND(SUMPRODUCT((IM!F2:F818=A194)*(ISNUMBER(SEARCH("STAR", IM!AC2:AC818))))&gt;0), "STAR", "")</f>
        <v/>
      </c>
      <c r="O194" s="256" t="str" cm="1">
        <f t="array" ref="O194">IFERROR(INDEX(IM!$X$2:$X$650, MATCH(1, (IM!$F$2:$F$650=A194) * (ISNUMBER(SEARCH($D$1, IM!$AC$2:$AC$650))), 0)), "")</f>
        <v/>
      </c>
      <c r="P194" s="191" t="str">
        <f t="shared" si="30"/>
        <v>-4153-淡水莊園店(定保)</v>
      </c>
      <c r="Q194" s="140"/>
      <c r="R194" s="140"/>
      <c r="S194" s="140"/>
      <c r="T194" s="140"/>
      <c r="U194" s="258">
        <f t="shared" si="31"/>
        <v>2</v>
      </c>
      <c r="V194" s="246" t="str">
        <f t="shared" si="32"/>
        <v>未到店</v>
      </c>
      <c r="W194" s="3" t="s">
        <v>4337</v>
      </c>
      <c r="X194" s="5" t="s">
        <v>4338</v>
      </c>
      <c r="Y194" s="5" t="str">
        <f t="shared" si="34"/>
        <v>STAR</v>
      </c>
    </row>
    <row r="195" spans="1:25" ht="15.75" customHeight="1">
      <c r="A195" s="179">
        <v>4093</v>
      </c>
      <c r="B195" s="180" t="str">
        <f>VLOOKUP(A195,'0919門市清單主檔'!B:C,2,FALSE)</f>
        <v>淡水新市一</v>
      </c>
      <c r="C195" s="181" t="str">
        <f>VLOOKUP($A195,'0919門市清單主檔'!B:V,20,FALSE)</f>
        <v>新北市</v>
      </c>
      <c r="D195" s="182" t="str">
        <f>VLOOKUP($A195,'0919門市清單主檔'!B:V,21,FALSE)</f>
        <v>淡水區</v>
      </c>
      <c r="E195" s="183" t="str">
        <f>VLOOKUP(D195,區域表!A:B,2,FALSE)</f>
        <v>吳宗鴻</v>
      </c>
      <c r="F195" s="184" t="str">
        <f>IFERROR(IF(VLOOKUP(A195,門市狀態!A:D,4,FALSE)=0,"",VLOOKUP(A195,門市狀態!A:D,4,FALSE)),"")</f>
        <v/>
      </c>
      <c r="G195" s="185" t="s">
        <v>1746</v>
      </c>
      <c r="H195" s="186" t="str">
        <f t="shared" si="29"/>
        <v>-4093-淡水新市一(定保)</v>
      </c>
      <c r="I195" s="190" t="s">
        <v>1746</v>
      </c>
      <c r="J195" s="188" t="str" cm="1">
        <f t="array" ref="J195">IFERROR(INDEX(IM!$X$2:$X$650, MATCH(1, (IM!$F$2:$F$650=A195) * (ISNUMBER(SEARCH($C$1, IM!$AC$2:$AC$650))), 0)), "")</f>
        <v/>
      </c>
      <c r="K195" s="159">
        <f>COUNTIFS(IM!F:F,A195,IM!AD:AD,"O",IM!X:X,"&gt;="&amp;$A$1,IM!X:X,"&lt;="&amp;$B$1)</f>
        <v>0</v>
      </c>
      <c r="L195" s="228" t="str" cm="1">
        <f t="array" ref="L195">IF(K195&gt;0,IFERROR(HYPERLINK("#'IM'!AC"&amp;MATCH(1,(IM!$F$1:$F$7700=A195)*(ISNUMBER(SEARCH("PMQ2",IM!$AC$1:$AC$7700))),0),"檢核"),"未登錄"),"")</f>
        <v/>
      </c>
      <c r="M195" s="230" t="str" cm="1">
        <f t="array" ref="M195">IF(AND(SUMPRODUCT((IM!F2:F819=A195)*(ISNUMBER(SEARCH("EDC", IM!AC2:AC819))))&gt;0), "EDC", "")</f>
        <v/>
      </c>
      <c r="N195" s="264" t="str" cm="1">
        <f t="array" ref="N195">IF(AND(SUMPRODUCT((IM!F2:F819=A195)*(ISNUMBER(SEARCH("STAR", IM!AC2:AC819))))&gt;0), "STAR", "")</f>
        <v/>
      </c>
      <c r="O195" s="256" t="str" cm="1">
        <f t="array" ref="O195">IFERROR(INDEX(IM!$X$2:$X$650, MATCH(1, (IM!$F$2:$F$650=A195) * (ISNUMBER(SEARCH($D$1, IM!$AC$2:$AC$650))), 0)), "")</f>
        <v/>
      </c>
      <c r="P195" s="191" t="str">
        <f t="shared" si="30"/>
        <v>-4093-淡水新市一(定保)</v>
      </c>
      <c r="Q195" s="140"/>
      <c r="R195" s="140"/>
      <c r="S195" s="140"/>
      <c r="T195" s="140"/>
      <c r="U195" s="258">
        <f t="shared" si="31"/>
        <v>1</v>
      </c>
      <c r="V195" s="246" t="str">
        <f t="shared" si="32"/>
        <v>未到店</v>
      </c>
      <c r="X195" s="5" t="s">
        <v>4336</v>
      </c>
      <c r="Y195" s="5" t="str">
        <f t="shared" si="34"/>
        <v>STAR</v>
      </c>
    </row>
    <row r="196" spans="1:25" ht="15.75" customHeight="1">
      <c r="A196" s="179">
        <v>4788</v>
      </c>
      <c r="B196" s="180" t="str">
        <f>VLOOKUP(A196,'0919門市清單主檔'!B:C,2,FALSE)</f>
        <v>淡水國家店</v>
      </c>
      <c r="C196" s="181" t="str">
        <f>VLOOKUP($A196,'0919門市清單主檔'!B:V,20,FALSE)</f>
        <v>新北市</v>
      </c>
      <c r="D196" s="182" t="str">
        <f>VLOOKUP($A196,'0919門市清單主檔'!B:V,21,FALSE)</f>
        <v>淡水區</v>
      </c>
      <c r="E196" s="183" t="str">
        <f>VLOOKUP(D196,區域表!A:B,2,FALSE)</f>
        <v>吳宗鴻</v>
      </c>
      <c r="F196" s="184" t="str">
        <f>IFERROR(IF(VLOOKUP(A196,門市狀態!A:D,4,FALSE)=0,"",VLOOKUP(A196,門市狀態!A:D,4,FALSE)),"")</f>
        <v/>
      </c>
      <c r="G196" s="185" t="s">
        <v>1746</v>
      </c>
      <c r="H196" s="186" t="str">
        <f t="shared" si="29"/>
        <v>-4788-淡水國家店(定保)</v>
      </c>
      <c r="I196" s="190" t="s">
        <v>1746</v>
      </c>
      <c r="J196" s="188" t="str" cm="1">
        <f t="array" ref="J196">IFERROR(INDEX(IM!$X$2:$X$650, MATCH(1, (IM!$F$2:$F$650=A196) * (ISNUMBER(SEARCH($C$1, IM!$AC$2:$AC$650))), 0)), "")</f>
        <v/>
      </c>
      <c r="K196" s="159">
        <f>COUNTIFS(IM!F:F,A196,IM!AD:AD,"O",IM!X:X,"&gt;="&amp;$A$1,IM!X:X,"&lt;="&amp;$B$1)</f>
        <v>0</v>
      </c>
      <c r="L196" s="228" t="str" cm="1">
        <f t="array" ref="L196">IF(K196&gt;0,IFERROR(HYPERLINK("#'IM'!AC"&amp;MATCH(1,(IM!$F$1:$F$7700=A196)*(ISNUMBER(SEARCH("PMQ2",IM!$AC$1:$AC$7700))),0),"檢核"),"未登錄"),"")</f>
        <v/>
      </c>
      <c r="M196" s="230" t="str" cm="1">
        <f t="array" ref="M196">IF(AND(SUMPRODUCT((IM!F2:F820=A196)*(ISNUMBER(SEARCH("EDC", IM!AC2:AC820))))&gt;0), "EDC", "")</f>
        <v/>
      </c>
      <c r="N196" s="264" t="str" cm="1">
        <f t="array" ref="N196">IF(AND(SUMPRODUCT((IM!F2:F820=A196)*(ISNUMBER(SEARCH("STAR", IM!AC2:AC820))))&gt;0), "STAR", "")</f>
        <v/>
      </c>
      <c r="O196" s="256" t="str" cm="1">
        <f t="array" ref="O196">IFERROR(INDEX(IM!$X$2:$X$650, MATCH(1, (IM!$F$2:$F$650=A196) * (ISNUMBER(SEARCH($D$1, IM!$AC$2:$AC$650))), 0)), "")</f>
        <v/>
      </c>
      <c r="P196" s="191" t="str">
        <f t="shared" si="30"/>
        <v>-4788-淡水國家店(定保)</v>
      </c>
      <c r="Q196" s="140"/>
      <c r="R196" s="140"/>
      <c r="S196" s="140"/>
      <c r="T196" s="140"/>
      <c r="U196" s="258">
        <f t="shared" si="31"/>
        <v>2</v>
      </c>
      <c r="V196" s="246" t="str">
        <f t="shared" si="32"/>
        <v>未到店</v>
      </c>
      <c r="W196" s="3" t="s">
        <v>4342</v>
      </c>
      <c r="X196" s="5" t="s">
        <v>4343</v>
      </c>
      <c r="Y196" s="5" t="str">
        <f t="shared" si="34"/>
        <v>STAR</v>
      </c>
    </row>
    <row r="197" spans="1:25" ht="15.75" customHeight="1">
      <c r="A197" s="179">
        <v>4298</v>
      </c>
      <c r="B197" s="180" t="str">
        <f>VLOOKUP(A197,'0919門市清單主檔'!B:C,2,FALSE)</f>
        <v>淡水後洲店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 t="shared" si="29"/>
        <v>-4298-淡水後洲店(定保)</v>
      </c>
      <c r="I197" s="190" t="s">
        <v>1746</v>
      </c>
      <c r="J197" s="188" t="str" cm="1">
        <f t="array" ref="J197">IFERROR(INDEX(IM!$X$2:$X$650, MATCH(1, (IM!$F$2:$F$650=A197) * (ISNUMBER(SEARCH($C$1, IM!$AC$2:$AC$650))), 0)), "")</f>
        <v/>
      </c>
      <c r="K197" s="159">
        <f>COUNTIFS(IM!F:F,A197,IM!AD:AD,"O",IM!X:X,"&gt;="&amp;$A$1,IM!X:X,"&lt;="&amp;$B$1)</f>
        <v>0</v>
      </c>
      <c r="L197" s="228" t="str" cm="1">
        <f t="array" ref="L197">IF(K197&gt;0,IFERROR(HYPERLINK("#'IM'!AC"&amp;MATCH(1,(IM!$F$1:$F$7700=A197)*(ISNUMBER(SEARCH("PMQ2",IM!$AC$1:$AC$7700))),0),"檢核"),"未登錄"),"")</f>
        <v/>
      </c>
      <c r="M197" s="230" t="str" cm="1">
        <f t="array" ref="M197">IF(AND(SUMPRODUCT((IM!F2:F821=A197)*(ISNUMBER(SEARCH("EDC", IM!AC2:AC821))))&gt;0), "EDC", "")</f>
        <v/>
      </c>
      <c r="N197" s="264" t="str" cm="1">
        <f t="array" ref="N197">IF(AND(SUMPRODUCT((IM!F2:F821=A197)*(ISNUMBER(SEARCH("STAR", IM!AC2:AC821))))&gt;0), "STAR", "")</f>
        <v/>
      </c>
      <c r="O197" s="256" t="str" cm="1">
        <f t="array" ref="O197">IFERROR(INDEX(IM!$X$2:$X$650, MATCH(1, (IM!$F$2:$F$650=A197) * (ISNUMBER(SEARCH($D$1, IM!$AC$2:$AC$650))), 0)), "")</f>
        <v/>
      </c>
      <c r="P197" s="191" t="str">
        <f t="shared" si="30"/>
        <v>-4298-淡水後洲店(定保)</v>
      </c>
      <c r="Q197" s="140"/>
      <c r="R197" s="140"/>
      <c r="S197" s="140"/>
      <c r="T197" s="140"/>
      <c r="U197" s="258">
        <f t="shared" si="31"/>
        <v>2</v>
      </c>
      <c r="V197" s="246" t="str">
        <f t="shared" si="32"/>
        <v>未到店</v>
      </c>
      <c r="W197" s="3" t="s">
        <v>4344</v>
      </c>
      <c r="X197" s="5" t="s">
        <v>4345</v>
      </c>
      <c r="Y197" s="5" t="str">
        <f t="shared" si="34"/>
        <v>STAR</v>
      </c>
    </row>
    <row r="198" spans="1:25" ht="15.75" customHeight="1">
      <c r="A198" s="179">
        <v>4541</v>
      </c>
      <c r="B198" s="180" t="str">
        <f>VLOOKUP(A198,'0919門市清單主檔'!B:C,2,FALSE)</f>
        <v>淡水海天店</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 t="shared" si="29"/>
        <v>-4541-淡水海天店(定保)</v>
      </c>
      <c r="I198" s="190" t="s">
        <v>1746</v>
      </c>
      <c r="J198" s="188" t="str" cm="1">
        <f t="array" ref="J198">IFERROR(INDEX(IM!$X$2:$X$650, MATCH(1, (IM!$F$2:$F$650=A198) * (ISNUMBER(SEARCH($C$1, IM!$AC$2:$AC$650))), 0)), "")</f>
        <v/>
      </c>
      <c r="K198" s="159">
        <f>COUNTIFS(IM!F:F,A198,IM!AD:AD,"O",IM!X:X,"&gt;="&amp;$A$1,IM!X:X,"&lt;="&amp;$B$1)</f>
        <v>0</v>
      </c>
      <c r="L198" s="228" t="str" cm="1">
        <f t="array" ref="L198">IF(K198&gt;0,IFERROR(HYPERLINK("#'IM'!AC"&amp;MATCH(1,(IM!$F$1:$F$7700=A198)*(ISNUMBER(SEARCH("PMQ2",IM!$AC$1:$AC$7700))),0),"檢核"),"未登錄"),"")</f>
        <v/>
      </c>
      <c r="M198" s="230" t="str" cm="1">
        <f t="array" ref="M198">IF(AND(SUMPRODUCT((IM!F2:F822=A198)*(ISNUMBER(SEARCH("EDC", IM!AC2:AC822))))&gt;0), "EDC", "")</f>
        <v/>
      </c>
      <c r="N198" s="264" t="str" cm="1">
        <f t="array" ref="N198">IF(AND(SUMPRODUCT((IM!F2:F822=A198)*(ISNUMBER(SEARCH("STAR", IM!AC2:AC822))))&gt;0), "STAR", "")</f>
        <v/>
      </c>
      <c r="O198" s="256" t="str" cm="1">
        <f t="array" ref="O198">IFERROR(INDEX(IM!$X$2:$X$650, MATCH(1, (IM!$F$2:$F$650=A198) * (ISNUMBER(SEARCH($D$1, IM!$AC$2:$AC$650))), 0)), "")</f>
        <v/>
      </c>
      <c r="P198" s="191" t="str">
        <f t="shared" si="30"/>
        <v>-4541-淡水海天店(定保)</v>
      </c>
      <c r="Q198" s="140"/>
      <c r="R198" s="140"/>
      <c r="S198" s="140"/>
      <c r="T198" s="140"/>
      <c r="U198" s="258">
        <f t="shared" si="31"/>
        <v>0</v>
      </c>
      <c r="V198" s="246" t="str">
        <f t="shared" si="32"/>
        <v>未到店</v>
      </c>
      <c r="X198" s="5"/>
      <c r="Y198" s="5" t="str">
        <f t="shared" si="34"/>
        <v/>
      </c>
    </row>
    <row r="199" spans="1:25" ht="15.75" customHeight="1">
      <c r="A199" s="179">
        <v>4802</v>
      </c>
      <c r="B199" s="180" t="str">
        <f>VLOOKUP(A199,'0919門市清單主檔'!B:C,2,FALSE)</f>
        <v>淡水沙崙店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 t="shared" si="29"/>
        <v>-4802-淡水沙崙店(定保)</v>
      </c>
      <c r="I199" s="190" t="s">
        <v>1746</v>
      </c>
      <c r="J199" s="188" t="str" cm="1">
        <f t="array" ref="J199">IFERROR(INDEX(IM!$X$2:$X$650, MATCH(1, (IM!$F$2:$F$650=A199) * (ISNUMBER(SEARCH($C$1, IM!$AC$2:$AC$650))), 0)), "")</f>
        <v/>
      </c>
      <c r="K199" s="159">
        <f>COUNTIFS(IM!F:F,A199,IM!AD:AD,"O",IM!X:X,"&gt;="&amp;$A$1,IM!X:X,"&lt;="&amp;$B$1)</f>
        <v>0</v>
      </c>
      <c r="L199" s="228" t="str" cm="1">
        <f t="array" ref="L199">IF(K199&gt;0,IFERROR(HYPERLINK("#'IM'!AC"&amp;MATCH(1,(IM!$F$1:$F$7700=A199)*(ISNUMBER(SEARCH("PMQ2",IM!$AC$1:$AC$7700))),0),"檢核"),"未登錄"),"")</f>
        <v/>
      </c>
      <c r="M199" s="230" t="str" cm="1">
        <f t="array" ref="M199">IF(AND(SUMPRODUCT((IM!F2:F823=A199)*(ISNUMBER(SEARCH("EDC", IM!AC2:AC823))))&gt;0), "EDC", "")</f>
        <v/>
      </c>
      <c r="N199" s="264" t="str" cm="1">
        <f t="array" ref="N199">IF(AND(SUMPRODUCT((IM!F2:F823=A199)*(ISNUMBER(SEARCH("STAR", IM!AC2:AC823))))&gt;0), "STAR", "")</f>
        <v/>
      </c>
      <c r="O199" s="256" t="str" cm="1">
        <f t="array" ref="O199">IFERROR(INDEX(IM!$X$2:$X$650, MATCH(1, (IM!$F$2:$F$650=A199) * (ISNUMBER(SEARCH($D$1, IM!$AC$2:$AC$650))), 0)), "")</f>
        <v/>
      </c>
      <c r="P199" s="191" t="str">
        <f t="shared" si="30"/>
        <v>-4802-淡水沙崙店(定保)</v>
      </c>
      <c r="Q199" s="140"/>
      <c r="R199" s="140"/>
      <c r="S199" s="140"/>
      <c r="T199" s="140"/>
      <c r="U199" s="258">
        <f t="shared" si="31"/>
        <v>0</v>
      </c>
      <c r="V199" s="246" t="str">
        <f t="shared" si="32"/>
        <v>未到店</v>
      </c>
      <c r="X199" s="5"/>
      <c r="Y199" s="5" t="str">
        <f t="shared" si="34"/>
        <v/>
      </c>
    </row>
    <row r="200" spans="1:25" ht="15.75" customHeight="1">
      <c r="A200" s="179">
        <v>5060</v>
      </c>
      <c r="B200" s="180" t="str">
        <f>VLOOKUP(A200,'0919門市清單主檔'!B:C,2,FALSE)</f>
        <v>淡水魚市店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 t="shared" si="29"/>
        <v>20250423-5060-淡水魚市店(定保)</v>
      </c>
      <c r="I200" s="190">
        <v>45770.666666666664</v>
      </c>
      <c r="J200" s="188" cm="1">
        <f t="array" ref="J200">IFERROR(INDEX(IM!$X$2:$X$650, MATCH(1, (IM!$F$2:$F$650=A200) * (ISNUMBER(SEARCH($C$1, IM!$AC$2:$AC$650))), 0)), "")</f>
        <v>45770.666666666664</v>
      </c>
      <c r="K200" s="159">
        <f>COUNTIFS(IM!F:F,A200,IM!AD:AD,"O",IM!X:X,"&gt;="&amp;$A$1,IM!X:X,"&lt;="&amp;$B$1)</f>
        <v>1</v>
      </c>
      <c r="L200" s="228" t="str" cm="1">
        <f t="array" ref="L200">IF(K200&gt;0,IFERROR(HYPERLINK("#'IM'!AC"&amp;MATCH(1,(IM!$F$1:$F$7700=A200)*(ISNUMBER(SEARCH("PMQ2",IM!$AC$1:$AC$7700))),0),"檢核"),"未登錄"),"")</f>
        <v>檢核</v>
      </c>
      <c r="M200" s="230" t="str" cm="1">
        <f t="array" ref="M200">IF(AND(SUMPRODUCT((IM!F2:F825=A200)*(ISNUMBER(SEARCH("EDC", IM!AC2:AC825))))&gt;0), "EDC", "")</f>
        <v>EDC</v>
      </c>
      <c r="N200" s="264" t="str" cm="1">
        <f t="array" ref="N200">IF(AND(SUMPRODUCT((IM!F2:F825=A200)*(ISNUMBER(SEARCH("STAR", IM!AC2:AC825))))&gt;0), "STAR", "")</f>
        <v/>
      </c>
      <c r="O200" s="256" t="str" cm="1">
        <f t="array" ref="O200">IFERROR(INDEX(IM!$X$2:$X$650, MATCH(1, (IM!$F$2:$F$650=A200) * (ISNUMBER(SEARCH($D$1, IM!$AC$2:$AC$650))), 0)), "")</f>
        <v/>
      </c>
      <c r="P200" s="191" t="str">
        <f t="shared" si="30"/>
        <v>20250423-5060-淡水魚市店(定保)</v>
      </c>
      <c r="Q200" s="140"/>
      <c r="R200" s="140"/>
      <c r="S200" s="140"/>
      <c r="T200" s="140"/>
      <c r="U200" s="258">
        <f t="shared" si="31"/>
        <v>0</v>
      </c>
      <c r="V200" s="246" t="str">
        <f t="shared" si="32"/>
        <v>已完工</v>
      </c>
      <c r="X200" s="5"/>
      <c r="Y200" s="5" t="str">
        <f t="shared" si="34"/>
        <v/>
      </c>
    </row>
    <row r="201" spans="1:25" ht="15.75" customHeight="1">
      <c r="A201" s="179">
        <v>5057</v>
      </c>
      <c r="B201" s="180" t="str">
        <f>VLOOKUP(A201,'0919門市清單主檔'!B:C,2,FALSE)</f>
        <v>新莊中港店</v>
      </c>
      <c r="C201" s="181" t="str">
        <f>VLOOKUP($A201,'0919門市清單主檔'!B:V,20,FALSE)</f>
        <v>新北市</v>
      </c>
      <c r="D201" s="182" t="str">
        <f>VLOOKUP($A201,'0919門市清單主檔'!B:V,21,FALSE)</f>
        <v>新莊區</v>
      </c>
      <c r="E201" s="183" t="str">
        <f>VLOOKUP(D201,區域表!A:B,2,FALSE)</f>
        <v>湯家瑋</v>
      </c>
      <c r="F201" s="184" t="str">
        <f>IFERROR(IF(VLOOKUP(A201,門市狀態!A:D,4,FALSE)=0,"",VLOOKUP(A201,門市狀態!A:D,4,FALSE)),"")</f>
        <v/>
      </c>
      <c r="G201" s="185" t="s">
        <v>1746</v>
      </c>
      <c r="H201" s="186" t="str">
        <f t="shared" si="29"/>
        <v>-5057-新莊中港店(定保)</v>
      </c>
      <c r="I201" s="190" t="s">
        <v>1746</v>
      </c>
      <c r="J201" s="188" t="str" cm="1">
        <f t="array" ref="J201">IFERROR(INDEX(IM!$X$2:$X$650, MATCH(1, (IM!$F$2:$F$650=A201) * (ISNUMBER(SEARCH($C$1, IM!$AC$2:$AC$650))), 0)), "")</f>
        <v/>
      </c>
      <c r="K201" s="159">
        <f>COUNTIFS(IM!F:F,A201,IM!AD:AD,"O",IM!X:X,"&gt;="&amp;$A$1,IM!X:X,"&lt;="&amp;$B$1)</f>
        <v>0</v>
      </c>
      <c r="L201" s="228" t="str" cm="1">
        <f t="array" ref="L201">IF(K201&gt;0,IFERROR(HYPERLINK("#'IM'!AC"&amp;MATCH(1,(IM!$F$1:$F$7700=A201)*(ISNUMBER(SEARCH("PMQ2",IM!$AC$1:$AC$7700))),0),"檢核"),"未登錄"),"")</f>
        <v/>
      </c>
      <c r="M201" s="230" t="str" cm="1">
        <f t="array" ref="M201">IF(AND(SUMPRODUCT((IM!F2:F826=A201)*(ISNUMBER(SEARCH("EDC", IM!AC2:AC826))))&gt;0), "EDC", "")</f>
        <v/>
      </c>
      <c r="N201" s="264" t="str" cm="1">
        <f t="array" ref="N201">IF(AND(SUMPRODUCT((IM!F2:F826=A201)*(ISNUMBER(SEARCH("STAR", IM!AC2:AC826))))&gt;0), "STAR", "")</f>
        <v/>
      </c>
      <c r="O201" s="256" t="str" cm="1">
        <f t="array" ref="O201">IFERROR(INDEX(IM!$X$2:$X$650, MATCH(1, (IM!$F$2:$F$650=A201) * (ISNUMBER(SEARCH($D$1, IM!$AC$2:$AC$650))), 0)), "")</f>
        <v/>
      </c>
      <c r="P201" s="191" t="str">
        <f t="shared" si="30"/>
        <v>-5057-新莊中港店(定保)</v>
      </c>
      <c r="Q201" s="140"/>
      <c r="R201" s="140"/>
      <c r="S201" s="140"/>
      <c r="T201" s="140"/>
      <c r="U201" s="258">
        <f t="shared" si="31"/>
        <v>2</v>
      </c>
      <c r="V201" s="246" t="str">
        <f t="shared" si="32"/>
        <v>未到店</v>
      </c>
      <c r="W201" s="3" t="s">
        <v>4418</v>
      </c>
      <c r="X201" s="5" t="s">
        <v>4419</v>
      </c>
      <c r="Y201" s="5" t="str">
        <f t="shared" si="34"/>
        <v>STAR</v>
      </c>
    </row>
    <row r="202" spans="1:25" ht="15.75" customHeight="1">
      <c r="A202" s="179">
        <v>2224</v>
      </c>
      <c r="B202" s="180" t="str">
        <f>VLOOKUP(A202,'0919門市清單主檔'!B:C,2,FALSE)</f>
        <v>板橋莒光店</v>
      </c>
      <c r="C202" s="181" t="str">
        <f>VLOOKUP($A202,'0919門市清單主檔'!B:V,20,FALSE)</f>
        <v>新北市</v>
      </c>
      <c r="D202" s="182" t="str">
        <f>VLOOKUP($A202,'0919門市清單主檔'!B:V,21,FALSE)</f>
        <v>板橋區</v>
      </c>
      <c r="E202" s="183" t="str">
        <f>VLOOKUP(D202,區域表!A:B,2,FALSE)</f>
        <v>狄澤洋</v>
      </c>
      <c r="F202" s="184" t="str">
        <f>IFERROR(IF(VLOOKUP(A202,門市狀態!A:D,4,FALSE)=0,"",VLOOKUP(A202,門市狀態!A:D,4,FALSE)),"")</f>
        <v/>
      </c>
      <c r="G202" s="185" t="s">
        <v>1746</v>
      </c>
      <c r="H202" s="186" t="str">
        <f t="shared" si="29"/>
        <v>-2224-板橋莒光店(定保)</v>
      </c>
      <c r="I202" s="190" t="s">
        <v>1746</v>
      </c>
      <c r="J202" s="188" t="str" cm="1">
        <f t="array" ref="J202">IFERROR(INDEX(IM!$X$2:$X$650, MATCH(1, (IM!$F$2:$F$650=A202) * (ISNUMBER(SEARCH($C$1, IM!$AC$2:$AC$650))), 0)), "")</f>
        <v/>
      </c>
      <c r="K202" s="159">
        <f>COUNTIFS(IM!F:F,A202,IM!AD:AD,"O",IM!X:X,"&gt;="&amp;$A$1,IM!X:X,"&lt;="&amp;$B$1)</f>
        <v>0</v>
      </c>
      <c r="L202" s="228" t="str" cm="1">
        <f t="array" ref="L202">IF(K202&gt;0,IFERROR(HYPERLINK("#'IM'!AC"&amp;MATCH(1,(IM!$F$1:$F$7700=A202)*(ISNUMBER(SEARCH("PMQ2",IM!$AC$1:$AC$7700))),0),"檢核"),"未登錄"),"")</f>
        <v/>
      </c>
      <c r="M202" s="230" t="str" cm="1">
        <f t="array" ref="M202">IF(AND(SUMPRODUCT((IM!F2:F829=A202)*(ISNUMBER(SEARCH("EDC", IM!AC2:AC829))))&gt;0), "EDC", "")</f>
        <v/>
      </c>
      <c r="N202" s="264" t="str" cm="1">
        <f t="array" ref="N202">IF(AND(SUMPRODUCT((IM!F2:F829=A202)*(ISNUMBER(SEARCH("STAR", IM!AC2:AC829))))&gt;0), "STAR", "")</f>
        <v/>
      </c>
      <c r="O202" s="256" t="str" cm="1">
        <f t="array" ref="O202">IFERROR(INDEX(IM!$X$2:$X$650, MATCH(1, (IM!$F$2:$F$650=A202) * (ISNUMBER(SEARCH($D$1, IM!$AC$2:$AC$650))), 0)), "")</f>
        <v/>
      </c>
      <c r="P202" s="191" t="str">
        <f t="shared" si="30"/>
        <v>-2224-板橋莒光店(定保)</v>
      </c>
      <c r="Q202" s="140"/>
      <c r="R202" s="140"/>
      <c r="S202" s="140"/>
      <c r="T202" s="140"/>
      <c r="U202" s="258">
        <f t="shared" si="31"/>
        <v>2</v>
      </c>
      <c r="V202" s="246" t="str">
        <f t="shared" si="32"/>
        <v>未到店</v>
      </c>
      <c r="W202" s="3" t="s">
        <v>4378</v>
      </c>
      <c r="X202" s="5" t="s">
        <v>4379</v>
      </c>
      <c r="Y202" s="5" t="str">
        <f t="shared" si="34"/>
        <v>STAR</v>
      </c>
    </row>
    <row r="203" spans="1:25" ht="15.75" customHeight="1">
      <c r="A203" s="179" t="s">
        <v>31</v>
      </c>
      <c r="B203" s="180" t="str">
        <f>VLOOKUP(A203,'0919門市清單主檔'!B:C,2,FALSE)</f>
        <v>北縣僑中三店</v>
      </c>
      <c r="C203" s="181" t="str">
        <f>VLOOKUP($A203,'0919門市清單主檔'!B:V,20,FALSE)</f>
        <v>新北市</v>
      </c>
      <c r="D203" s="182" t="str">
        <f>VLOOKUP($A203,'0919門市清單主檔'!B:V,21,FALSE)</f>
        <v>板橋區</v>
      </c>
      <c r="E203" s="183" t="str">
        <f>VLOOKUP(D203,區域表!A:B,2,FALSE)</f>
        <v>狄澤洋</v>
      </c>
      <c r="F203" s="184" t="str">
        <f>IFERROR(IF(VLOOKUP(A203,門市狀態!A:D,4,FALSE)=0,"",VLOOKUP(A203,門市狀態!A:D,4,FALSE)),"")</f>
        <v/>
      </c>
      <c r="G203" s="185" t="s">
        <v>1746</v>
      </c>
      <c r="H203" s="186" t="str">
        <f t="shared" si="29"/>
        <v>-D161-北縣僑中三店(定保)</v>
      </c>
      <c r="I203" s="190" t="s">
        <v>1746</v>
      </c>
      <c r="J203" s="188" t="str" cm="1">
        <f t="array" ref="J203">IFERROR(INDEX(IM!$X$2:$X$650, MATCH(1, (IM!$F$2:$F$650=A203) * (ISNUMBER(SEARCH($C$1, IM!$AC$2:$AC$650))), 0)), "")</f>
        <v/>
      </c>
      <c r="K203" s="159">
        <f>COUNTIFS(IM!F:F,A203,IM!AD:AD,"O",IM!X:X,"&gt;="&amp;$A$1,IM!X:X,"&lt;="&amp;$B$1)</f>
        <v>0</v>
      </c>
      <c r="L203" s="228" t="str" cm="1">
        <f t="array" ref="L203">IF(K203&gt;0,IFERROR(HYPERLINK("#'IM'!AC"&amp;MATCH(1,(IM!$F$1:$F$7700=A203)*(ISNUMBER(SEARCH("PMQ2",IM!$AC$1:$AC$7700))),0),"檢核"),"未登錄"),"")</f>
        <v/>
      </c>
      <c r="M203" s="230" t="str" cm="1">
        <f t="array" ref="M203">IF(AND(SUMPRODUCT((IM!F2:F831=A203)*(ISNUMBER(SEARCH("EDC", IM!AC2:AC831))))&gt;0), "EDC", "")</f>
        <v/>
      </c>
      <c r="N203" s="264" t="str" cm="1">
        <f t="array" ref="N203">IF(AND(SUMPRODUCT((IM!F2:F831=A203)*(ISNUMBER(SEARCH("STAR", IM!AC2:AC831))))&gt;0), "STAR", "")</f>
        <v/>
      </c>
      <c r="O203" s="256" t="str" cm="1">
        <f t="array" ref="O203">IFERROR(INDEX(IM!$X$2:$X$650, MATCH(1, (IM!$F$2:$F$650=A203) * (ISNUMBER(SEARCH($D$1, IM!$AC$2:$AC$650))), 0)), "")</f>
        <v/>
      </c>
      <c r="P203" s="191" t="str">
        <f t="shared" si="30"/>
        <v>-D161-北縣僑中三店(定保)</v>
      </c>
      <c r="Q203" s="140"/>
      <c r="R203" s="140"/>
      <c r="S203" s="140"/>
      <c r="T203" s="140"/>
      <c r="U203" s="258">
        <f t="shared" si="31"/>
        <v>2</v>
      </c>
      <c r="V203" s="246" t="str">
        <f t="shared" si="32"/>
        <v>未到店</v>
      </c>
      <c r="W203" s="3" t="s">
        <v>4366</v>
      </c>
      <c r="X203" s="5" t="s">
        <v>4367</v>
      </c>
      <c r="Y203" s="5" t="str">
        <f t="shared" si="34"/>
        <v>STAR</v>
      </c>
    </row>
    <row r="204" spans="1:25" ht="15.75" customHeight="1">
      <c r="A204" s="179">
        <v>4145</v>
      </c>
      <c r="B204" s="180" t="str">
        <f>VLOOKUP(A204,'0919門市清單主檔'!B:C,2,FALSE)</f>
        <v>板橋僑興店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 t="shared" si="29"/>
        <v>-4145-板橋僑興店(定保)</v>
      </c>
      <c r="I204" s="190" t="s">
        <v>1746</v>
      </c>
      <c r="J204" s="188" t="str" cm="1">
        <f t="array" ref="J204">IFERROR(INDEX(IM!$X$2:$X$650, MATCH(1, (IM!$F$2:$F$650=A204) * (ISNUMBER(SEARCH($C$1, IM!$AC$2:$AC$650))), 0)), "")</f>
        <v/>
      </c>
      <c r="K204" s="159">
        <f>COUNTIFS(IM!F:F,A204,IM!AD:AD,"O",IM!X:X,"&gt;="&amp;$A$1,IM!X:X,"&lt;="&amp;$B$1)</f>
        <v>0</v>
      </c>
      <c r="L204" s="228" t="str" cm="1">
        <f t="array" ref="L204">IF(K204&gt;0,IFERROR(HYPERLINK("#'IM'!AC"&amp;MATCH(1,(IM!$F$1:$F$7700=A204)*(ISNUMBER(SEARCH("PMQ2",IM!$AC$1:$AC$7700))),0),"檢核"),"未登錄"),"")</f>
        <v/>
      </c>
      <c r="M204" s="230" t="str" cm="1">
        <f t="array" ref="M204">IF(AND(SUMPRODUCT((IM!F2:F832=A204)*(ISNUMBER(SEARCH("EDC", IM!AC2:AC832))))&gt;0), "EDC", "")</f>
        <v/>
      </c>
      <c r="N204" s="264" t="str" cm="1">
        <f t="array" ref="N204">IF(AND(SUMPRODUCT((IM!F2:F832=A204)*(ISNUMBER(SEARCH("STAR", IM!AC2:AC832))))&gt;0), "STAR", "")</f>
        <v/>
      </c>
      <c r="O204" s="256" t="str" cm="1">
        <f t="array" ref="O204">IFERROR(INDEX(IM!$X$2:$X$650, MATCH(1, (IM!$F$2:$F$650=A204) * (ISNUMBER(SEARCH($D$1, IM!$AC$2:$AC$650))), 0)), "")</f>
        <v/>
      </c>
      <c r="P204" s="191" t="str">
        <f t="shared" si="30"/>
        <v>-4145-板橋僑興店(定保)</v>
      </c>
      <c r="Q204" s="140"/>
      <c r="R204" s="140"/>
      <c r="S204" s="140"/>
      <c r="T204" s="140"/>
      <c r="U204" s="258">
        <f t="shared" si="31"/>
        <v>2</v>
      </c>
      <c r="V204" s="246" t="str">
        <f t="shared" si="32"/>
        <v>未到店</v>
      </c>
      <c r="W204" s="3" t="s">
        <v>4384</v>
      </c>
      <c r="X204" s="5" t="s">
        <v>4385</v>
      </c>
      <c r="Y204" s="5" t="str">
        <f t="shared" si="34"/>
        <v>STAR</v>
      </c>
    </row>
    <row r="205" spans="1:25" ht="15.75" customHeight="1">
      <c r="A205" s="179">
        <v>2403</v>
      </c>
      <c r="B205" s="180" t="str">
        <f>VLOOKUP(A205,'0919門市清單主檔'!B:C,2,FALSE)</f>
        <v>北縣板龍店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 t="shared" si="29"/>
        <v>-2403-北縣板龍店(定保)</v>
      </c>
      <c r="I205" s="190" t="s">
        <v>1746</v>
      </c>
      <c r="J205" s="188" t="str" cm="1">
        <f t="array" ref="J205">IFERROR(INDEX(IM!$X$2:$X$650, MATCH(1, (IM!$F$2:$F$650=A205) * (ISNUMBER(SEARCH($C$1, IM!$AC$2:$AC$650))), 0)), "")</f>
        <v/>
      </c>
      <c r="K205" s="159">
        <f>COUNTIFS(IM!F:F,A205,IM!AD:AD,"O",IM!X:X,"&gt;="&amp;$A$1,IM!X:X,"&lt;="&amp;$B$1)</f>
        <v>0</v>
      </c>
      <c r="L205" s="228" t="str" cm="1">
        <f t="array" ref="L205">IF(K205&gt;0,IFERROR(HYPERLINK("#'IM'!AC"&amp;MATCH(1,(IM!$F$1:$F$7700=A205)*(ISNUMBER(SEARCH("PMQ2",IM!$AC$1:$AC$7700))),0),"檢核"),"未登錄"),"")</f>
        <v/>
      </c>
      <c r="M205" s="230" t="str" cm="1">
        <f t="array" ref="M205">IF(AND(SUMPRODUCT((IM!F2:F834=A205)*(ISNUMBER(SEARCH("EDC", IM!AC2:AC834))))&gt;0), "EDC", "")</f>
        <v/>
      </c>
      <c r="N205" s="264" t="str" cm="1">
        <f t="array" ref="N205">IF(AND(SUMPRODUCT((IM!F2:F834=A205)*(ISNUMBER(SEARCH("STAR", IM!AC2:AC834))))&gt;0), "STAR", "")</f>
        <v/>
      </c>
      <c r="O205" s="256" t="str" cm="1">
        <f t="array" ref="O205">IFERROR(INDEX(IM!$X$2:$X$650, MATCH(1, (IM!$F$2:$F$650=A205) * (ISNUMBER(SEARCH($D$1, IM!$AC$2:$AC$650))), 0)), "")</f>
        <v/>
      </c>
      <c r="P205" s="191" t="str">
        <f t="shared" si="30"/>
        <v>-2403-北縣板龍店(定保)</v>
      </c>
      <c r="Q205" s="140"/>
      <c r="R205" s="140"/>
      <c r="S205" s="140"/>
      <c r="T205" s="140"/>
      <c r="U205" s="258">
        <f t="shared" si="31"/>
        <v>2</v>
      </c>
      <c r="V205" s="246" t="str">
        <f t="shared" si="32"/>
        <v>未到店</v>
      </c>
      <c r="W205" s="3" t="s">
        <v>4368</v>
      </c>
      <c r="X205" s="5" t="s">
        <v>4369</v>
      </c>
      <c r="Y205" s="5" t="str">
        <f t="shared" si="34"/>
        <v>STAR</v>
      </c>
    </row>
    <row r="206" spans="1:25" ht="15.75" customHeight="1">
      <c r="A206" s="179">
        <v>4341</v>
      </c>
      <c r="B206" s="180" t="str">
        <f>VLOOKUP(A206,'0919門市清單主檔'!B:C,2,FALSE)</f>
        <v>新莊莊美店</v>
      </c>
      <c r="C206" s="181" t="str">
        <f>VLOOKUP($A206,'0919門市清單主檔'!B:V,20,FALSE)</f>
        <v>新北市</v>
      </c>
      <c r="D206" s="182" t="str">
        <f>VLOOKUP($A206,'0919門市清單主檔'!B:V,21,FALSE)</f>
        <v>新莊區</v>
      </c>
      <c r="E206" s="183" t="str">
        <f>VLOOKUP(D206,區域表!A:B,2,FALSE)</f>
        <v>湯家瑋</v>
      </c>
      <c r="F206" s="184" t="str">
        <f>IFERROR(IF(VLOOKUP(A206,門市狀態!A:D,4,FALSE)=0,"",VLOOKUP(A206,門市狀態!A:D,4,FALSE)),"")</f>
        <v/>
      </c>
      <c r="G206" s="185" t="s">
        <v>1746</v>
      </c>
      <c r="H206" s="186" t="str">
        <f t="shared" si="29"/>
        <v>-4341-新莊莊美店(定保)</v>
      </c>
      <c r="I206" s="190" t="s">
        <v>1746</v>
      </c>
      <c r="J206" s="188" t="str" cm="1">
        <f t="array" ref="J206">IFERROR(INDEX(IM!$X$2:$X$650, MATCH(1, (IM!$F$2:$F$650=A206) * (ISNUMBER(SEARCH($C$1, IM!$AC$2:$AC$650))), 0)), "")</f>
        <v/>
      </c>
      <c r="K206" s="159">
        <f>COUNTIFS(IM!F:F,A206,IM!AD:AD,"O",IM!X:X,"&gt;="&amp;$A$1,IM!X:X,"&lt;="&amp;$B$1)</f>
        <v>0</v>
      </c>
      <c r="L206" s="228" t="str" cm="1">
        <f t="array" ref="L206">IF(K206&gt;0,IFERROR(HYPERLINK("#'IM'!AC"&amp;MATCH(1,(IM!$F$1:$F$7700=A206)*(ISNUMBER(SEARCH("PMQ2",IM!$AC$1:$AC$7700))),0),"檢核"),"未登錄"),"")</f>
        <v/>
      </c>
      <c r="M206" s="230" t="str" cm="1">
        <f t="array" ref="M206">IF(AND(SUMPRODUCT((IM!F2:F835=A206)*(ISNUMBER(SEARCH("EDC", IM!AC2:AC835))))&gt;0), "EDC", "")</f>
        <v/>
      </c>
      <c r="N206" s="264" t="str" cm="1">
        <f t="array" ref="N206">IF(AND(SUMPRODUCT((IM!F2:F835=A206)*(ISNUMBER(SEARCH("STAR", IM!AC2:AC835))))&gt;0), "STAR", "")</f>
        <v/>
      </c>
      <c r="O206" s="256" t="str" cm="1">
        <f t="array" ref="O206">IFERROR(INDEX(IM!$X$2:$X$650, MATCH(1, (IM!$F$2:$F$650=A206) * (ISNUMBER(SEARCH($D$1, IM!$AC$2:$AC$650))), 0)), "")</f>
        <v/>
      </c>
      <c r="P206" s="191" t="str">
        <f t="shared" si="30"/>
        <v>-4341-新莊莊美店(定保)</v>
      </c>
      <c r="Q206" s="140"/>
      <c r="R206" s="140"/>
      <c r="S206" s="140"/>
      <c r="T206" s="140"/>
      <c r="U206" s="258">
        <f t="shared" si="31"/>
        <v>2</v>
      </c>
      <c r="V206" s="246" t="str">
        <f t="shared" si="32"/>
        <v>未到店</v>
      </c>
      <c r="W206" s="3" t="s">
        <v>4411</v>
      </c>
      <c r="X206" s="5" t="s">
        <v>4412</v>
      </c>
      <c r="Y206" s="5" t="str">
        <f t="shared" si="34"/>
        <v>STAR</v>
      </c>
    </row>
    <row r="207" spans="1:25" ht="15.75" customHeight="1">
      <c r="A207" s="179" t="s">
        <v>33</v>
      </c>
      <c r="B207" s="180" t="str">
        <f>VLOOKUP(A207,'0919門市清單主檔'!B:C,2,FALSE)</f>
        <v>板橋大興店</v>
      </c>
      <c r="C207" s="181" t="str">
        <f>VLOOKUP($A207,'0919門市清單主檔'!B:V,20,FALSE)</f>
        <v>新北市</v>
      </c>
      <c r="D207" s="182" t="str">
        <f>VLOOKUP($A207,'0919門市清單主檔'!B:V,21,FALSE)</f>
        <v>板橋區</v>
      </c>
      <c r="E207" s="183" t="str">
        <f>VLOOKUP(D207,區域表!A:B,2,FALSE)</f>
        <v>狄澤洋</v>
      </c>
      <c r="F207" s="184" t="str">
        <f>IFERROR(IF(VLOOKUP(A207,門市狀態!A:D,4,FALSE)=0,"",VLOOKUP(A207,門市狀態!A:D,4,FALSE)),"")</f>
        <v/>
      </c>
      <c r="G207" s="185" t="s">
        <v>1746</v>
      </c>
      <c r="H207" s="186" t="str">
        <f t="shared" ref="H207:H226" si="35">IF(I207&gt;0,(TEXT(I207,"yyyymmdd")&amp;$T$3&amp;A207&amp;$T$3&amp;B207&amp;$R$3),"")</f>
        <v>-D609-板橋大興店(定保)</v>
      </c>
      <c r="I207" s="190" t="s">
        <v>1746</v>
      </c>
      <c r="J207" s="188" t="str" cm="1">
        <f t="array" ref="J207">IFERROR(INDEX(IM!$X$2:$X$650, MATCH(1, (IM!$F$2:$F$650=A207) * (ISNUMBER(SEARCH($C$1, IM!$AC$2:$AC$650))), 0)), "")</f>
        <v/>
      </c>
      <c r="K207" s="159">
        <f>COUNTIFS(IM!F:F,A207,IM!AD:AD,"O",IM!X:X,"&gt;="&amp;$A$1,IM!X:X,"&lt;="&amp;$B$1)</f>
        <v>0</v>
      </c>
      <c r="L207" s="228" t="str" cm="1">
        <f t="array" ref="L207">IF(K207&gt;0,IFERROR(HYPERLINK("#'IM'!AC"&amp;MATCH(1,(IM!$F$1:$F$7700=A207)*(ISNUMBER(SEARCH("PMQ2",IM!$AC$1:$AC$7700))),0),"檢核"),"未登錄"),"")</f>
        <v/>
      </c>
      <c r="M207" s="230" t="str" cm="1">
        <f t="array" ref="M207">IF(AND(SUMPRODUCT((IM!F2:F836=A207)*(ISNUMBER(SEARCH("EDC", IM!AC2:AC836))))&gt;0), "EDC", "")</f>
        <v/>
      </c>
      <c r="N207" s="264" t="str" cm="1">
        <f t="array" ref="N207">IF(AND(SUMPRODUCT((IM!F2:F836=A207)*(ISNUMBER(SEARCH("STAR", IM!AC2:AC836))))&gt;0), "STAR", "")</f>
        <v/>
      </c>
      <c r="O207" s="256" t="str" cm="1">
        <f t="array" ref="O207">IFERROR(INDEX(IM!$X$2:$X$650, MATCH(1, (IM!$F$2:$F$650=A207) * (ISNUMBER(SEARCH($D$1, IM!$AC$2:$AC$650))), 0)), "")</f>
        <v/>
      </c>
      <c r="P207" s="191" t="str">
        <f t="shared" ref="P207:P226" si="36">(TEXT(I207,"yyyymmdd"))&amp;$T$3&amp;A207&amp;$T$3&amp;B207&amp;$R$3</f>
        <v>-D609-板橋大興店(定保)</v>
      </c>
      <c r="Q207" s="140"/>
      <c r="R207" s="140"/>
      <c r="S207" s="140"/>
      <c r="T207" s="140"/>
      <c r="U207" s="258">
        <f t="shared" ref="U207:U226" si="37">IF(AND(W207&lt;&gt;"", X207&lt;&gt;""), 2, IF(OR(W207&lt;&gt;"", X207&lt;&gt;""), 1, 0))</f>
        <v>2</v>
      </c>
      <c r="V207" s="246" t="str">
        <f t="shared" ref="V207:V226" si="38">IF(I207="", "未到店",
   IF(M207&lt;&gt;"EDC", "異常",
      IF(OR(AND(Y207="STAR", N207="STAR"), AND(Y207&lt;&gt;"STAR", N207="")), "已完工", "異常")
   )
)</f>
        <v>未到店</v>
      </c>
      <c r="W207" s="3" t="s">
        <v>4386</v>
      </c>
      <c r="X207" s="5" t="s">
        <v>4387</v>
      </c>
      <c r="Y207" s="5" t="str">
        <f t="shared" si="34"/>
        <v>STAR</v>
      </c>
    </row>
    <row r="208" spans="1:25" ht="15.75" customHeight="1">
      <c r="A208" s="179">
        <v>3358</v>
      </c>
      <c r="B208" s="180" t="str">
        <f>VLOOKUP(A208,'0919門市清單主檔'!B:C,2,FALSE)</f>
        <v>新莊棒球場</v>
      </c>
      <c r="C208" s="181" t="str">
        <f>VLOOKUP($A208,'0919門市清單主檔'!B:V,20,FALSE)</f>
        <v>新北市</v>
      </c>
      <c r="D208" s="182" t="str">
        <f>VLOOKUP($A208,'0919門市清單主檔'!B:V,21,FALSE)</f>
        <v>新莊區</v>
      </c>
      <c r="E208" s="183" t="str">
        <f>VLOOKUP(D208,區域表!A:B,2,FALSE)</f>
        <v>湯家瑋</v>
      </c>
      <c r="F208" s="184" t="str">
        <f>IFERROR(IF(VLOOKUP(A208,門市狀態!A:D,4,FALSE)=0,"",VLOOKUP(A208,門市狀態!A:D,4,FALSE)),"")</f>
        <v/>
      </c>
      <c r="G208" s="185" t="s">
        <v>1746</v>
      </c>
      <c r="H208" s="186" t="str">
        <f t="shared" si="35"/>
        <v>20250429-3358-新莊棒球場(定保)</v>
      </c>
      <c r="I208" s="190">
        <v>45776.4375</v>
      </c>
      <c r="J208" s="188" cm="1">
        <f t="array" ref="J208">IFERROR(INDEX(IM!$X$2:$X$650, MATCH(1, (IM!$F$2:$F$650=A208) * (ISNUMBER(SEARCH($C$1, IM!$AC$2:$AC$650))), 0)), "")</f>
        <v>45776.4375</v>
      </c>
      <c r="K208" s="159">
        <f>COUNTIFS(IM!F:F,A208,IM!AD:AD,"O",IM!X:X,"&gt;="&amp;$A$1,IM!X:X,"&lt;="&amp;$B$1)</f>
        <v>1</v>
      </c>
      <c r="L208" s="228" t="str" cm="1">
        <f t="array" ref="L208">IF(K208&gt;0,IFERROR(HYPERLINK("#'IM'!AC"&amp;MATCH(1,(IM!$F$1:$F$7700=A208)*(ISNUMBER(SEARCH("PMQ2",IM!$AC$1:$AC$7700))),0),"檢核"),"未登錄"),"")</f>
        <v>檢核</v>
      </c>
      <c r="M208" s="230" t="str" cm="1">
        <f t="array" ref="M208">IF(AND(SUMPRODUCT((IM!F2:F837=A208)*(ISNUMBER(SEARCH("EDC", IM!AC2:AC837))))&gt;0), "EDC", "")</f>
        <v>EDC</v>
      </c>
      <c r="N208" s="264" t="str" cm="1">
        <f t="array" ref="N208">IF(AND(SUMPRODUCT((IM!F2:F837=A208)*(ISNUMBER(SEARCH("STAR", IM!AC2:AC837))))&gt;0), "STAR", "")</f>
        <v/>
      </c>
      <c r="O208" s="256" t="str" cm="1">
        <f t="array" ref="O208">IFERROR(INDEX(IM!$X$2:$X$650, MATCH(1, (IM!$F$2:$F$650=A208) * (ISNUMBER(SEARCH($D$1, IM!$AC$2:$AC$650))), 0)), "")</f>
        <v/>
      </c>
      <c r="P208" s="191" t="str">
        <f t="shared" si="36"/>
        <v>20250429-3358-新莊棒球場(定保)</v>
      </c>
      <c r="Q208" s="140"/>
      <c r="R208" s="140"/>
      <c r="S208" s="140"/>
      <c r="T208" s="140"/>
      <c r="U208" s="258">
        <f t="shared" si="37"/>
        <v>0</v>
      </c>
      <c r="V208" s="246" t="str">
        <f t="shared" si="38"/>
        <v>已完工</v>
      </c>
      <c r="X208" s="5"/>
      <c r="Y208" s="5" t="str">
        <f t="shared" si="34"/>
        <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 t="shared" si="35"/>
        <v>-4552-新莊福慧店(定保)</v>
      </c>
      <c r="I209" s="190" t="s">
        <v>1746</v>
      </c>
      <c r="J209" s="188" t="str" cm="1">
        <f t="array" ref="J209">IFERROR(INDEX(IM!$X$2:$X$650, MATCH(1, (IM!$F$2:$F$650=A209) * (ISNUMBER(SEARCH($C$1, IM!$AC$2:$AC$650))), 0)), "")</f>
        <v/>
      </c>
      <c r="K209" s="159">
        <f>COUNTIFS(IM!F:F,A209,IM!AD:AD,"O",IM!X:X,"&gt;="&amp;$A$1,IM!X:X,"&lt;="&amp;$B$1)</f>
        <v>0</v>
      </c>
      <c r="L209" s="228" t="str" cm="1">
        <f t="array" ref="L209">IF(K209&gt;0,IFERROR(HYPERLINK("#'IM'!AC"&amp;MATCH(1,(IM!$F$1:$F$7700=A209)*(ISNUMBER(SEARCH("PMQ2",IM!$AC$1:$AC$7700))),0),"檢核"),"未登錄"),"")</f>
        <v/>
      </c>
      <c r="M209" s="230" t="str" cm="1">
        <f t="array" ref="M209">IF(AND(SUMPRODUCT((IM!F2:F838=A209)*(ISNUMBER(SEARCH("EDC", IM!AC2:AC838))))&gt;0), "EDC", "")</f>
        <v/>
      </c>
      <c r="N209" s="264" t="str" cm="1">
        <f t="array" ref="N209">IF(AND(SUMPRODUCT((IM!F2:F838=A209)*(ISNUMBER(SEARCH("STAR", IM!AC2:AC838))))&gt;0), "STAR", "")</f>
        <v/>
      </c>
      <c r="O209" s="256" t="str" cm="1">
        <f t="array" ref="O209">IFERROR(INDEX(IM!$X$2:$X$650, MATCH(1, (IM!$F$2:$F$650=A209) * (ISNUMBER(SEARCH($D$1, IM!$AC$2:$AC$650))), 0)), "")</f>
        <v/>
      </c>
      <c r="P209" s="191" t="str">
        <f t="shared" si="36"/>
        <v>-4552-新莊福慧店(定保)</v>
      </c>
      <c r="Q209" s="140"/>
      <c r="R209" s="140"/>
      <c r="S209" s="140"/>
      <c r="T209" s="140"/>
      <c r="U209" s="258">
        <f t="shared" si="37"/>
        <v>1</v>
      </c>
      <c r="V209" s="246" t="str">
        <f t="shared" si="38"/>
        <v>未到店</v>
      </c>
      <c r="W209" s="3" t="s">
        <v>4410</v>
      </c>
      <c r="X209" s="5"/>
      <c r="Y209" s="5" t="str">
        <f t="shared" si="34"/>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 t="shared" si="35"/>
        <v>-3955-板橋海龍店(定保)</v>
      </c>
      <c r="I210" s="190" t="s">
        <v>1746</v>
      </c>
      <c r="J210" s="188" t="str" cm="1">
        <f t="array" ref="J210">IFERROR(INDEX(IM!$X$2:$X$650, MATCH(1, (IM!$F$2:$F$650=A210) * (ISNUMBER(SEARCH($C$1, IM!$AC$2:$AC$650))), 0)), "")</f>
        <v/>
      </c>
      <c r="K210" s="159">
        <f>COUNTIFS(IM!F:F,A210,IM!AD:AD,"O",IM!X:X,"&gt;="&amp;$A$1,IM!X:X,"&lt;="&amp;$B$1)</f>
        <v>0</v>
      </c>
      <c r="L210" s="228" t="str" cm="1">
        <f t="array" ref="L210">IF(K210&gt;0,IFERROR(HYPERLINK("#'IM'!AC"&amp;MATCH(1,(IM!$F$1:$F$7700=A210)*(ISNUMBER(SEARCH("PMQ2",IM!$AC$1:$AC$7700))),0),"檢核"),"未登錄"),"")</f>
        <v/>
      </c>
      <c r="M210" s="230" t="str" cm="1">
        <f t="array" ref="M210">IF(AND(SUMPRODUCT((IM!F2:F839=A210)*(ISNUMBER(SEARCH("EDC", IM!AC2:AC839))))&gt;0), "EDC", "")</f>
        <v/>
      </c>
      <c r="N210" s="264" t="str" cm="1">
        <f t="array" ref="N210">IF(AND(SUMPRODUCT((IM!F2:F839=A210)*(ISNUMBER(SEARCH("STAR", IM!AC2:AC839))))&gt;0), "STAR", "")</f>
        <v/>
      </c>
      <c r="O210" s="256" t="str" cm="1">
        <f t="array" ref="O210">IFERROR(INDEX(IM!$X$2:$X$650, MATCH(1, (IM!$F$2:$F$650=A210) * (ISNUMBER(SEARCH($D$1, IM!$AC$2:$AC$650))), 0)), "")</f>
        <v/>
      </c>
      <c r="P210" s="191" t="str">
        <f t="shared" si="36"/>
        <v>-3955-板橋海龍店(定保)</v>
      </c>
      <c r="Q210" s="140"/>
      <c r="R210" s="140"/>
      <c r="S210" s="140"/>
      <c r="T210" s="140"/>
      <c r="U210" s="258">
        <f t="shared" si="37"/>
        <v>2</v>
      </c>
      <c r="V210" s="246" t="str">
        <f t="shared" si="38"/>
        <v>未到店</v>
      </c>
      <c r="W210" s="3" t="s">
        <v>4363</v>
      </c>
      <c r="X210" s="5" t="s">
        <v>4364</v>
      </c>
      <c r="Y210" s="5" t="str">
        <f t="shared" si="34"/>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 t="shared" si="35"/>
        <v>-L516-車麗屋新莊店(定保)</v>
      </c>
      <c r="I211" s="190" t="s">
        <v>1746</v>
      </c>
      <c r="J211" s="188" t="str" cm="1">
        <f t="array" ref="J211">IFERROR(INDEX(IM!$X$2:$X$650, MATCH(1, (IM!$F$2:$F$650=A211) * (ISNUMBER(SEARCH($C$1, IM!$AC$2:$AC$650))), 0)), "")</f>
        <v/>
      </c>
      <c r="K211" s="159">
        <f>COUNTIFS(IM!F:F,A211,IM!AD:AD,"O",IM!X:X,"&gt;="&amp;$A$1,IM!X:X,"&lt;="&amp;$B$1)</f>
        <v>0</v>
      </c>
      <c r="L211" s="228" t="str" cm="1">
        <f t="array" ref="L211">IF(K211&gt;0,IFERROR(HYPERLINK("#'IM'!AC"&amp;MATCH(1,(IM!$F$1:$F$7700=A211)*(ISNUMBER(SEARCH("PMQ2",IM!$AC$1:$AC$7700))),0),"檢核"),"未登錄"),"")</f>
        <v/>
      </c>
      <c r="M211" s="230" t="str" cm="1">
        <f t="array" ref="M211">IF(AND(SUMPRODUCT((IM!F2:F840=A211)*(ISNUMBER(SEARCH("EDC", IM!AC2:AC840))))&gt;0), "EDC", "")</f>
        <v/>
      </c>
      <c r="N211" s="264" t="str" cm="1">
        <f t="array" ref="N211">IF(AND(SUMPRODUCT((IM!F2:F840=A211)*(ISNUMBER(SEARCH("STAR", IM!AC2:AC840))))&gt;0), "STAR", "")</f>
        <v/>
      </c>
      <c r="O211" s="256" t="str" cm="1">
        <f t="array" ref="O211">IFERROR(INDEX(IM!$X$2:$X$650, MATCH(1, (IM!$F$2:$F$650=A211) * (ISNUMBER(SEARCH($D$1, IM!$AC$2:$AC$650))), 0)), "")</f>
        <v/>
      </c>
      <c r="P211" s="191" t="str">
        <f t="shared" si="36"/>
        <v>-L516-車麗屋新莊店(定保)</v>
      </c>
      <c r="Q211" s="251"/>
      <c r="R211" s="251"/>
      <c r="S211" s="251"/>
      <c r="T211" s="251"/>
      <c r="U211" s="258">
        <f t="shared" si="37"/>
        <v>0</v>
      </c>
      <c r="V211" s="246" t="str">
        <f t="shared" si="38"/>
        <v>未到店</v>
      </c>
      <c r="X211" s="5"/>
      <c r="Y211" s="5" t="str">
        <f t="shared" si="34"/>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 t="shared" si="35"/>
        <v>-4679-新莊幸運店(定保)</v>
      </c>
      <c r="I212" s="190" t="s">
        <v>1746</v>
      </c>
      <c r="J212" s="188" t="str" cm="1">
        <f t="array" ref="J212">IFERROR(INDEX(IM!$X$2:$X$650, MATCH(1, (IM!$F$2:$F$650=A212) * (ISNUMBER(SEARCH($C$1, IM!$AC$2:$AC$650))), 0)), "")</f>
        <v/>
      </c>
      <c r="K212" s="159">
        <f>COUNTIFS(IM!F:F,A212,IM!AD:AD,"O",IM!X:X,"&gt;="&amp;$A$1,IM!X:X,"&lt;="&amp;$B$1)</f>
        <v>0</v>
      </c>
      <c r="L212" s="228" t="str" cm="1">
        <f t="array" ref="L212">IF(K212&gt;0,IFERROR(HYPERLINK("#'IM'!AC"&amp;MATCH(1,(IM!$F$1:$F$7700=A212)*(ISNUMBER(SEARCH("PMQ2",IM!$AC$1:$AC$7700))),0),"檢核"),"未登錄"),"")</f>
        <v/>
      </c>
      <c r="M212" s="230" t="str" cm="1">
        <f t="array" ref="M212">IF(AND(SUMPRODUCT((IM!F2:F856=A212)*(ISNUMBER(SEARCH("EDC", IM!AC2:AC856))))&gt;0), "EDC", "")</f>
        <v/>
      </c>
      <c r="N212" s="264" t="str" cm="1">
        <f t="array" ref="N212">IF(AND(SUMPRODUCT((IM!F2:F856=A212)*(ISNUMBER(SEARCH("STAR", IM!AC2:AC856))))&gt;0), "STAR", "")</f>
        <v/>
      </c>
      <c r="O212" s="256" t="str" cm="1">
        <f t="array" ref="O212">IFERROR(INDEX(IM!$X$2:$X$650, MATCH(1, (IM!$F$2:$F$650=A212) * (ISNUMBER(SEARCH($D$1, IM!$AC$2:$AC$650))), 0)), "")</f>
        <v/>
      </c>
      <c r="P212" s="191" t="str">
        <f t="shared" si="36"/>
        <v>-4679-新莊幸運店(定保)</v>
      </c>
      <c r="Q212" s="140"/>
      <c r="R212" s="140"/>
      <c r="S212" s="140"/>
      <c r="T212" s="140"/>
      <c r="U212" s="258">
        <f t="shared" si="37"/>
        <v>0</v>
      </c>
      <c r="V212" s="246" t="str">
        <f t="shared" si="38"/>
        <v>未到店</v>
      </c>
      <c r="X212" s="5"/>
      <c r="Y212" s="5" t="str">
        <f t="shared" si="34"/>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 t="shared" si="35"/>
        <v>-4228-新莊頭前公園(定保)</v>
      </c>
      <c r="I213" s="190" t="s">
        <v>1746</v>
      </c>
      <c r="J213" s="188" t="str" cm="1">
        <f t="array" ref="J213">IFERROR(INDEX(IM!$X$2:$X$650, MATCH(1, (IM!$F$2:$F$650=A213) * (ISNUMBER(SEARCH($C$1, IM!$AC$2:$AC$650))), 0)), "")</f>
        <v/>
      </c>
      <c r="K213" s="159">
        <f>COUNTIFS(IM!F:F,A213,IM!AD:AD,"O",IM!X:X,"&gt;="&amp;$A$1,IM!X:X,"&lt;="&amp;$B$1)</f>
        <v>0</v>
      </c>
      <c r="L213" s="228" t="str" cm="1">
        <f t="array" ref="L213">IF(K213&gt;0,IFERROR(HYPERLINK("#'IM'!AC"&amp;MATCH(1,(IM!$F$1:$F$7700=A213)*(ISNUMBER(SEARCH("PMQ2",IM!$AC$1:$AC$7700))),0),"檢核"),"未登錄"),"")</f>
        <v/>
      </c>
      <c r="M213" s="230" t="str" cm="1">
        <f t="array" ref="M213">IF(AND(SUMPRODUCT((IM!F2:F857=A213)*(ISNUMBER(SEARCH("EDC", IM!AC2:AC857))))&gt;0), "EDC", "")</f>
        <v/>
      </c>
      <c r="N213" s="264" t="str" cm="1">
        <f t="array" ref="N213">IF(AND(SUMPRODUCT((IM!F2:F857=A213)*(ISNUMBER(SEARCH("STAR", IM!AC2:AC857))))&gt;0), "STAR", "")</f>
        <v/>
      </c>
      <c r="O213" s="256" t="str" cm="1">
        <f t="array" ref="O213">IFERROR(INDEX(IM!$X$2:$X$650, MATCH(1, (IM!$F$2:$F$650=A213) * (ISNUMBER(SEARCH($D$1, IM!$AC$2:$AC$650))), 0)), "")</f>
        <v/>
      </c>
      <c r="P213" s="191" t="str">
        <f t="shared" si="36"/>
        <v>-4228-新莊頭前公園(定保)</v>
      </c>
      <c r="Q213" s="267"/>
      <c r="R213" s="267"/>
      <c r="S213" s="267"/>
      <c r="T213" s="267"/>
      <c r="U213" s="258">
        <f t="shared" si="37"/>
        <v>2</v>
      </c>
      <c r="V213" s="246" t="str">
        <f t="shared" si="38"/>
        <v>未到店</v>
      </c>
      <c r="W213" s="3" t="s">
        <v>4424</v>
      </c>
      <c r="X213" s="5" t="s">
        <v>4425</v>
      </c>
      <c r="Y213" s="5" t="str">
        <f t="shared" si="34"/>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 t="shared" si="35"/>
        <v>-3962-板橋仁化店(定保)</v>
      </c>
      <c r="I214" s="190" t="s">
        <v>1746</v>
      </c>
      <c r="J214" s="188" t="str" cm="1">
        <f t="array" ref="J214">IFERROR(INDEX(IM!$X$2:$X$650, MATCH(1, (IM!$F$2:$F$650=A214) * (ISNUMBER(SEARCH($C$1, IM!$AC$2:$AC$650))), 0)), "")</f>
        <v/>
      </c>
      <c r="K214" s="159">
        <f>COUNTIFS(IM!F:F,A214,IM!AD:AD,"O",IM!X:X,"&gt;="&amp;$A$1,IM!X:X,"&lt;="&amp;$B$1)</f>
        <v>0</v>
      </c>
      <c r="L214" s="228" t="str" cm="1">
        <f t="array" ref="L214">IF(K214&gt;0,IFERROR(HYPERLINK("#'IM'!AC"&amp;MATCH(1,(IM!$F$1:$F$7700=A214)*(ISNUMBER(SEARCH("PMQ2",IM!$AC$1:$AC$7700))),0),"檢核"),"未登錄"),"")</f>
        <v/>
      </c>
      <c r="M214" s="230" t="str" cm="1">
        <f t="array" ref="M214">IF(AND(SUMPRODUCT((IM!F2:F841=A214)*(ISNUMBER(SEARCH("EDC", IM!AC2:AC841))))&gt;0), "EDC", "")</f>
        <v/>
      </c>
      <c r="N214" s="264" t="str" cm="1">
        <f t="array" ref="N214">IF(AND(SUMPRODUCT((IM!F2:F841=A214)*(ISNUMBER(SEARCH("STAR", IM!AC2:AC841))))&gt;0), "STAR", "")</f>
        <v/>
      </c>
      <c r="O214" s="256" t="str" cm="1">
        <f t="array" ref="O214">IFERROR(INDEX(IM!$X$2:$X$650, MATCH(1, (IM!$F$2:$F$650=A214) * (ISNUMBER(SEARCH($D$1, IM!$AC$2:$AC$650))), 0)), "")</f>
        <v/>
      </c>
      <c r="P214" s="191" t="str">
        <f t="shared" si="36"/>
        <v>-3962-板橋仁化店(定保)</v>
      </c>
      <c r="Q214" s="140"/>
      <c r="R214" s="140"/>
      <c r="S214" s="140"/>
      <c r="T214" s="140"/>
      <c r="U214" s="258">
        <f t="shared" si="37"/>
        <v>2</v>
      </c>
      <c r="V214" s="246" t="str">
        <f t="shared" si="38"/>
        <v>未到店</v>
      </c>
      <c r="W214" s="3" t="s">
        <v>4359</v>
      </c>
      <c r="X214" s="5" t="s">
        <v>4360</v>
      </c>
      <c r="Y214" s="5" t="str">
        <f t="shared" si="34"/>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 t="shared" si="35"/>
        <v>-3399-板橋藝文中心(定保)</v>
      </c>
      <c r="I215" s="190" t="s">
        <v>1746</v>
      </c>
      <c r="J215" s="188" t="str" cm="1">
        <f t="array" ref="J215">IFERROR(INDEX(IM!$X$2:$X$650, MATCH(1, (IM!$F$2:$F$650=A215) * (ISNUMBER(SEARCH($C$1, IM!$AC$2:$AC$650))), 0)), "")</f>
        <v/>
      </c>
      <c r="K215" s="159">
        <f>COUNTIFS(IM!F:F,A215,IM!AD:AD,"O",IM!X:X,"&gt;="&amp;$A$1,IM!X:X,"&lt;="&amp;$B$1)</f>
        <v>0</v>
      </c>
      <c r="L215" s="228" t="str" cm="1">
        <f t="array" ref="L215">IF(K215&gt;0,IFERROR(HYPERLINK("#'IM'!AC"&amp;MATCH(1,(IM!$F$1:$F$7700=A215)*(ISNUMBER(SEARCH("PMQ2",IM!$AC$1:$AC$7700))),0),"檢核"),"未登錄"),"")</f>
        <v/>
      </c>
      <c r="M215" s="230" t="str" cm="1">
        <f t="array" ref="M215">IF(AND(SUMPRODUCT((IM!F2:F845=A215)*(ISNUMBER(SEARCH("EDC", IM!AC2:AC845))))&gt;0), "EDC", "")</f>
        <v/>
      </c>
      <c r="N215" s="264" t="str" cm="1">
        <f t="array" ref="N215">IF(AND(SUMPRODUCT((IM!F2:F845=A215)*(ISNUMBER(SEARCH("STAR", IM!AC2:AC845))))&gt;0), "STAR", "")</f>
        <v/>
      </c>
      <c r="O215" s="256" t="str" cm="1">
        <f t="array" ref="O215">IFERROR(INDEX(IM!$X$2:$X$650, MATCH(1, (IM!$F$2:$F$650=A215) * (ISNUMBER(SEARCH($D$1, IM!$AC$2:$AC$650))), 0)), "")</f>
        <v/>
      </c>
      <c r="P215" s="191" t="str">
        <f t="shared" si="36"/>
        <v>-3399-板橋藝文中心(定保)</v>
      </c>
      <c r="Q215" s="140"/>
      <c r="R215" s="140"/>
      <c r="S215" s="140"/>
      <c r="T215" s="140"/>
      <c r="U215" s="258">
        <f t="shared" si="37"/>
        <v>2</v>
      </c>
      <c r="V215" s="246" t="str">
        <f t="shared" si="38"/>
        <v>未到店</v>
      </c>
      <c r="W215" s="3" t="s">
        <v>4376</v>
      </c>
      <c r="X215" s="5" t="s">
        <v>4377</v>
      </c>
      <c r="Y215" s="5" t="str">
        <f t="shared" si="34"/>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 t="shared" si="35"/>
        <v>-3551-北縣板豐店(定保)</v>
      </c>
      <c r="I216" s="190" t="s">
        <v>1746</v>
      </c>
      <c r="J216" s="188" t="str" cm="1">
        <f t="array" ref="J216">IFERROR(INDEX(IM!$X$2:$X$650, MATCH(1, (IM!$F$2:$F$650=A216) * (ISNUMBER(SEARCH($C$1, IM!$AC$2:$AC$650))), 0)), "")</f>
        <v/>
      </c>
      <c r="K216" s="159">
        <f>COUNTIFS(IM!F:F,A216,IM!AD:AD,"O",IM!X:X,"&gt;="&amp;$A$1,IM!X:X,"&lt;="&amp;$B$1)</f>
        <v>0</v>
      </c>
      <c r="L216" s="228" t="str" cm="1">
        <f t="array" ref="L216">IF(K216&gt;0,IFERROR(HYPERLINK("#'IM'!AC"&amp;MATCH(1,(IM!$F$1:$F$7700=A216)*(ISNUMBER(SEARCH("PMQ2",IM!$AC$1:$AC$7700))),0),"檢核"),"未登錄"),"")</f>
        <v/>
      </c>
      <c r="M216" s="230" t="str" cm="1">
        <f t="array" ref="M216">IF(AND(SUMPRODUCT((IM!F2:F842=A216)*(ISNUMBER(SEARCH("EDC", IM!AC2:AC842))))&gt;0), "EDC", "")</f>
        <v/>
      </c>
      <c r="N216" s="264" t="str" cm="1">
        <f t="array" ref="N216">IF(AND(SUMPRODUCT((IM!F2:F842=A216)*(ISNUMBER(SEARCH("STAR", IM!AC2:AC842))))&gt;0), "STAR", "")</f>
        <v/>
      </c>
      <c r="O216" s="256" t="str" cm="1">
        <f t="array" ref="O216">IFERROR(INDEX(IM!$X$2:$X$650, MATCH(1, (IM!$F$2:$F$650=A216) * (ISNUMBER(SEARCH($D$1, IM!$AC$2:$AC$650))), 0)), "")</f>
        <v/>
      </c>
      <c r="P216" s="191" t="str">
        <f t="shared" si="36"/>
        <v>-3551-北縣板豐店(定保)</v>
      </c>
      <c r="Q216" s="140"/>
      <c r="R216" s="140"/>
      <c r="S216" s="140"/>
      <c r="T216" s="140"/>
      <c r="U216" s="258">
        <f t="shared" si="37"/>
        <v>2</v>
      </c>
      <c r="V216" s="246" t="str">
        <f t="shared" si="38"/>
        <v>未到店</v>
      </c>
      <c r="W216" s="3" t="s">
        <v>4370</v>
      </c>
      <c r="X216" s="5" t="s">
        <v>4371</v>
      </c>
      <c r="Y216" s="5" t="str">
        <f t="shared" si="34"/>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 t="shared" si="35"/>
        <v>-D111-北縣府中店(定保)</v>
      </c>
      <c r="I217" s="190" t="s">
        <v>1746</v>
      </c>
      <c r="J217" s="188" t="str" cm="1">
        <f t="array" ref="J217">IFERROR(INDEX(IM!$X$2:$X$650, MATCH(1, (IM!$F$2:$F$650=A217) * (ISNUMBER(SEARCH($C$1, IM!$AC$2:$AC$650))), 0)), "")</f>
        <v/>
      </c>
      <c r="K217" s="159">
        <f>COUNTIFS(IM!F:F,A217,IM!AD:AD,"O",IM!X:X,"&gt;="&amp;$A$1,IM!X:X,"&lt;="&amp;$B$1)</f>
        <v>0</v>
      </c>
      <c r="L217" s="228" t="str" cm="1">
        <f t="array" ref="L217">IF(K217&gt;0,IFERROR(HYPERLINK("#'IM'!AC"&amp;MATCH(1,(IM!$F$1:$F$7700=A217)*(ISNUMBER(SEARCH("PMQ2",IM!$AC$1:$AC$7700))),0),"檢核"),"未登錄"),"")</f>
        <v/>
      </c>
      <c r="M217" s="230" t="str" cm="1">
        <f t="array" ref="M217">IF(AND(SUMPRODUCT((IM!F2:F852=A217)*(ISNUMBER(SEARCH("EDC", IM!AC2:AC852))))&gt;0), "EDC", "")</f>
        <v/>
      </c>
      <c r="N217" s="264" t="str" cm="1">
        <f t="array" ref="N217">IF(AND(SUMPRODUCT((IM!F2:F852=A217)*(ISNUMBER(SEARCH("STAR", IM!AC2:AC852))))&gt;0), "STAR", "")</f>
        <v/>
      </c>
      <c r="O217" s="256" t="str" cm="1">
        <f t="array" ref="O217">IFERROR(INDEX(IM!$X$2:$X$650, MATCH(1, (IM!$F$2:$F$650=A217) * (ISNUMBER(SEARCH($D$1, IM!$AC$2:$AC$650))), 0)), "")</f>
        <v/>
      </c>
      <c r="P217" s="191" t="str">
        <f t="shared" si="36"/>
        <v>-D111-北縣府中店(定保)</v>
      </c>
      <c r="Q217" s="140"/>
      <c r="R217" s="140"/>
      <c r="S217" s="140"/>
      <c r="T217" s="140"/>
      <c r="U217" s="258">
        <f t="shared" si="37"/>
        <v>2</v>
      </c>
      <c r="V217" s="246" t="str">
        <f t="shared" si="38"/>
        <v>未到店</v>
      </c>
      <c r="W217" s="3" t="s">
        <v>4396</v>
      </c>
      <c r="X217" s="5" t="s">
        <v>4397</v>
      </c>
      <c r="Y217" s="5" t="str">
        <f t="shared" si="34"/>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 t="shared" si="35"/>
        <v>-D349-板橋成都店(定保)</v>
      </c>
      <c r="I218" s="190" t="s">
        <v>1746</v>
      </c>
      <c r="J218" s="188" t="str" cm="1">
        <f t="array" ref="J218">IFERROR(INDEX(IM!$X$2:$X$650, MATCH(1, (IM!$F$2:$F$650=A218) * (ISNUMBER(SEARCH($C$1, IM!$AC$2:$AC$650))), 0)), "")</f>
        <v/>
      </c>
      <c r="K218" s="159">
        <f>COUNTIFS(IM!F:F,A218,IM!AD:AD,"O",IM!X:X,"&gt;="&amp;$A$1,IM!X:X,"&lt;="&amp;$B$1)</f>
        <v>0</v>
      </c>
      <c r="L218" s="228" t="str" cm="1">
        <f t="array" ref="L218">IF(K218&gt;0,IFERROR(HYPERLINK("#'IM'!AC"&amp;MATCH(1,(IM!$F$1:$F$7700=A218)*(ISNUMBER(SEARCH("PMQ2",IM!$AC$1:$AC$7700))),0),"檢核"),"未登錄"),"")</f>
        <v/>
      </c>
      <c r="M218" s="230" t="str" cm="1">
        <f t="array" ref="M218">IF(AND(SUMPRODUCT((IM!F2:F850=A218)*(ISNUMBER(SEARCH("EDC", IM!AC2:AC850))))&gt;0), "EDC", "")</f>
        <v/>
      </c>
      <c r="N218" s="264" t="str" cm="1">
        <f t="array" ref="N218">IF(AND(SUMPRODUCT((IM!F2:F850=A218)*(ISNUMBER(SEARCH("STAR", IM!AC2:AC850))))&gt;0), "STAR", "")</f>
        <v/>
      </c>
      <c r="O218" s="256" t="str" cm="1">
        <f t="array" ref="O218">IFERROR(INDEX(IM!$X$2:$X$650, MATCH(1, (IM!$F$2:$F$650=A218) * (ISNUMBER(SEARCH($D$1, IM!$AC$2:$AC$650))), 0)), "")</f>
        <v/>
      </c>
      <c r="P218" s="191" t="str">
        <f t="shared" si="36"/>
        <v>-D349-板橋成都店(定保)</v>
      </c>
      <c r="Q218" s="140"/>
      <c r="R218" s="140"/>
      <c r="S218" s="140"/>
      <c r="T218" s="140"/>
      <c r="U218" s="258">
        <f t="shared" si="37"/>
        <v>0</v>
      </c>
      <c r="V218" s="246" t="str">
        <f t="shared" si="38"/>
        <v>未到店</v>
      </c>
      <c r="X218" s="5"/>
      <c r="Y218" s="5" t="str">
        <f t="shared" si="34"/>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 t="shared" si="35"/>
        <v>-3416-板橋國慶店(定保)</v>
      </c>
      <c r="I219" s="199" t="s">
        <v>1746</v>
      </c>
      <c r="J219" s="253" t="str" cm="1">
        <f t="array" ref="J219">IFERROR(INDEX(IM!$X$2:$X$650, MATCH(1, (IM!$F$2:$F$650=A219) * (ISNUMBER(SEARCH($C$1, IM!$AC$2:$AC$650))), 0)), "")</f>
        <v/>
      </c>
      <c r="K219" s="159">
        <f>COUNTIFS(IM!F:F,A219,IM!AD:AD,"O",IM!X:X,"&gt;="&amp;$A$1,IM!X:X,"&lt;="&amp;$B$1)</f>
        <v>0</v>
      </c>
      <c r="L219" s="228" t="str" cm="1">
        <f t="array" ref="L219">IF(K219&gt;0,IFERROR(HYPERLINK("#'IM'!AC"&amp;MATCH(1,(IM!$F$1:$F$7700=A219)*(ISNUMBER(SEARCH("PMQ2",IM!$AC$1:$AC$7700))),0),"檢核"),"未登錄"),"")</f>
        <v/>
      </c>
      <c r="M219" s="230" t="str" cm="1">
        <f t="array" ref="M219">IF(AND(SUMPRODUCT((IM!F2:F849=A219)*(ISNUMBER(SEARCH("EDC", IM!AC2:AC849))))&gt;0), "EDC", "")</f>
        <v/>
      </c>
      <c r="N219" s="264" t="str" cm="1">
        <f t="array" ref="N219">IF(AND(SUMPRODUCT((IM!F2:F849=A219)*(ISNUMBER(SEARCH("STAR", IM!AC2:AC849))))&gt;0), "STAR", "")</f>
        <v/>
      </c>
      <c r="O219" s="256" t="str" cm="1">
        <f t="array" ref="O219">IFERROR(INDEX(IM!$X$2:$X$650, MATCH(1, (IM!$F$2:$F$650=A219) * (ISNUMBER(SEARCH($D$1, IM!$AC$2:$AC$650))), 0)), "")</f>
        <v/>
      </c>
      <c r="P219" s="191" t="str">
        <f t="shared" si="36"/>
        <v>-3416-板橋國慶店(定保)</v>
      </c>
      <c r="Q219" s="140"/>
      <c r="R219" s="140"/>
      <c r="S219" s="140"/>
      <c r="T219" s="140"/>
      <c r="U219" s="258">
        <f t="shared" si="37"/>
        <v>2</v>
      </c>
      <c r="V219" s="246" t="str">
        <f t="shared" si="38"/>
        <v>未到店</v>
      </c>
      <c r="W219" s="3" t="s">
        <v>4394</v>
      </c>
      <c r="X219" s="5" t="s">
        <v>4395</v>
      </c>
      <c r="Y219" s="5" t="str">
        <f t="shared" si="34"/>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 t="shared" si="35"/>
        <v>-L501-車麗屋板橋店(定保)</v>
      </c>
      <c r="I220" s="199" t="s">
        <v>1746</v>
      </c>
      <c r="J220" s="253" t="str" cm="1">
        <f t="array" ref="J220">IFERROR(INDEX(IM!$X$2:$X$650, MATCH(1, (IM!$F$2:$F$650=A220) * (ISNUMBER(SEARCH($C$1, IM!$AC$2:$AC$650))), 0)), "")</f>
        <v/>
      </c>
      <c r="K220" s="159">
        <f>COUNTIFS(IM!F:F,A220,IM!AD:AD,"O",IM!X:X,"&gt;="&amp;$A$1,IM!X:X,"&lt;="&amp;$B$1)</f>
        <v>0</v>
      </c>
      <c r="L220" s="228" t="str" cm="1">
        <f t="array" ref="L220">IF(K220&gt;0,IFERROR(HYPERLINK("#'IM'!AC"&amp;MATCH(1,(IM!$F$1:$F$7700=A220)*(ISNUMBER(SEARCH("PMQ2",IM!$AC$1:$AC$7700))),0),"檢核"),"未登錄"),"")</f>
        <v/>
      </c>
      <c r="M220" s="230" t="str" cm="1">
        <f t="array" ref="M220">IF(AND(SUMPRODUCT((IM!F2:F851=A220)*(ISNUMBER(SEARCH("EDC", IM!AC2:AC851))))&gt;0), "EDC", "")</f>
        <v/>
      </c>
      <c r="N220" s="264" t="str" cm="1">
        <f t="array" ref="N220">IF(AND(SUMPRODUCT((IM!F2:F851=A220)*(ISNUMBER(SEARCH("STAR", IM!AC2:AC851))))&gt;0), "STAR", "")</f>
        <v/>
      </c>
      <c r="O220" s="256" t="str" cm="1">
        <f t="array" ref="O220">IFERROR(INDEX(IM!$X$2:$X$650, MATCH(1, (IM!$F$2:$F$650=A220) * (ISNUMBER(SEARCH($D$1, IM!$AC$2:$AC$650))), 0)), "")</f>
        <v/>
      </c>
      <c r="P220" s="191" t="str">
        <f t="shared" si="36"/>
        <v>-L501-車麗屋板橋店(定保)</v>
      </c>
      <c r="Q220" s="140"/>
      <c r="R220" s="140"/>
      <c r="S220" s="140"/>
      <c r="T220" s="140"/>
      <c r="U220" s="258">
        <f t="shared" si="37"/>
        <v>0</v>
      </c>
      <c r="V220" s="246" t="str">
        <f t="shared" si="38"/>
        <v>未到店</v>
      </c>
      <c r="X220" s="5"/>
      <c r="Y220" s="5" t="str">
        <f t="shared" si="34"/>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 t="shared" si="35"/>
        <v>-4422-板橋合安店(定保)</v>
      </c>
      <c r="I221" s="199" t="s">
        <v>1746</v>
      </c>
      <c r="J221" s="253" t="str" cm="1">
        <f t="array" ref="J221">IFERROR(INDEX(IM!$X$2:$X$650, MATCH(1, (IM!$F$2:$F$650=A221) * (ISNUMBER(SEARCH($C$1, IM!$AC$2:$AC$650))), 0)), "")</f>
        <v/>
      </c>
      <c r="K221" s="159">
        <f>COUNTIFS(IM!F:F,A221,IM!AD:AD,"O",IM!X:X,"&gt;="&amp;$A$1,IM!X:X,"&lt;="&amp;$B$1)</f>
        <v>0</v>
      </c>
      <c r="L221" s="228" t="str" cm="1">
        <f t="array" ref="L221">IF(K221&gt;0,IFERROR(HYPERLINK("#'IM'!AC"&amp;MATCH(1,(IM!$F$1:$F$7700=A221)*(ISNUMBER(SEARCH("PMQ2",IM!$AC$1:$AC$7700))),0),"檢核"),"未登錄"),"")</f>
        <v/>
      </c>
      <c r="M221" s="230" t="str" cm="1">
        <f t="array" ref="M221">IF(AND(SUMPRODUCT((IM!F2:F846=A221)*(ISNUMBER(SEARCH("EDC", IM!AC2:AC846))))&gt;0), "EDC", "")</f>
        <v/>
      </c>
      <c r="N221" s="264" t="str" cm="1">
        <f t="array" ref="N221">IF(AND(SUMPRODUCT((IM!F2:F846=A221)*(ISNUMBER(SEARCH("STAR", IM!AC2:AC846))))&gt;0), "STAR", "")</f>
        <v/>
      </c>
      <c r="O221" s="256" t="str" cm="1">
        <f t="array" ref="O221">IFERROR(INDEX(IM!$X$2:$X$650, MATCH(1, (IM!$F$2:$F$650=A221) * (ISNUMBER(SEARCH($D$1, IM!$AC$2:$AC$650))), 0)), "")</f>
        <v/>
      </c>
      <c r="P221" s="191" t="str">
        <f t="shared" si="36"/>
        <v>-4422-板橋合安店(定保)</v>
      </c>
      <c r="Q221" s="140"/>
      <c r="R221" s="140"/>
      <c r="S221" s="140"/>
      <c r="T221" s="140"/>
      <c r="U221" s="258">
        <f t="shared" si="37"/>
        <v>0</v>
      </c>
      <c r="V221" s="246" t="str">
        <f t="shared" si="38"/>
        <v>未到店</v>
      </c>
      <c r="X221" s="5"/>
      <c r="Y221" s="5" t="str">
        <f t="shared" si="34"/>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 t="shared" si="35"/>
        <v>-2535-五股五工店(定保)</v>
      </c>
      <c r="I222" s="199" t="s">
        <v>1746</v>
      </c>
      <c r="J222" s="253" t="str" cm="1">
        <f t="array" ref="J222">IFERROR(INDEX(IM!$X$2:$X$650, MATCH(1, (IM!$F$2:$F$650=A222) * (ISNUMBER(SEARCH($C$1, IM!$AC$2:$AC$650))), 0)), "")</f>
        <v/>
      </c>
      <c r="K222" s="159">
        <f>COUNTIFS(IM!F:F,A222,IM!AD:AD,"O",IM!X:X,"&gt;="&amp;$A$1,IM!X:X,"&lt;="&amp;$B$1)</f>
        <v>0</v>
      </c>
      <c r="L222" s="228" t="str" cm="1">
        <f t="array" ref="L222">IF(K222&gt;0,IFERROR(HYPERLINK("#'IM'!AC"&amp;MATCH(1,(IM!$F$1:$F$7700=A222)*(ISNUMBER(SEARCH("PMQ2",IM!$AC$1:$AC$7700))),0),"檢核"),"未登錄"),"")</f>
        <v/>
      </c>
      <c r="M222" s="230" t="str" cm="1">
        <f t="array" ref="M222">IF(AND(SUMPRODUCT((IM!F2:F853=A222)*(ISNUMBER(SEARCH("EDC", IM!AC2:AC853))))&gt;0), "EDC", "")</f>
        <v/>
      </c>
      <c r="N222" s="264" t="str" cm="1">
        <f t="array" ref="N222">IF(AND(SUMPRODUCT((IM!F2:F853=A222)*(ISNUMBER(SEARCH("STAR", IM!AC2:AC853))))&gt;0), "STAR", "")</f>
        <v/>
      </c>
      <c r="O222" s="256" t="str" cm="1">
        <f t="array" ref="O222">IFERROR(INDEX(IM!$X$2:$X$650, MATCH(1, (IM!$F$2:$F$650=A222) * (ISNUMBER(SEARCH($D$1, IM!$AC$2:$AC$650))), 0)), "")</f>
        <v/>
      </c>
      <c r="P222" s="191" t="str">
        <f t="shared" si="36"/>
        <v>-2535-五股五工店(定保)</v>
      </c>
      <c r="Q222" s="252"/>
      <c r="R222" s="252"/>
      <c r="S222" s="252"/>
      <c r="T222" s="252"/>
      <c r="U222" s="258">
        <f t="shared" si="37"/>
        <v>1</v>
      </c>
      <c r="V222" s="246" t="str">
        <f t="shared" si="38"/>
        <v>未到店</v>
      </c>
      <c r="W222" s="3" t="s">
        <v>4398</v>
      </c>
      <c r="Y222" s="5" t="str">
        <f t="shared" si="34"/>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 t="shared" si="35"/>
        <v>-TT01-五股訓練教室(定保)</v>
      </c>
      <c r="I223" s="199" t="s">
        <v>1746</v>
      </c>
      <c r="J223" s="253" t="str" cm="1">
        <f t="array" ref="J223">IFERROR(INDEX(IM!$X$2:$X$650, MATCH(1, (IM!$F$2:$F$650=A223) * (ISNUMBER(SEARCH($C$1, IM!$AC$2:$AC$650))), 0)), "")</f>
        <v/>
      </c>
      <c r="K223" s="159">
        <f>COUNTIFS(IM!F:F,A223,IM!AD:AD,"O",IM!X:X,"&gt;="&amp;$A$1,IM!X:X,"&lt;="&amp;$B$1)</f>
        <v>0</v>
      </c>
      <c r="L223" s="228" t="str" cm="1">
        <f t="array" ref="L223">IF(K223&gt;0,IFERROR(HYPERLINK("#'IM'!AC"&amp;MATCH(1,(IM!$F$1:$F$7700=A223)*(ISNUMBER(SEARCH("PMQ2",IM!$AC$1:$AC$7700))),0),"檢核"),"未登錄"),"")</f>
        <v/>
      </c>
      <c r="M223" s="230" t="str" cm="1">
        <f t="array" ref="M223">IF(AND(SUMPRODUCT((IM!F2:F854=A223)*(ISNUMBER(SEARCH("EDC", IM!AC2:AC854))))&gt;0), "EDC", "")</f>
        <v/>
      </c>
      <c r="N223" s="264" t="str" cm="1">
        <f t="array" ref="N223">IF(AND(SUMPRODUCT((IM!F2:F854=A223)*(ISNUMBER(SEARCH("STAR", IM!AC2:AC854))))&gt;0), "STAR", "")</f>
        <v/>
      </c>
      <c r="O223" s="257" t="str" cm="1">
        <f t="array" ref="O223">IFERROR(INDEX(IM!$X$2:$X$650, MATCH(1, (IM!$F$2:$F$650=A223) * (ISNUMBER(SEARCH($D$1, IM!$AC$2:$AC$650))), 0)), "")</f>
        <v/>
      </c>
      <c r="P223" s="249" t="str">
        <f t="shared" si="36"/>
        <v>-TT01-五股訓練教室(定保)</v>
      </c>
      <c r="Q223" s="252"/>
      <c r="R223" s="252"/>
      <c r="S223" s="252"/>
      <c r="T223" s="252"/>
      <c r="U223" s="258">
        <f t="shared" si="37"/>
        <v>1</v>
      </c>
      <c r="V223" s="246" t="str">
        <f t="shared" si="38"/>
        <v>未到店</v>
      </c>
      <c r="W223" s="3" t="s">
        <v>4399</v>
      </c>
      <c r="Y223" s="5" t="str">
        <f t="shared" si="34"/>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 t="shared" si="35"/>
        <v>-5291-新莊國家置地(定保)</v>
      </c>
      <c r="I224" s="199" t="s">
        <v>1746</v>
      </c>
      <c r="J224" s="253" t="str" cm="1">
        <f t="array" ref="J224">IFERROR(INDEX(IM!$X$2:$X$650, MATCH(1, (IM!$F$2:$F$650=A224) * (ISNUMBER(SEARCH($C$1, IM!$AC$2:$AC$650))), 0)), "")</f>
        <v/>
      </c>
      <c r="K224" s="159">
        <f>COUNTIFS(IM!F:F,A224,IM!AD:AD,"O",IM!X:X,"&gt;="&amp;$A$1,IM!X:X,"&lt;="&amp;$B$1)</f>
        <v>0</v>
      </c>
      <c r="L224" s="228" t="str" cm="1">
        <f t="array" ref="L224">IF(K224&gt;0,IFERROR(HYPERLINK("#'IM'!AC"&amp;MATCH(1,(IM!$F$1:$F$7700=A224)*(ISNUMBER(SEARCH("PMQ2",IM!$AC$1:$AC$7700))),0),"檢核"),"未登錄"),"")</f>
        <v/>
      </c>
      <c r="M224" s="230" t="str" cm="1">
        <f t="array" ref="M224">IF(AND(SUMPRODUCT((IM!F2:F859=A224)*(ISNUMBER(SEARCH("EDC", IM!AC2:AC859))))&gt;0), "EDC", "")</f>
        <v/>
      </c>
      <c r="N224" s="264" t="str" cm="1">
        <f t="array" ref="N224">IF(AND(SUMPRODUCT((IM!F2:F859=A224)*(ISNUMBER(SEARCH("STAR", IM!AC2:AC859))))&gt;0), "STAR", "")</f>
        <v/>
      </c>
      <c r="O224" s="257" t="str" cm="1">
        <f t="array" ref="O224">IFERROR(INDEX(IM!$X$2:$X$650, MATCH(1, (IM!$F$2:$F$650=A224) * (ISNUMBER(SEARCH($D$1, IM!$AC$2:$AC$650))), 0)), "")</f>
        <v/>
      </c>
      <c r="P224" s="249" t="str">
        <f t="shared" si="36"/>
        <v>-5291-新莊國家置地(定保)</v>
      </c>
      <c r="Q224" s="308"/>
      <c r="R224" s="308"/>
      <c r="S224" s="308"/>
      <c r="T224" s="308"/>
      <c r="U224" s="258">
        <f t="shared" si="37"/>
        <v>0</v>
      </c>
      <c r="V224" s="246" t="str">
        <f t="shared" si="38"/>
        <v>未到店</v>
      </c>
      <c r="W224" s="260"/>
      <c r="Y224" s="261" t="str">
        <f t="shared" si="34"/>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 t="shared" si="35"/>
        <v>-5341-蘆洲切仔麵(定保)</v>
      </c>
      <c r="I225" s="190" t="s">
        <v>1746</v>
      </c>
      <c r="J225" s="253" t="str" cm="1">
        <f t="array" ref="J225">IFERROR(INDEX(IM!$X$2:$X$650, MATCH(1, (IM!$F$2:$F$650=A225) * (ISNUMBER(SEARCH($C$1, IM!$AC$2:$AC$650))), 0)), "")</f>
        <v/>
      </c>
      <c r="K225" s="346">
        <f>COUNTIFS(IM!F:F,A225,IM!AD:AD,"O",IM!X:X,"&gt;="&amp;$A$1,IM!X:X,"&lt;="&amp;$B$1)</f>
        <v>0</v>
      </c>
      <c r="L225" s="347" t="str" cm="1">
        <f t="array" ref="L225">IF(K225&gt;0,IFERROR(HYPERLINK("#'IM'!AC"&amp;MATCH(1,(IM!$F$1:$F$7700=A225)*(ISNUMBER(SEARCH("PMQ2",IM!$AC$1:$AC$7700))),0),"檢核"),"未登錄"),"")</f>
        <v/>
      </c>
      <c r="M225" s="230" t="str" cm="1">
        <f t="array" ref="M225">IF(AND(SUMPRODUCT((IM!F3:F785=A225)*(ISNUMBER(SEARCH("EDC", IM!AC3:AC785))))&gt;0), "EDC", "")</f>
        <v/>
      </c>
      <c r="N225" s="258" t="str" cm="1">
        <f t="array" ref="N225">IF(AND(SUMPRODUCT((IM!F3:F785=A225)*(ISNUMBER(SEARCH("STAR", IM!AC3:AC785))))&gt;0), "STAR", "")</f>
        <v/>
      </c>
      <c r="O225" s="348" t="str" cm="1">
        <f t="array" ref="O225">IFERROR(INDEX(IM!$X$2:$X$650, MATCH(1, (IM!$F$2:$F$650=A225) * (ISNUMBER(SEARCH($D$1, IM!$AC$2:$AC$650))), 0)), "")</f>
        <v/>
      </c>
      <c r="P225" s="249" t="str">
        <f t="shared" si="36"/>
        <v>-5341-蘆洲切仔麵(定保)</v>
      </c>
      <c r="Q225" s="252"/>
      <c r="R225" s="252"/>
      <c r="S225" s="252"/>
      <c r="T225" s="252"/>
      <c r="U225" s="264">
        <f t="shared" si="37"/>
        <v>0</v>
      </c>
      <c r="V225" s="246" t="str">
        <f t="shared" si="38"/>
        <v>未到店</v>
      </c>
      <c r="W225" s="260"/>
      <c r="Y225" s="261" t="str">
        <f t="shared" si="34"/>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 t="shared" si="35"/>
        <v>-5352-三重重陽店(定保)</v>
      </c>
      <c r="I226" s="350" t="s">
        <v>1746</v>
      </c>
      <c r="J226" s="254" t="str" cm="1">
        <f t="array" ref="J226">IFERROR(INDEX(IM!$X$2:$X$650, MATCH(1, (IM!$F$2:$F$650=A226) * (ISNUMBER(SEARCH($C$1, IM!$AC$2:$AC$650))), 0)), "")</f>
        <v/>
      </c>
      <c r="K226" s="351">
        <f>COUNTIFS(IM!F:F,A226,IM!AD:AD,"O",IM!X:X,"&gt;="&amp;$A$1,IM!X:X,"&lt;="&amp;$B$1)</f>
        <v>0</v>
      </c>
      <c r="L226" s="352" t="str" cm="1">
        <f t="array" ref="L226">IF(K226&gt;0,IFERROR(HYPERLINK("#'IM'!AC"&amp;MATCH(1,(IM!$F$1:$F$7700=A226)*(ISNUMBER(SEARCH("PMQ2",IM!$AC$1:$AC$7700))),0),"檢核"),"未登錄"),"")</f>
        <v/>
      </c>
      <c r="M226" s="266" t="str" cm="1">
        <f t="array" ref="M226">IF(AND(SUMPRODUCT((IM!F4:F786=A226)*(ISNUMBER(SEARCH("EDC", IM!AC4:AC786))))&gt;0), "EDC", "")</f>
        <v/>
      </c>
      <c r="N226" s="259" t="str" cm="1">
        <f t="array" ref="N226">IF(AND(SUMPRODUCT((IM!F4:F786=A226)*(ISNUMBER(SEARCH("STAR", IM!AC4:AC786))))&gt;0), "STAR", "")</f>
        <v/>
      </c>
      <c r="O226" s="353" t="str" cm="1">
        <f t="array" ref="O226">IFERROR(INDEX(IM!$X$2:$X$650, MATCH(1, (IM!$F$2:$F$650=A226) * (ISNUMBER(SEARCH($D$1, IM!$AC$2:$AC$650))), 0)), "")</f>
        <v/>
      </c>
      <c r="P226" s="250" t="str">
        <f t="shared" si="36"/>
        <v>-5352-三重重陽店(定保)</v>
      </c>
      <c r="Q226" s="309"/>
      <c r="R226" s="309"/>
      <c r="S226" s="309"/>
      <c r="T226" s="309"/>
      <c r="U226" s="265">
        <f t="shared" si="37"/>
        <v>0</v>
      </c>
      <c r="V226" s="354" t="str">
        <f t="shared" si="38"/>
        <v>未到店</v>
      </c>
      <c r="W226" s="260"/>
      <c r="Y226" s="261" t="str">
        <f t="shared" si="34"/>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106</xdr:row>
                    <xdr:rowOff>167640</xdr:rowOff>
                  </from>
                  <to>
                    <xdr:col>7</xdr:col>
                    <xdr:colOff>53340</xdr:colOff>
                    <xdr:row>108</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34.4%</v>
      </c>
      <c r="B4" s="330">
        <f>門市主檔!B8</f>
        <v>73</v>
      </c>
      <c r="C4" s="330">
        <f>門市主檔!B9</f>
        <v>137</v>
      </c>
      <c r="D4" s="336" t="str">
        <f>ROUND(門市主檔!B13*100,1)&amp;"%"</f>
        <v>37.9%</v>
      </c>
      <c r="E4" s="330">
        <f>門市主檔!B10</f>
        <v>61</v>
      </c>
      <c r="F4" s="330">
        <f>門市主檔!B11</f>
        <v>100</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78"/>
  <sheetViews>
    <sheetView topLeftCell="S1" zoomScaleNormal="100" workbookViewId="0">
      <pane ySplit="1" topLeftCell="A463" activePane="bottomLeft" state="frozen"/>
      <selection activeCell="H5" sqref="H5"/>
      <selection pane="bottomLeft" activeCell="AP478" sqref="AP478"/>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row r="466" spans="1:39" s="27" customFormat="1" ht="21.6" customHeight="1">
      <c r="A466" s="31">
        <v>102</v>
      </c>
      <c r="B466" s="31" t="s">
        <v>5040</v>
      </c>
      <c r="C466" s="31">
        <v>2025042985</v>
      </c>
      <c r="D466" s="31" t="s">
        <v>7073</v>
      </c>
      <c r="E466" s="31" t="s">
        <v>5042</v>
      </c>
      <c r="F466" s="31">
        <v>4260</v>
      </c>
      <c r="G466" s="31" t="s">
        <v>347</v>
      </c>
      <c r="H466" s="31" t="s">
        <v>1751</v>
      </c>
      <c r="I466" s="31" t="s">
        <v>7074</v>
      </c>
      <c r="J466" s="31" t="s">
        <v>5073</v>
      </c>
      <c r="K466" s="31" t="s">
        <v>5459</v>
      </c>
      <c r="L466" s="31" t="s">
        <v>5075</v>
      </c>
      <c r="M466" s="32" t="s">
        <v>1727</v>
      </c>
      <c r="N466" s="31">
        <v>2301</v>
      </c>
      <c r="O466" s="32" t="s">
        <v>6443</v>
      </c>
      <c r="P466" s="33" t="s">
        <v>7075</v>
      </c>
      <c r="Q466" s="31" t="s">
        <v>5085</v>
      </c>
      <c r="R466" s="31" t="s">
        <v>53</v>
      </c>
      <c r="S466" s="31" t="s">
        <v>4115</v>
      </c>
      <c r="T466" s="31">
        <v>1</v>
      </c>
      <c r="U466" s="31" t="s">
        <v>1723</v>
      </c>
      <c r="V466" s="31" t="s">
        <v>7076</v>
      </c>
      <c r="W466" s="31" t="s">
        <v>7077</v>
      </c>
      <c r="X466" s="219">
        <v>45770.570833333331</v>
      </c>
      <c r="Y466" s="31" t="s">
        <v>7078</v>
      </c>
      <c r="Z466" s="31">
        <v>2.7</v>
      </c>
      <c r="AA466" s="31"/>
      <c r="AB466" s="31" t="s">
        <v>1724</v>
      </c>
      <c r="AC466" s="33" t="s">
        <v>7079</v>
      </c>
      <c r="AD466" s="31"/>
      <c r="AE466" s="31"/>
      <c r="AF466" s="31"/>
      <c r="AG466" s="31"/>
      <c r="AH466" s="31"/>
      <c r="AI466" s="31"/>
      <c r="AJ466" s="31"/>
      <c r="AK466" s="31" t="s">
        <v>1725</v>
      </c>
      <c r="AL466" s="358">
        <f t="shared" ref="AL466:AL478" si="20">DATEVALUE(TEXT(I466, "yyyy/mm/dd"))</f>
        <v>45770</v>
      </c>
      <c r="AM466"/>
    </row>
    <row r="467" spans="1:39" s="27" customFormat="1" ht="21.6" customHeight="1">
      <c r="A467" s="28">
        <v>103</v>
      </c>
      <c r="B467" s="28" t="s">
        <v>5040</v>
      </c>
      <c r="C467" s="28">
        <v>2025042987</v>
      </c>
      <c r="D467" s="28" t="s">
        <v>7080</v>
      </c>
      <c r="E467" s="28" t="s">
        <v>5042</v>
      </c>
      <c r="F467" s="28">
        <v>2535</v>
      </c>
      <c r="G467" s="28" t="s">
        <v>107</v>
      </c>
      <c r="H467" s="28" t="s">
        <v>3321</v>
      </c>
      <c r="I467" s="28" t="s">
        <v>7081</v>
      </c>
      <c r="J467" s="28" t="s">
        <v>5073</v>
      </c>
      <c r="K467" s="28" t="s">
        <v>5459</v>
      </c>
      <c r="L467" s="28" t="s">
        <v>5075</v>
      </c>
      <c r="M467" s="29" t="s">
        <v>1727</v>
      </c>
      <c r="N467" s="28">
        <v>2305</v>
      </c>
      <c r="O467" s="29" t="s">
        <v>5076</v>
      </c>
      <c r="P467" s="30" t="s">
        <v>7082</v>
      </c>
      <c r="Q467" s="28" t="s">
        <v>6907</v>
      </c>
      <c r="R467" s="28" t="s">
        <v>53</v>
      </c>
      <c r="S467" s="28" t="s">
        <v>16</v>
      </c>
      <c r="T467" s="28">
        <v>1</v>
      </c>
      <c r="U467" s="28" t="s">
        <v>1723</v>
      </c>
      <c r="V467" s="28" t="s">
        <v>7083</v>
      </c>
      <c r="W467" s="28" t="s">
        <v>7084</v>
      </c>
      <c r="X467" s="138">
        <v>45770.583333333336</v>
      </c>
      <c r="Y467" s="28" t="s">
        <v>7085</v>
      </c>
      <c r="Z467" s="28">
        <v>0.5</v>
      </c>
      <c r="AA467" s="28"/>
      <c r="AB467" s="28" t="s">
        <v>1724</v>
      </c>
      <c r="AC467" s="30" t="s">
        <v>7086</v>
      </c>
      <c r="AD467" s="28"/>
      <c r="AE467" s="28"/>
      <c r="AF467" s="28"/>
      <c r="AG467" s="28"/>
      <c r="AH467" s="28"/>
      <c r="AI467" s="28"/>
      <c r="AJ467" s="28"/>
      <c r="AK467" s="28" t="s">
        <v>1725</v>
      </c>
      <c r="AL467" s="358">
        <f t="shared" si="20"/>
        <v>45770</v>
      </c>
      <c r="AM467"/>
    </row>
    <row r="468" spans="1:39" s="27" customFormat="1" ht="21.6" customHeight="1">
      <c r="A468" s="31">
        <v>104</v>
      </c>
      <c r="B468" s="31" t="s">
        <v>1728</v>
      </c>
      <c r="C468" s="31">
        <v>2025043062</v>
      </c>
      <c r="D468" s="31"/>
      <c r="E468" s="31"/>
      <c r="F468" s="31">
        <v>5060</v>
      </c>
      <c r="G468" s="31" t="s">
        <v>581</v>
      </c>
      <c r="H468" s="31" t="s">
        <v>3325</v>
      </c>
      <c r="I468" s="31"/>
      <c r="J468" s="31"/>
      <c r="K468" s="31"/>
      <c r="L468" s="31"/>
      <c r="M468" s="32"/>
      <c r="N468" s="31"/>
      <c r="O468" s="32"/>
      <c r="P468" s="33"/>
      <c r="Q468" s="31" t="s">
        <v>6652</v>
      </c>
      <c r="R468" s="31" t="s">
        <v>53</v>
      </c>
      <c r="S468" s="31" t="s">
        <v>4115</v>
      </c>
      <c r="T468" s="31">
        <v>1</v>
      </c>
      <c r="U468" s="31" t="s">
        <v>1723</v>
      </c>
      <c r="V468" s="31" t="s">
        <v>7087</v>
      </c>
      <c r="W468" s="31" t="s">
        <v>7088</v>
      </c>
      <c r="X468" s="219">
        <v>45770.666666666664</v>
      </c>
      <c r="Y468" s="31"/>
      <c r="Z468" s="31">
        <v>0.3</v>
      </c>
      <c r="AA468" s="31"/>
      <c r="AB468" s="31" t="s">
        <v>1724</v>
      </c>
      <c r="AC468" s="33" t="s">
        <v>5116</v>
      </c>
      <c r="AD468" s="31" t="s">
        <v>1725</v>
      </c>
      <c r="AE468" s="31"/>
      <c r="AF468" s="31"/>
      <c r="AG468" s="31"/>
      <c r="AH468" s="31"/>
      <c r="AI468" s="31"/>
      <c r="AJ468" s="31"/>
      <c r="AK468" s="31" t="s">
        <v>1725</v>
      </c>
      <c r="AL468" s="358" t="e">
        <f t="shared" si="20"/>
        <v>#VALUE!</v>
      </c>
      <c r="AM468"/>
    </row>
    <row r="469" spans="1:39" s="27" customFormat="1" ht="21.6" customHeight="1">
      <c r="A469" s="28">
        <v>105</v>
      </c>
      <c r="B469" s="28" t="s">
        <v>5040</v>
      </c>
      <c r="C469" s="28">
        <v>2025043182</v>
      </c>
      <c r="D469" s="28" t="s">
        <v>7089</v>
      </c>
      <c r="E469" s="28" t="s">
        <v>5042</v>
      </c>
      <c r="F469" s="28">
        <v>2267</v>
      </c>
      <c r="G469" s="28" t="s">
        <v>80</v>
      </c>
      <c r="H469" s="28" t="s">
        <v>3312</v>
      </c>
      <c r="I469" s="28" t="s">
        <v>7090</v>
      </c>
      <c r="J469" s="28" t="s">
        <v>5103</v>
      </c>
      <c r="K469" s="28" t="s">
        <v>5046</v>
      </c>
      <c r="L469" s="28" t="s">
        <v>5075</v>
      </c>
      <c r="M469" s="29" t="s">
        <v>1727</v>
      </c>
      <c r="N469" s="28">
        <v>2305</v>
      </c>
      <c r="O469" s="29" t="s">
        <v>5076</v>
      </c>
      <c r="P469" s="30" t="s">
        <v>7091</v>
      </c>
      <c r="Q469" s="28" t="s">
        <v>5776</v>
      </c>
      <c r="R469" s="28" t="s">
        <v>53</v>
      </c>
      <c r="S469" s="28" t="s">
        <v>4115</v>
      </c>
      <c r="T469" s="28">
        <v>1</v>
      </c>
      <c r="U469" s="28" t="s">
        <v>1723</v>
      </c>
      <c r="V469" s="28" t="s">
        <v>7092</v>
      </c>
      <c r="W469" s="28" t="s">
        <v>7093</v>
      </c>
      <c r="X469" s="138">
        <v>45772.566666666666</v>
      </c>
      <c r="Y469" s="28" t="s">
        <v>7094</v>
      </c>
      <c r="Z469" s="28">
        <v>0.5</v>
      </c>
      <c r="AA469" s="28"/>
      <c r="AB469" s="28" t="s">
        <v>1724</v>
      </c>
      <c r="AC469" s="30" t="s">
        <v>7095</v>
      </c>
      <c r="AD469" s="28"/>
      <c r="AE469" s="28"/>
      <c r="AF469" s="28"/>
      <c r="AG469" s="28"/>
      <c r="AH469" s="28"/>
      <c r="AI469" s="28"/>
      <c r="AJ469" s="28"/>
      <c r="AK469" s="28" t="s">
        <v>1725</v>
      </c>
      <c r="AL469" s="358">
        <f t="shared" si="20"/>
        <v>45771</v>
      </c>
      <c r="AM469"/>
    </row>
    <row r="470" spans="1:39" s="27" customFormat="1" ht="21.6" customHeight="1">
      <c r="A470" s="31">
        <v>106</v>
      </c>
      <c r="B470" s="31" t="s">
        <v>1728</v>
      </c>
      <c r="C470" s="31">
        <v>2025043190</v>
      </c>
      <c r="D470" s="31"/>
      <c r="E470" s="31"/>
      <c r="F470" s="31">
        <v>3359</v>
      </c>
      <c r="G470" s="31" t="s">
        <v>180</v>
      </c>
      <c r="H470" s="31" t="s">
        <v>1751</v>
      </c>
      <c r="I470" s="31"/>
      <c r="J470" s="31"/>
      <c r="K470" s="31"/>
      <c r="L470" s="31"/>
      <c r="M470" s="32"/>
      <c r="N470" s="31"/>
      <c r="O470" s="32"/>
      <c r="P470" s="33"/>
      <c r="Q470" s="31" t="s">
        <v>5885</v>
      </c>
      <c r="R470" s="31" t="s">
        <v>53</v>
      </c>
      <c r="S470" s="31" t="s">
        <v>4115</v>
      </c>
      <c r="T470" s="31">
        <v>1</v>
      </c>
      <c r="U470" s="31" t="s">
        <v>1723</v>
      </c>
      <c r="V470" s="31" t="s">
        <v>7096</v>
      </c>
      <c r="W470" s="31" t="s">
        <v>7097</v>
      </c>
      <c r="X470" s="219">
        <v>45771.614583333336</v>
      </c>
      <c r="Y470" s="31"/>
      <c r="Z470" s="31">
        <v>1</v>
      </c>
      <c r="AA470" s="31"/>
      <c r="AB470" s="31" t="s">
        <v>1724</v>
      </c>
      <c r="AC470" s="33" t="s">
        <v>5058</v>
      </c>
      <c r="AD470" s="31" t="s">
        <v>1725</v>
      </c>
      <c r="AE470" s="31"/>
      <c r="AF470" s="31"/>
      <c r="AG470" s="31"/>
      <c r="AH470" s="31"/>
      <c r="AI470" s="31"/>
      <c r="AJ470" s="31" t="s">
        <v>1725</v>
      </c>
      <c r="AK470" s="31" t="s">
        <v>1725</v>
      </c>
      <c r="AL470" s="358" t="e">
        <f t="shared" si="20"/>
        <v>#VALUE!</v>
      </c>
      <c r="AM470"/>
    </row>
    <row r="471" spans="1:39" s="27" customFormat="1" ht="21.6" customHeight="1">
      <c r="A471" s="28">
        <v>107</v>
      </c>
      <c r="B471" s="28" t="s">
        <v>1728</v>
      </c>
      <c r="C471" s="28">
        <v>2025043209</v>
      </c>
      <c r="D471" s="28"/>
      <c r="E471" s="28"/>
      <c r="F471" s="28" t="s">
        <v>25</v>
      </c>
      <c r="G471" s="28" t="s">
        <v>4138</v>
      </c>
      <c r="H471" s="28" t="s">
        <v>1751</v>
      </c>
      <c r="I471" s="28"/>
      <c r="J471" s="28"/>
      <c r="K471" s="28"/>
      <c r="L471" s="28"/>
      <c r="M471" s="29"/>
      <c r="N471" s="28"/>
      <c r="O471" s="29"/>
      <c r="P471" s="30"/>
      <c r="Q471" s="28" t="s">
        <v>5888</v>
      </c>
      <c r="R471" s="28" t="s">
        <v>53</v>
      </c>
      <c r="S471" s="28" t="s">
        <v>4115</v>
      </c>
      <c r="T471" s="28">
        <v>1</v>
      </c>
      <c r="U471" s="28" t="s">
        <v>1723</v>
      </c>
      <c r="V471" s="28" t="s">
        <v>7098</v>
      </c>
      <c r="W471" s="28" t="s">
        <v>7099</v>
      </c>
      <c r="X471" s="138">
        <v>45771.677777777775</v>
      </c>
      <c r="Y471" s="28"/>
      <c r="Z471" s="28">
        <v>1.1000000000000001</v>
      </c>
      <c r="AA471" s="28"/>
      <c r="AB471" s="28" t="s">
        <v>1724</v>
      </c>
      <c r="AC471" s="30" t="s">
        <v>5058</v>
      </c>
      <c r="AD471" s="28" t="s">
        <v>1725</v>
      </c>
      <c r="AE471" s="28"/>
      <c r="AF471" s="28"/>
      <c r="AG471" s="28"/>
      <c r="AH471" s="28"/>
      <c r="AI471" s="28"/>
      <c r="AJ471" s="28" t="s">
        <v>1725</v>
      </c>
      <c r="AK471" s="28" t="s">
        <v>1725</v>
      </c>
      <c r="AL471" s="358" t="e">
        <f t="shared" si="20"/>
        <v>#VALUE!</v>
      </c>
      <c r="AM471"/>
    </row>
    <row r="472" spans="1:39" s="27" customFormat="1" ht="21.6" customHeight="1">
      <c r="A472" s="31">
        <v>108</v>
      </c>
      <c r="B472" s="31" t="s">
        <v>1728</v>
      </c>
      <c r="C472" s="31">
        <v>2025043293</v>
      </c>
      <c r="D472" s="31"/>
      <c r="E472" s="31"/>
      <c r="F472" s="31">
        <v>2267</v>
      </c>
      <c r="G472" s="31" t="s">
        <v>80</v>
      </c>
      <c r="H472" s="31" t="s">
        <v>3312</v>
      </c>
      <c r="I472" s="31"/>
      <c r="J472" s="31"/>
      <c r="K472" s="31"/>
      <c r="L472" s="31"/>
      <c r="M472" s="32"/>
      <c r="N472" s="31"/>
      <c r="O472" s="32"/>
      <c r="P472" s="33"/>
      <c r="Q472" s="31" t="s">
        <v>5776</v>
      </c>
      <c r="R472" s="31" t="s">
        <v>53</v>
      </c>
      <c r="S472" s="31" t="s">
        <v>4115</v>
      </c>
      <c r="T472" s="31">
        <v>1</v>
      </c>
      <c r="U472" s="31" t="s">
        <v>1723</v>
      </c>
      <c r="V472" s="31" t="s">
        <v>7100</v>
      </c>
      <c r="W472" s="31" t="s">
        <v>7101</v>
      </c>
      <c r="X472" s="219">
        <v>45772.586805555555</v>
      </c>
      <c r="Y472" s="31"/>
      <c r="Z472" s="31">
        <v>1.1000000000000001</v>
      </c>
      <c r="AA472" s="31"/>
      <c r="AB472" s="31" t="s">
        <v>1724</v>
      </c>
      <c r="AC472" s="33" t="s">
        <v>5058</v>
      </c>
      <c r="AD472" s="31" t="s">
        <v>1725</v>
      </c>
      <c r="AE472" s="31"/>
      <c r="AF472" s="31"/>
      <c r="AG472" s="31"/>
      <c r="AH472" s="31"/>
      <c r="AI472" s="31"/>
      <c r="AJ472" s="31" t="s">
        <v>1725</v>
      </c>
      <c r="AK472" s="31" t="s">
        <v>1725</v>
      </c>
      <c r="AL472" s="358" t="e">
        <f t="shared" si="20"/>
        <v>#VALUE!</v>
      </c>
      <c r="AM472"/>
    </row>
    <row r="473" spans="1:39" s="27" customFormat="1" ht="21.6" customHeight="1">
      <c r="A473" s="31">
        <v>110</v>
      </c>
      <c r="B473" s="31" t="s">
        <v>5040</v>
      </c>
      <c r="C473" s="31">
        <v>2025043366</v>
      </c>
      <c r="D473" s="31" t="s">
        <v>7102</v>
      </c>
      <c r="E473" s="31" t="s">
        <v>5042</v>
      </c>
      <c r="F473" s="31">
        <v>4397</v>
      </c>
      <c r="G473" s="31" t="s">
        <v>386</v>
      </c>
      <c r="H473" s="31" t="s">
        <v>1751</v>
      </c>
      <c r="I473" s="31" t="s">
        <v>7103</v>
      </c>
      <c r="J473" s="31" t="s">
        <v>5234</v>
      </c>
      <c r="K473" s="31" t="s">
        <v>5074</v>
      </c>
      <c r="L473" s="31" t="s">
        <v>5047</v>
      </c>
      <c r="M473" s="32" t="s">
        <v>4061</v>
      </c>
      <c r="N473" s="31">
        <v>2501</v>
      </c>
      <c r="O473" s="32" t="s">
        <v>5048</v>
      </c>
      <c r="P473" s="33" t="s">
        <v>7104</v>
      </c>
      <c r="Q473" s="31" t="s">
        <v>5602</v>
      </c>
      <c r="R473" s="31" t="s">
        <v>53</v>
      </c>
      <c r="S473" s="31" t="s">
        <v>4115</v>
      </c>
      <c r="T473" s="31">
        <v>1</v>
      </c>
      <c r="U473" s="31" t="s">
        <v>1723</v>
      </c>
      <c r="V473" s="31" t="s">
        <v>7105</v>
      </c>
      <c r="W473" s="31" t="s">
        <v>7106</v>
      </c>
      <c r="X473" s="219">
        <v>45774.640972222223</v>
      </c>
      <c r="Y473" s="31" t="s">
        <v>7107</v>
      </c>
      <c r="Z473" s="31">
        <v>0.6</v>
      </c>
      <c r="AA473" s="31"/>
      <c r="AB473" s="31" t="s">
        <v>1724</v>
      </c>
      <c r="AC473" s="33" t="s">
        <v>7108</v>
      </c>
      <c r="AD473" s="31"/>
      <c r="AE473" s="31"/>
      <c r="AF473" s="31"/>
      <c r="AG473" s="31"/>
      <c r="AH473" s="31"/>
      <c r="AI473" s="31"/>
      <c r="AJ473" s="31"/>
      <c r="AK473" s="31" t="s">
        <v>1725</v>
      </c>
      <c r="AL473" s="358">
        <f t="shared" si="20"/>
        <v>45774</v>
      </c>
      <c r="AM473"/>
    </row>
    <row r="474" spans="1:39" s="27" customFormat="1" ht="21.6" customHeight="1">
      <c r="A474" s="28">
        <v>111</v>
      </c>
      <c r="B474" s="28" t="s">
        <v>5040</v>
      </c>
      <c r="C474" s="28">
        <v>2025043367</v>
      </c>
      <c r="D474" s="28" t="s">
        <v>7109</v>
      </c>
      <c r="E474" s="28" t="s">
        <v>5511</v>
      </c>
      <c r="F474" s="28">
        <v>4397</v>
      </c>
      <c r="G474" s="28" t="s">
        <v>386</v>
      </c>
      <c r="H474" s="28" t="s">
        <v>1751</v>
      </c>
      <c r="I474" s="28" t="s">
        <v>7110</v>
      </c>
      <c r="J474" s="28" t="s">
        <v>5234</v>
      </c>
      <c r="K474" s="28" t="s">
        <v>5074</v>
      </c>
      <c r="L474" s="28" t="s">
        <v>5047</v>
      </c>
      <c r="M474" s="29" t="s">
        <v>4061</v>
      </c>
      <c r="N474" s="28">
        <v>2501</v>
      </c>
      <c r="O474" s="29" t="s">
        <v>5048</v>
      </c>
      <c r="P474" s="30" t="s">
        <v>7111</v>
      </c>
      <c r="Q474" s="28" t="s">
        <v>5602</v>
      </c>
      <c r="R474" s="28" t="s">
        <v>53</v>
      </c>
      <c r="S474" s="28" t="s">
        <v>4115</v>
      </c>
      <c r="T474" s="28">
        <v>1</v>
      </c>
      <c r="U474" s="28" t="s">
        <v>1723</v>
      </c>
      <c r="V474" s="28" t="s">
        <v>7112</v>
      </c>
      <c r="W474" s="28" t="s">
        <v>7106</v>
      </c>
      <c r="X474" s="138">
        <v>45774.63958333333</v>
      </c>
      <c r="Y474" s="28" t="s">
        <v>7113</v>
      </c>
      <c r="Z474" s="28">
        <v>0.6</v>
      </c>
      <c r="AA474" s="28"/>
      <c r="AB474" s="28" t="s">
        <v>1724</v>
      </c>
      <c r="AC474" s="30" t="s">
        <v>7108</v>
      </c>
      <c r="AD474" s="28"/>
      <c r="AE474" s="28"/>
      <c r="AF474" s="28"/>
      <c r="AG474" s="28"/>
      <c r="AH474" s="28"/>
      <c r="AI474" s="28"/>
      <c r="AJ474" s="28"/>
      <c r="AK474" s="28" t="s">
        <v>1725</v>
      </c>
      <c r="AL474" s="358">
        <f t="shared" si="20"/>
        <v>45774</v>
      </c>
      <c r="AM474"/>
    </row>
    <row r="475" spans="1:39" s="27" customFormat="1" ht="21.6" customHeight="1">
      <c r="A475" s="31">
        <v>112</v>
      </c>
      <c r="B475" s="31" t="s">
        <v>1728</v>
      </c>
      <c r="C475" s="31">
        <v>2025043415</v>
      </c>
      <c r="D475" s="31"/>
      <c r="E475" s="31"/>
      <c r="F475" s="31">
        <v>5352</v>
      </c>
      <c r="G475" s="31" t="s">
        <v>5230</v>
      </c>
      <c r="H475" s="31" t="s">
        <v>1751</v>
      </c>
      <c r="I475" s="31"/>
      <c r="J475" s="31"/>
      <c r="K475" s="31"/>
      <c r="L475" s="31"/>
      <c r="M475" s="32"/>
      <c r="N475" s="31"/>
      <c r="O475" s="32"/>
      <c r="P475" s="33"/>
      <c r="Q475" s="31" t="s">
        <v>7114</v>
      </c>
      <c r="R475" s="31" t="s">
        <v>53</v>
      </c>
      <c r="S475" s="31" t="s">
        <v>16</v>
      </c>
      <c r="T475" s="31">
        <v>1</v>
      </c>
      <c r="U475" s="31" t="s">
        <v>1723</v>
      </c>
      <c r="V475" s="31" t="s">
        <v>7115</v>
      </c>
      <c r="W475" s="31" t="s">
        <v>7116</v>
      </c>
      <c r="X475" s="219">
        <v>45775.545138888891</v>
      </c>
      <c r="Y475" s="31"/>
      <c r="Z475" s="31">
        <v>2.6</v>
      </c>
      <c r="AA475" s="31"/>
      <c r="AB475" s="31" t="s">
        <v>1724</v>
      </c>
      <c r="AC475" s="33" t="s">
        <v>7117</v>
      </c>
      <c r="AD475" s="31"/>
      <c r="AE475" s="31" t="s">
        <v>1725</v>
      </c>
      <c r="AF475" s="31"/>
      <c r="AG475" s="31"/>
      <c r="AH475" s="31"/>
      <c r="AI475" s="31"/>
      <c r="AJ475" s="31"/>
      <c r="AK475" s="31" t="s">
        <v>1725</v>
      </c>
      <c r="AL475" s="358" t="e">
        <f t="shared" si="20"/>
        <v>#VALUE!</v>
      </c>
      <c r="AM475"/>
    </row>
    <row r="476" spans="1:39" s="27" customFormat="1" ht="21.6" customHeight="1">
      <c r="A476" s="28">
        <v>113</v>
      </c>
      <c r="B476" s="28" t="s">
        <v>1728</v>
      </c>
      <c r="C476" s="28">
        <v>2025043420</v>
      </c>
      <c r="D476" s="28"/>
      <c r="E476" s="28"/>
      <c r="F476" s="28">
        <v>5352</v>
      </c>
      <c r="G476" s="28" t="s">
        <v>5230</v>
      </c>
      <c r="H476" s="28" t="s">
        <v>1751</v>
      </c>
      <c r="I476" s="28"/>
      <c r="J476" s="28"/>
      <c r="K476" s="28"/>
      <c r="L476" s="28"/>
      <c r="M476" s="29"/>
      <c r="N476" s="28"/>
      <c r="O476" s="29"/>
      <c r="P476" s="30"/>
      <c r="Q476" s="28" t="s">
        <v>7114</v>
      </c>
      <c r="R476" s="28" t="s">
        <v>53</v>
      </c>
      <c r="S476" s="28" t="s">
        <v>4115</v>
      </c>
      <c r="T476" s="28">
        <v>1</v>
      </c>
      <c r="U476" s="28" t="s">
        <v>1723</v>
      </c>
      <c r="V476" s="28" t="s">
        <v>7118</v>
      </c>
      <c r="W476" s="28" t="s">
        <v>7116</v>
      </c>
      <c r="X476" s="138">
        <v>45775.563888888886</v>
      </c>
      <c r="Y476" s="28"/>
      <c r="Z476" s="28">
        <v>3</v>
      </c>
      <c r="AA476" s="28"/>
      <c r="AB476" s="28" t="s">
        <v>1724</v>
      </c>
      <c r="AC476" s="30" t="s">
        <v>7047</v>
      </c>
      <c r="AD476" s="28"/>
      <c r="AE476" s="28" t="s">
        <v>1725</v>
      </c>
      <c r="AF476" s="28"/>
      <c r="AG476" s="28"/>
      <c r="AH476" s="28"/>
      <c r="AI476" s="28"/>
      <c r="AJ476" s="28"/>
      <c r="AK476" s="28"/>
      <c r="AL476" s="358" t="e">
        <f t="shared" si="20"/>
        <v>#VALUE!</v>
      </c>
      <c r="AM476"/>
    </row>
    <row r="477" spans="1:39" s="27" customFormat="1" ht="21.6" customHeight="1">
      <c r="A477" s="31">
        <v>114</v>
      </c>
      <c r="B477" s="31" t="s">
        <v>5040</v>
      </c>
      <c r="C477" s="31">
        <v>2025043470</v>
      </c>
      <c r="D477" s="31" t="s">
        <v>7119</v>
      </c>
      <c r="E477" s="31" t="s">
        <v>5042</v>
      </c>
      <c r="F477" s="31">
        <v>3358</v>
      </c>
      <c r="G477" s="31" t="s">
        <v>6753</v>
      </c>
      <c r="H477" s="31" t="s">
        <v>1752</v>
      </c>
      <c r="I477" s="31" t="s">
        <v>7120</v>
      </c>
      <c r="J477" s="31" t="s">
        <v>5260</v>
      </c>
      <c r="K477" s="31" t="s">
        <v>5459</v>
      </c>
      <c r="L477" s="31" t="s">
        <v>5075</v>
      </c>
      <c r="M477" s="32" t="s">
        <v>1727</v>
      </c>
      <c r="N477" s="31">
        <v>2307</v>
      </c>
      <c r="O477" s="32" t="s">
        <v>5391</v>
      </c>
      <c r="P477" s="33" t="s">
        <v>7121</v>
      </c>
      <c r="Q477" s="31" t="s">
        <v>6754</v>
      </c>
      <c r="R477" s="31" t="s">
        <v>53</v>
      </c>
      <c r="S477" s="31" t="s">
        <v>16</v>
      </c>
      <c r="T477" s="31">
        <v>1</v>
      </c>
      <c r="U477" s="31" t="s">
        <v>1723</v>
      </c>
      <c r="V477" s="31" t="s">
        <v>7122</v>
      </c>
      <c r="W477" s="31" t="s">
        <v>7123</v>
      </c>
      <c r="X477" s="219">
        <v>45776.427083333336</v>
      </c>
      <c r="Y477" s="31" t="s">
        <v>7125</v>
      </c>
      <c r="Z477" s="31">
        <v>0.5</v>
      </c>
      <c r="AA477" s="31"/>
      <c r="AB477" s="31" t="s">
        <v>1724</v>
      </c>
      <c r="AC477" s="33" t="s">
        <v>7126</v>
      </c>
      <c r="AD477" s="31"/>
      <c r="AE477" s="31"/>
      <c r="AF477" s="31"/>
      <c r="AG477" s="31"/>
      <c r="AH477" s="31"/>
      <c r="AI477" s="31"/>
      <c r="AJ477" s="31"/>
      <c r="AK477" s="31" t="s">
        <v>1725</v>
      </c>
      <c r="AL477" s="358">
        <f t="shared" si="20"/>
        <v>45776</v>
      </c>
      <c r="AM477"/>
    </row>
    <row r="478" spans="1:39" s="27" customFormat="1" ht="21.6" customHeight="1">
      <c r="A478" s="28">
        <v>115</v>
      </c>
      <c r="B478" s="28" t="s">
        <v>1728</v>
      </c>
      <c r="C478" s="28">
        <v>2025043478</v>
      </c>
      <c r="D478" s="28"/>
      <c r="E478" s="28"/>
      <c r="F478" s="28">
        <v>3358</v>
      </c>
      <c r="G478" s="28" t="s">
        <v>6753</v>
      </c>
      <c r="H478" s="28" t="s">
        <v>1752</v>
      </c>
      <c r="I478" s="28"/>
      <c r="J478" s="28"/>
      <c r="K478" s="28"/>
      <c r="L478" s="28"/>
      <c r="M478" s="29"/>
      <c r="N478" s="28"/>
      <c r="O478" s="29"/>
      <c r="P478" s="29"/>
      <c r="Q478" s="28" t="s">
        <v>6754</v>
      </c>
      <c r="R478" s="28" t="s">
        <v>53</v>
      </c>
      <c r="S478" s="28" t="s">
        <v>16</v>
      </c>
      <c r="T478" s="28">
        <v>1</v>
      </c>
      <c r="U478" s="28" t="s">
        <v>1723</v>
      </c>
      <c r="V478" s="28" t="s">
        <v>7127</v>
      </c>
      <c r="W478" s="28" t="s">
        <v>7124</v>
      </c>
      <c r="X478" s="138">
        <v>45776.4375</v>
      </c>
      <c r="Y478" s="28"/>
      <c r="Z478" s="28">
        <v>0.3</v>
      </c>
      <c r="AA478" s="28"/>
      <c r="AB478" s="28" t="s">
        <v>1724</v>
      </c>
      <c r="AC478" s="29" t="s">
        <v>5116</v>
      </c>
      <c r="AD478" s="28" t="s">
        <v>1725</v>
      </c>
      <c r="AE478" s="28"/>
      <c r="AF478" s="28"/>
      <c r="AG478" s="28"/>
      <c r="AH478" s="28"/>
      <c r="AI478" s="28"/>
      <c r="AJ478" s="28" t="s">
        <v>1725</v>
      </c>
      <c r="AK478" s="28" t="s">
        <v>1725</v>
      </c>
      <c r="AL478" s="358" t="e">
        <f t="shared" si="20"/>
        <v>#VALUE!</v>
      </c>
      <c r="AM478"/>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zoomScaleNormal="100" workbookViewId="0">
      <pane ySplit="6" topLeftCell="A7" activePane="bottomLeft" state="frozen"/>
      <selection activeCell="F8" sqref="F8"/>
      <selection pane="bottomLeft" activeCell="G3" sqref="G3"/>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42</v>
      </c>
      <c r="E2" s="323" t="str">
        <f>IF((C2-D2)&lt;0,"0",(C2-D2))</f>
        <v>0</v>
      </c>
      <c r="F2" s="325" t="str">
        <f>ROUND(IF((D2/C2)&gt;1,1,(D2/C2))*100,0)&amp;"%"</f>
        <v>100%</v>
      </c>
      <c r="G2" s="324">
        <f>COUNTIFS(門市主檔!E:E,J1,門市主檔!Y:Y,"STAR")</f>
        <v>93</v>
      </c>
      <c r="H2" s="324">
        <f>COUNTIF($G$7:$G$150,"已更換")</f>
        <v>37</v>
      </c>
      <c r="I2" s="324">
        <f>COUNTIF($G$7:$G$150,"未更換")</f>
        <v>56</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0</v>
      </c>
      <c r="E3" s="323">
        <f t="shared" ref="E3:E4" si="0">IF((C3-D3)&lt;0,"0",(C3-D3))</f>
        <v>39</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0"/>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1"/>
      <c r="B5" s="362" t="s">
        <v>4084</v>
      </c>
      <c r="C5" s="363">
        <f>SUM(C2:C4)</f>
        <v>117</v>
      </c>
      <c r="D5" s="363">
        <f t="shared" ref="D5:E5" si="2">SUM(D2:D4)</f>
        <v>42</v>
      </c>
      <c r="E5" s="363">
        <f t="shared" si="2"/>
        <v>78</v>
      </c>
      <c r="F5" s="364" t="str">
        <f>ROUND(IF((D5/C5)&gt;1,1,(D5/C5))*100,0)&amp;"%"</f>
        <v>36%</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 t="shared" ref="F7:F38" si="3">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 t="shared" si="3"/>
        <v>未保養</v>
      </c>
      <c r="G8" s="209" t="str">
        <f>IF(AND(VLOOKUP(A8,門市主檔!A:Y,25,FALSE)="STAR", VLOOKUP(A8,門市主檔!A:N,14,FALSE)=""), "未更換", IF(VLOOKUP(A8,門市主檔!A:Y,25,FALSE)&lt;&gt;"STAR", "無專案", "已更換"))</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 t="shared" si="3"/>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 t="shared" si="3"/>
        <v>未保養</v>
      </c>
      <c r="G10" s="209" t="str">
        <f>IF(AND(VLOOKUP(A10,門市主檔!A:Y,25,FALSE)="STAR", VLOOKUP(A10,門市主檔!A:N,14,FALSE)=""), "未更換", IF(VLOOKUP(A10,門市主檔!A:Y,25,FALSE)&lt;&gt;"STAR", "無專案", "已更換"))</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 t="shared" si="3"/>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 t="shared" si="3"/>
        <v>未保養</v>
      </c>
      <c r="G12" s="209" t="str">
        <f>IF(AND(VLOOKUP(A12,門市主檔!A:Y,25,FALSE)="STAR", VLOOKUP(A12,門市主檔!A:N,14,FALSE)=""), "未更換", IF(VLOOKUP(A12,門市主檔!A:Y,25,FALSE)&lt;&gt;"STAR", "無專案", "已更換"))</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 t="shared" si="3"/>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 t="shared" si="3"/>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 t="shared" si="3"/>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 t="shared" si="3"/>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 t="shared" si="3"/>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 t="shared" si="3"/>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 t="shared" si="3"/>
        <v>未保養</v>
      </c>
      <c r="G19" s="209" t="str">
        <f>IF(AND(VLOOKUP(A19,門市主檔!A:Y,25,FALSE)="STAR", VLOOKUP(A19,門市主檔!A:N,14,FALSE)=""), "未更換", IF(VLOOKUP(A19,門市主檔!A:Y,25,FALSE)&lt;&gt;"STAR", "無專案", "已更換"))</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 t="shared" si="3"/>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 t="shared" si="3"/>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 t="shared" si="3"/>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v>3623</v>
      </c>
      <c r="B23" s="209" t="str">
        <f>VLOOKUP(A23,門市主檔!A:B,2,FALSE)</f>
        <v>三重自強店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 t="shared" si="3"/>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三重區</v>
      </c>
      <c r="J23" s="217">
        <v>45702.64166666667</v>
      </c>
      <c r="K23" s="210"/>
      <c r="L23" s="210"/>
      <c r="M23" s="210"/>
      <c r="N23" s="210"/>
      <c r="O23" s="210"/>
      <c r="P23" s="204" t="s">
        <v>52</v>
      </c>
      <c r="Q23" s="214" t="s">
        <v>4114</v>
      </c>
    </row>
    <row r="24" spans="1:17" ht="19.5" customHeight="1">
      <c r="A24" s="209" t="s">
        <v>20</v>
      </c>
      <c r="B24" s="209" t="str">
        <f>VLOOKUP(A24,門市主檔!A:B,2,FALSE)</f>
        <v>三重正義北店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 t="shared" si="3"/>
        <v>未保養</v>
      </c>
      <c r="G24" s="209" t="str">
        <f>IF(AND(VLOOKUP(A24,門市主檔!A:Y,25,FALSE)="STAR", VLOOKUP(A24,門市主檔!A:N,14,FALSE)=""), "未更換", IF(VLOOKUP(A24,門市主檔!A:Y,25,FALSE)&lt;&gt;"STAR", "無專案", "已更換"))</f>
        <v>未更換</v>
      </c>
      <c r="H24" s="287">
        <f>VLOOKUP(A24,門市主檔!A:U,21,FALSE)</f>
        <v>1</v>
      </c>
      <c r="I24" s="209" t="str">
        <f>VLOOKUP(A24,'0919門市清單主檔'!B:V,21,FALSE)</f>
        <v>三重區</v>
      </c>
      <c r="J24" s="217">
        <v>45702.479861111111</v>
      </c>
      <c r="K24" s="210"/>
      <c r="L24" s="210"/>
      <c r="M24" s="210"/>
      <c r="N24" s="210"/>
      <c r="O24" s="210"/>
      <c r="P24" s="204" t="s">
        <v>52</v>
      </c>
      <c r="Q24" s="214" t="s">
        <v>4114</v>
      </c>
    </row>
    <row r="25" spans="1:17" ht="19.5" customHeight="1">
      <c r="A25" s="209">
        <v>3957</v>
      </c>
      <c r="B25" s="209" t="str">
        <f>VLOOKUP(A25,門市主檔!A:B,2,FALSE)</f>
        <v>三重福仁店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 t="shared" si="3"/>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三重區</v>
      </c>
      <c r="J25" s="217">
        <v>45720.640972222223</v>
      </c>
      <c r="K25" s="210"/>
      <c r="L25" s="210"/>
      <c r="M25" s="210"/>
      <c r="N25" s="210"/>
      <c r="O25" s="210"/>
      <c r="P25" s="204" t="s">
        <v>52</v>
      </c>
      <c r="Q25" s="214" t="s">
        <v>4114</v>
      </c>
    </row>
    <row r="26" spans="1:17" ht="19.5" customHeight="1">
      <c r="A26" s="209" t="s">
        <v>27</v>
      </c>
      <c r="B26" s="209" t="str">
        <f>VLOOKUP(A26,門市主檔!A:B,2,FALSE)</f>
        <v>三重車路頭</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 t="shared" si="3"/>
        <v>未保養</v>
      </c>
      <c r="G26" s="209" t="str">
        <f>IF(AND(VLOOKUP(A26,門市主檔!A:Y,25,FALSE)="STAR", VLOOKUP(A26,門市主檔!A:N,14,FALSE)=""), "未更換", IF(VLOOKUP(A26,門市主檔!A:Y,25,FALSE)&lt;&gt;"STAR", "無專案", "已更換"))</f>
        <v>未更換</v>
      </c>
      <c r="H26" s="287">
        <f>VLOOKUP(A26,門市主檔!A:U,21,FALSE)</f>
        <v>1</v>
      </c>
      <c r="I26" s="209" t="str">
        <f>VLOOKUP(A26,'0919門市清單主檔'!B:V,21,FALSE)</f>
        <v>三重區</v>
      </c>
      <c r="J26" s="217">
        <v>45715.510416666664</v>
      </c>
      <c r="K26" s="210"/>
      <c r="L26" s="210"/>
      <c r="M26" s="210"/>
      <c r="N26" s="210"/>
      <c r="O26" s="210"/>
      <c r="P26" s="204" t="s">
        <v>52</v>
      </c>
      <c r="Q26" s="214" t="s">
        <v>4114</v>
      </c>
    </row>
    <row r="27" spans="1:17" ht="19.5" customHeight="1">
      <c r="A27" s="209">
        <v>4196</v>
      </c>
      <c r="B27" s="209" t="str">
        <f>VLOOKUP(A27,門市主檔!A:B,2,FALSE)</f>
        <v>三重蝶愛店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 t="shared" si="3"/>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三重區</v>
      </c>
      <c r="J27" s="217">
        <v>45708.611805555556</v>
      </c>
      <c r="K27" s="210"/>
      <c r="L27" s="210"/>
      <c r="M27" s="210"/>
      <c r="N27" s="210"/>
      <c r="O27" s="210"/>
      <c r="P27" s="204" t="s">
        <v>52</v>
      </c>
      <c r="Q27" s="214" t="s">
        <v>4114</v>
      </c>
    </row>
    <row r="28" spans="1:17" ht="19.5" customHeight="1">
      <c r="A28" s="209" t="s">
        <v>39</v>
      </c>
      <c r="B28" s="209" t="str">
        <f>VLOOKUP(A28,門市主檔!A:B,2,FALSE)</f>
        <v>北縣三愛三店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 t="shared" si="3"/>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三重區</v>
      </c>
      <c r="J28" s="217">
        <v>45719.661805555559</v>
      </c>
      <c r="K28" s="210"/>
      <c r="L28" s="210"/>
      <c r="M28" s="210"/>
      <c r="N28" s="210"/>
      <c r="O28" s="210"/>
      <c r="P28" s="204" t="s">
        <v>52</v>
      </c>
      <c r="Q28" s="214" t="s">
        <v>4114</v>
      </c>
    </row>
    <row r="29" spans="1:17" ht="19.5" customHeight="1">
      <c r="A29" s="209">
        <v>4210</v>
      </c>
      <c r="B29" s="209" t="str">
        <f>VLOOKUP(A29,門市主檔!A:B,2,FALSE)</f>
        <v>三重福華店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 t="shared" si="3"/>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三重區</v>
      </c>
      <c r="J29" s="217">
        <v>45708.633333333331</v>
      </c>
      <c r="K29" s="210"/>
      <c r="L29" s="210"/>
      <c r="M29" s="210"/>
      <c r="N29" s="210"/>
      <c r="O29" s="210"/>
      <c r="P29" s="204" t="s">
        <v>52</v>
      </c>
      <c r="Q29" s="214" t="s">
        <v>4114</v>
      </c>
    </row>
    <row r="30" spans="1:17" ht="19.5" customHeight="1">
      <c r="A30" s="209">
        <v>4388</v>
      </c>
      <c r="B30" s="209" t="str">
        <f>VLOOKUP(A30,門市主檔!A:B,2,FALSE)</f>
        <v>三重薔薇店</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 t="shared" si="3"/>
        <v>未保養</v>
      </c>
      <c r="G30" s="209" t="str">
        <f>IF(AND(VLOOKUP(A30,門市主檔!A:Y,25,FALSE)="STAR", VLOOKUP(A30,門市主檔!A:N,14,FALSE)=""), "未更換", IF(VLOOKUP(A30,門市主檔!A:Y,25,FALSE)&lt;&gt;"STAR", "無專案", "已更換"))</f>
        <v>未更換</v>
      </c>
      <c r="H30" s="287">
        <f>VLOOKUP(A30,門市主檔!A:U,21,FALSE)</f>
        <v>2</v>
      </c>
      <c r="I30" s="209" t="str">
        <f>VLOOKUP(A30,'0919門市清單主檔'!B:V,21,FALSE)</f>
        <v>三重區</v>
      </c>
      <c r="J30" s="217">
        <v>45702.684027777781</v>
      </c>
      <c r="K30" s="204"/>
      <c r="L30" s="204"/>
      <c r="M30" s="204"/>
      <c r="N30" s="204"/>
      <c r="O30" s="204"/>
      <c r="P30" s="204" t="s">
        <v>52</v>
      </c>
      <c r="Q30" s="214" t="s">
        <v>4114</v>
      </c>
    </row>
    <row r="31" spans="1:17" ht="19.5" customHeight="1">
      <c r="A31" s="209">
        <v>2042</v>
      </c>
      <c r="B31" s="209" t="str">
        <f>VLOOKUP(A31,門市主檔!A:B,2,FALSE)</f>
        <v>三重中央北店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 t="shared" si="3"/>
        <v>未保養</v>
      </c>
      <c r="G31" s="209" t="str">
        <f>IF(AND(VLOOKUP(A31,門市主檔!A:Y,25,FALSE)="STAR", VLOOKUP(A31,門市主檔!A:N,14,FALSE)=""), "未更換", IF(VLOOKUP(A31,門市主檔!A:Y,25,FALSE)&lt;&gt;"STAR", "無專案", "已更換"))</f>
        <v>未更換</v>
      </c>
      <c r="H31" s="287">
        <f>VLOOKUP(A31,門市主檔!A:U,21,FALSE)</f>
        <v>2</v>
      </c>
      <c r="I31" s="209" t="str">
        <f>VLOOKUP(A31,'0919門市清單主檔'!B:V,21,FALSE)</f>
        <v>三重區</v>
      </c>
      <c r="J31" s="217">
        <v>45701.588194444441</v>
      </c>
      <c r="K31" s="210"/>
      <c r="L31" s="210"/>
      <c r="M31" s="210"/>
      <c r="N31" s="210"/>
      <c r="O31" s="210"/>
      <c r="P31" s="204" t="s">
        <v>52</v>
      </c>
      <c r="Q31" s="214" t="s">
        <v>4114</v>
      </c>
    </row>
    <row r="32" spans="1:17" ht="19.5" customHeight="1">
      <c r="A32" s="209">
        <v>2349</v>
      </c>
      <c r="B32" s="209" t="str">
        <f>VLOOKUP(A32,門市主檔!A:B,2,FALSE)</f>
        <v>三重永福店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 t="shared" si="3"/>
        <v>未保養</v>
      </c>
      <c r="G32" s="209" t="str">
        <f>IF(AND(VLOOKUP(A32,門市主檔!A:Y,25,FALSE)="STAR", VLOOKUP(A32,門市主檔!A:N,14,FALSE)=""), "未更換", IF(VLOOKUP(A32,門市主檔!A:Y,25,FALSE)&lt;&gt;"STAR", "無專案", "已更換"))</f>
        <v>未更換</v>
      </c>
      <c r="H32" s="287">
        <f>VLOOKUP(A32,門市主檔!A:U,21,FALSE)</f>
        <v>2</v>
      </c>
      <c r="I32" s="209" t="str">
        <f>VLOOKUP(A32,'0919門市清單主檔'!B:V,21,FALSE)</f>
        <v>三重區</v>
      </c>
      <c r="J32" s="217">
        <v>45708.47152777778</v>
      </c>
      <c r="K32" s="210"/>
      <c r="L32" s="210"/>
      <c r="M32" s="210"/>
      <c r="N32" s="210"/>
      <c r="O32" s="210"/>
      <c r="P32" s="204"/>
      <c r="Q32" s="214" t="s">
        <v>4114</v>
      </c>
    </row>
    <row r="33" spans="1:17" ht="19.5" customHeight="1">
      <c r="A33" s="209" t="s">
        <v>28</v>
      </c>
      <c r="B33" s="209" t="str">
        <f>VLOOKUP(A33,門市主檔!A:B,2,FALSE)</f>
        <v>三重維德店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 t="shared" si="3"/>
        <v>未保養</v>
      </c>
      <c r="G33" s="209" t="str">
        <f>IF(AND(VLOOKUP(A33,門市主檔!A:Y,25,FALSE)="STAR", VLOOKUP(A33,門市主檔!A:N,14,FALSE)=""), "未更換", IF(VLOOKUP(A33,門市主檔!A:Y,25,FALSE)&lt;&gt;"STAR", "無專案", "已更換"))</f>
        <v>未更換</v>
      </c>
      <c r="H33" s="287">
        <f>VLOOKUP(A33,門市主檔!A:U,21,FALSE)</f>
        <v>1</v>
      </c>
      <c r="I33" s="209" t="str">
        <f>VLOOKUP(A33,'0919門市清單主檔'!B:V,21,FALSE)</f>
        <v>三重區</v>
      </c>
      <c r="J33" s="217">
        <v>45719.701388888891</v>
      </c>
      <c r="K33" s="210"/>
      <c r="L33" s="210"/>
      <c r="M33" s="210"/>
      <c r="N33" s="210"/>
      <c r="O33" s="210"/>
      <c r="P33" s="204"/>
      <c r="Q33" s="214" t="s">
        <v>4114</v>
      </c>
    </row>
    <row r="34" spans="1:17" ht="19.5" customHeight="1">
      <c r="A34" s="209">
        <v>3890</v>
      </c>
      <c r="B34" s="209" t="str">
        <f>VLOOKUP(A34,門市主檔!A:B,2,FALSE)</f>
        <v>三重美堤店</v>
      </c>
      <c r="C34" s="303" t="str">
        <f>IF(COUNTIFS(IM!$F:$F,A34,IM!$AD:$AD,"O",IM!$X:$X,"&gt;="&amp;$R$1, IM!$X:$X,"&lt;="&amp;$S$1)&gt;0,"V","")</f>
        <v/>
      </c>
      <c r="D34" s="303" t="str">
        <f>IF(AND(C34&lt;&gt;"V", COUNTIFS(IM!$F:$F,A34, IM!$AD:$AD, "O", IM!$X:$X, "&gt;="&amp;$R$1, IM!$X:$X, "&lt;="&amp;$S$1)&gt;0), "V", "")</f>
        <v/>
      </c>
      <c r="E34" s="303" t="str">
        <f>IF(AND(C34&lt;&gt;"V",D34&lt;&gt;"V", COUNTIFS(IM!$F:$F, A34, IM!$AD:$AD, "O", IM!$X:$X, "&gt;="&amp;$R$1, IM!$X:$X, "&lt;="&amp;$S$1)&gt;0), "V", "")</f>
        <v/>
      </c>
      <c r="F34" s="209" t="str">
        <f t="shared" si="3"/>
        <v>未保養</v>
      </c>
      <c r="G34" s="209" t="str">
        <f>IF(AND(VLOOKUP(A34,門市主檔!A:Y,25,FALSE)="STAR", VLOOKUP(A34,門市主檔!A:N,14,FALSE)=""), "未更換", IF(VLOOKUP(A34,門市主檔!A:Y,25,FALSE)&lt;&gt;"STAR", "無專案", "已更換"))</f>
        <v>未更換</v>
      </c>
      <c r="H34" s="287">
        <f>VLOOKUP(A34,門市主檔!A:U,21,FALSE)</f>
        <v>2</v>
      </c>
      <c r="I34" s="209" t="str">
        <f>VLOOKUP(A34,'0919門市清單主檔'!B:V,21,FALSE)</f>
        <v>三重區</v>
      </c>
      <c r="J34" s="217">
        <v>45660.463888888888</v>
      </c>
      <c r="K34" s="210"/>
      <c r="L34" s="210"/>
      <c r="M34" s="210"/>
      <c r="N34" s="210"/>
      <c r="O34" s="210"/>
      <c r="P34" s="204" t="s">
        <v>52</v>
      </c>
      <c r="Q34" s="214" t="s">
        <v>4114</v>
      </c>
    </row>
    <row r="35" spans="1:17" ht="19.5" customHeight="1">
      <c r="A35" s="209">
        <v>3362</v>
      </c>
      <c r="B35" s="209" t="str">
        <f>VLOOKUP(A35,門市主檔!A:B,2,FALSE)</f>
        <v>北縣重武店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 t="shared" si="3"/>
        <v>未保養</v>
      </c>
      <c r="G35" s="209" t="str">
        <f>IF(AND(VLOOKUP(A35,門市主檔!A:Y,25,FALSE)="STAR", VLOOKUP(A35,門市主檔!A:N,14,FALSE)=""), "未更換", IF(VLOOKUP(A35,門市主檔!A:Y,25,FALSE)&lt;&gt;"STAR", "無專案", "已更換"))</f>
        <v>未更換</v>
      </c>
      <c r="H35" s="287">
        <f>VLOOKUP(A35,門市主檔!A:U,21,FALSE)</f>
        <v>1</v>
      </c>
      <c r="I35" s="209" t="str">
        <f>VLOOKUP(A35,'0919門市清單主檔'!B:V,21,FALSE)</f>
        <v>三重區</v>
      </c>
      <c r="J35" s="217">
        <v>45660.43472222222</v>
      </c>
      <c r="K35" s="210"/>
      <c r="L35" s="210"/>
      <c r="M35" s="210"/>
      <c r="N35" s="210"/>
      <c r="O35" s="210"/>
      <c r="P35" s="204" t="s">
        <v>52</v>
      </c>
      <c r="Q35" s="214" t="s">
        <v>4114</v>
      </c>
    </row>
    <row r="36" spans="1:17" ht="19.5" customHeight="1">
      <c r="A36" s="209">
        <v>4191</v>
      </c>
      <c r="B36" s="209" t="str">
        <f>VLOOKUP(A36,門市主檔!A:B,2,FALSE)</f>
        <v>三重溪美店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 t="shared" si="3"/>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三重區</v>
      </c>
      <c r="J36" s="217">
        <v>45660.51666666667</v>
      </c>
      <c r="K36" s="210"/>
      <c r="L36" s="210"/>
      <c r="M36" s="210"/>
      <c r="N36" s="210"/>
      <c r="O36" s="210"/>
      <c r="P36" s="204" t="s">
        <v>52</v>
      </c>
      <c r="Q36" s="214" t="s">
        <v>4114</v>
      </c>
    </row>
    <row r="37" spans="1:17" ht="19.5" customHeight="1">
      <c r="A37" s="209">
        <v>5245</v>
      </c>
      <c r="B37" s="209" t="str">
        <f>VLOOKUP(A37,門市主檔!A:B,2,FALSE)</f>
        <v>三重護山店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 t="shared" si="3"/>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三重區</v>
      </c>
      <c r="J37" s="218">
        <v>45660.541666666664</v>
      </c>
      <c r="K37" s="210"/>
      <c r="L37" s="210"/>
      <c r="M37" s="210"/>
      <c r="N37" s="210"/>
      <c r="O37" s="210"/>
      <c r="P37" s="204"/>
      <c r="Q37" s="214" t="s">
        <v>4114</v>
      </c>
    </row>
    <row r="38" spans="1:17" ht="19.5" customHeight="1">
      <c r="A38" s="209">
        <v>2209</v>
      </c>
      <c r="B38" s="209" t="str">
        <f>VLOOKUP(A38,門市主檔!A:B,2,FALSE)</f>
        <v>北縣重強店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 t="shared" si="3"/>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三重區</v>
      </c>
      <c r="J38" s="217">
        <v>45666.625694444447</v>
      </c>
      <c r="K38" s="210"/>
      <c r="L38" s="210"/>
      <c r="M38" s="210"/>
      <c r="N38" s="210"/>
      <c r="O38" s="210"/>
      <c r="P38" s="204" t="s">
        <v>52</v>
      </c>
      <c r="Q38" s="214" t="s">
        <v>4114</v>
      </c>
    </row>
    <row r="39" spans="1:17" ht="19.5" customHeight="1">
      <c r="A39" s="209">
        <v>4397</v>
      </c>
      <c r="B39" s="209" t="str">
        <f>VLOOKUP(A39,門市主檔!A:B,2,FALSE)</f>
        <v>三重仁旺店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 t="shared" ref="F39:F70" si="4">IF(COUNTBLANK(C39:E39)=3,"未保養","")</f>
        <v>未保養</v>
      </c>
      <c r="G39" s="209" t="str">
        <f>IF(AND(VLOOKUP(A39,門市主檔!A:Y,25,FALSE)="STAR", VLOOKUP(A39,門市主檔!A:N,14,FALSE)=""), "未更換", IF(VLOOKUP(A39,門市主檔!A:Y,25,FALSE)&lt;&gt;"STAR", "無專案", "已更換"))</f>
        <v>未更換</v>
      </c>
      <c r="H39" s="287">
        <f>VLOOKUP(A39,門市主檔!A:U,21,FALSE)</f>
        <v>2</v>
      </c>
      <c r="I39" s="209" t="str">
        <f>VLOOKUP(A39,'0919門市清單主檔'!B:V,21,FALSE)</f>
        <v>三重區</v>
      </c>
      <c r="J39" s="217">
        <v>45670.512499999997</v>
      </c>
      <c r="K39" s="210"/>
      <c r="L39" s="210"/>
      <c r="M39" s="210"/>
      <c r="N39" s="210"/>
      <c r="O39" s="210"/>
      <c r="P39" s="204" t="s">
        <v>52</v>
      </c>
      <c r="Q39" s="214" t="s">
        <v>4114</v>
      </c>
    </row>
    <row r="40" spans="1:17" ht="19.5" customHeight="1">
      <c r="A40" s="209">
        <v>4586</v>
      </c>
      <c r="B40" s="209" t="str">
        <f>VLOOKUP(A40,門市主檔!A:B,2,FALSE)</f>
        <v>三重三文店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 t="shared" si="4"/>
        <v>未保養</v>
      </c>
      <c r="G40" s="209" t="str">
        <f>IF(AND(VLOOKUP(A40,門市主檔!A:Y,25,FALSE)="STAR", VLOOKUP(A40,門市主檔!A:N,14,FALSE)=""), "未更換", IF(VLOOKUP(A40,門市主檔!A:Y,25,FALSE)&lt;&gt;"STAR", "無專案", "已更換"))</f>
        <v>無專案</v>
      </c>
      <c r="H40" s="287">
        <f>VLOOKUP(A40,門市主檔!A:U,21,FALSE)</f>
        <v>0</v>
      </c>
      <c r="I40" s="209" t="str">
        <f>VLOOKUP(A40,'0919門市清單主檔'!B:V,21,FALSE)</f>
        <v>三重區</v>
      </c>
      <c r="J40" s="217">
        <v>45667.591666666667</v>
      </c>
      <c r="K40" s="210"/>
      <c r="L40" s="210"/>
      <c r="M40" s="210"/>
      <c r="N40" s="210"/>
      <c r="O40" s="210"/>
      <c r="P40" s="204" t="s">
        <v>52</v>
      </c>
      <c r="Q40" s="214" t="s">
        <v>4114</v>
      </c>
    </row>
    <row r="41" spans="1:17" ht="19.5" customHeight="1">
      <c r="A41" s="209" t="s">
        <v>38</v>
      </c>
      <c r="B41" s="209" t="str">
        <f>VLOOKUP(A41,門市主檔!A:B,2,FALSE)</f>
        <v>三重大有店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 t="shared" si="4"/>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三重區</v>
      </c>
      <c r="J41" s="217">
        <v>45664.631944444445</v>
      </c>
      <c r="K41" s="210"/>
      <c r="L41" s="210"/>
      <c r="M41" s="210"/>
      <c r="N41" s="210"/>
      <c r="O41" s="210"/>
      <c r="P41" s="204" t="s">
        <v>52</v>
      </c>
      <c r="Q41" s="214" t="s">
        <v>4114</v>
      </c>
    </row>
    <row r="42" spans="1:17" ht="19.5" customHeight="1">
      <c r="A42" s="209">
        <v>4968</v>
      </c>
      <c r="B42" s="209" t="str">
        <f>VLOOKUP(A42,門市主檔!A:B,2,FALSE)</f>
        <v>三重太璞宮</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 t="shared" si="4"/>
        <v>未保養</v>
      </c>
      <c r="G42" s="209" t="str">
        <f>IF(AND(VLOOKUP(A42,門市主檔!A:Y,25,FALSE)="STAR", VLOOKUP(A42,門市主檔!A:N,14,FALSE)=""), "未更換", IF(VLOOKUP(A42,門市主檔!A:Y,25,FALSE)&lt;&gt;"STAR", "無專案", "已更換"))</f>
        <v>未更換</v>
      </c>
      <c r="H42" s="287">
        <f>VLOOKUP(A42,門市主檔!A:U,21,FALSE)</f>
        <v>1</v>
      </c>
      <c r="I42" s="209" t="str">
        <f>VLOOKUP(A42,'0919門市清單主檔'!B:V,21,FALSE)</f>
        <v>三重區</v>
      </c>
      <c r="J42" s="217">
        <v>45664.662499999999</v>
      </c>
      <c r="K42" s="210"/>
      <c r="L42" s="210"/>
      <c r="M42" s="210"/>
      <c r="N42" s="210"/>
      <c r="O42" s="210"/>
      <c r="P42" s="204" t="s">
        <v>52</v>
      </c>
      <c r="Q42" s="214" t="s">
        <v>4114</v>
      </c>
    </row>
    <row r="43" spans="1:17" ht="19.5" customHeight="1">
      <c r="A43" s="209" t="s">
        <v>18</v>
      </c>
      <c r="B43" s="209" t="str">
        <f>VLOOKUP(A43,門市主檔!A:B,2,FALSE)</f>
        <v>三重溪尾店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 t="shared" si="4"/>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三重區</v>
      </c>
      <c r="J43" s="217">
        <v>45691.513888888891</v>
      </c>
      <c r="K43" s="210"/>
      <c r="L43" s="210"/>
      <c r="M43" s="210"/>
      <c r="N43" s="210"/>
      <c r="O43" s="210"/>
      <c r="P43" s="204" t="s">
        <v>52</v>
      </c>
      <c r="Q43" s="214" t="s">
        <v>4114</v>
      </c>
    </row>
    <row r="44" spans="1:17" ht="19.5" customHeight="1">
      <c r="A44" s="209">
        <v>4977</v>
      </c>
      <c r="B44" s="209" t="str">
        <f>VLOOKUP(A44,門市主檔!A:B,2,FALSE)</f>
        <v>三重初戀店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 t="shared" si="4"/>
        <v>未保養</v>
      </c>
      <c r="G44" s="209" t="str">
        <f>IF(AND(VLOOKUP(A44,門市主檔!A:Y,25,FALSE)="STAR", VLOOKUP(A44,門市主檔!A:N,14,FALSE)=""), "未更換", IF(VLOOKUP(A44,門市主檔!A:Y,25,FALSE)&lt;&gt;"STAR", "無專案", "已更換"))</f>
        <v>已更換</v>
      </c>
      <c r="H44" s="287">
        <f>VLOOKUP(A44,門市主檔!A:U,21,FALSE)</f>
        <v>2</v>
      </c>
      <c r="I44" s="209" t="str">
        <f>VLOOKUP(A44,'0919門市清單主檔'!B:V,21,FALSE)</f>
        <v>三重區</v>
      </c>
      <c r="J44" s="217">
        <v>45691.67083333333</v>
      </c>
      <c r="K44" s="210"/>
      <c r="L44" s="210"/>
      <c r="M44" s="210"/>
      <c r="N44" s="210"/>
      <c r="O44" s="210"/>
      <c r="P44" s="204" t="s">
        <v>52</v>
      </c>
      <c r="Q44" s="214" t="s">
        <v>4114</v>
      </c>
    </row>
    <row r="45" spans="1:17" ht="19.5" customHeight="1">
      <c r="A45" s="209">
        <v>3359</v>
      </c>
      <c r="B45" s="209" t="str">
        <f>VLOOKUP(A45,門市主檔!A:B,2,FALSE)</f>
        <v>三重金陵店</v>
      </c>
      <c r="C45" s="303" t="str">
        <f>IF(COUNTIFS(IM!$F:$F,A45,IM!$AD:$AD,"O",IM!$X:$X,"&gt;="&amp;$R$1, IM!$X:$X,"&lt;="&amp;$S$1)&gt;0,"V","")</f>
        <v>V</v>
      </c>
      <c r="D45" s="303" t="str">
        <f>IF(AND(C45&lt;&gt;"V", COUNTIFS(IM!$F:$F,A45, IM!$AD:$AD, "O", IM!$X:$X, "&gt;="&amp;$R$1, IM!$X:$X, "&lt;="&amp;$S$1)&gt;0), "V", "")</f>
        <v/>
      </c>
      <c r="E45" s="303" t="str">
        <f>IF(AND(C45&lt;&gt;"V",D45&lt;&gt;"V", COUNTIFS(IM!$F:$F, A45, IM!$AD:$AD, "O", IM!$X:$X, "&gt;="&amp;$R$1, IM!$X:$X, "&lt;="&amp;$S$1)&gt;0), "V", "")</f>
        <v/>
      </c>
      <c r="F45" s="209" t="str">
        <f t="shared" si="4"/>
        <v/>
      </c>
      <c r="G45" s="209" t="str">
        <f>IF(AND(VLOOKUP(A45,門市主檔!A:Y,25,FALSE)="STAR", VLOOKUP(A45,門市主檔!A:N,14,FALSE)=""), "未更換", IF(VLOOKUP(A45,門市主檔!A:Y,25,FALSE)&lt;&gt;"STAR", "無專案", "已更換"))</f>
        <v>已更換</v>
      </c>
      <c r="H45" s="287">
        <f>VLOOKUP(A45,門市主檔!A:U,21,FALSE)</f>
        <v>2</v>
      </c>
      <c r="I45" s="209" t="str">
        <f>VLOOKUP(A45,'0919門市清單主檔'!B:V,21,FALSE)</f>
        <v>三重區</v>
      </c>
      <c r="J45" s="217">
        <v>45691.614583333336</v>
      </c>
      <c r="K45" s="210"/>
      <c r="L45" s="210"/>
      <c r="M45" s="210"/>
      <c r="N45" s="210"/>
      <c r="O45" s="210"/>
      <c r="P45" s="204"/>
      <c r="Q45" s="214" t="s">
        <v>4114</v>
      </c>
    </row>
    <row r="46" spans="1:17" ht="19.5" customHeight="1">
      <c r="A46" s="209" t="s">
        <v>25</v>
      </c>
      <c r="B46" s="209" t="str">
        <f>VLOOKUP(A46,門市主檔!A:B,2,FALSE)</f>
        <v>三重興德店</v>
      </c>
      <c r="C46" s="303" t="str">
        <f>IF(COUNTIFS(IM!$F:$F,A46,IM!$AD:$AD,"O",IM!$X:$X,"&gt;="&amp;$R$1, IM!$X:$X,"&lt;="&amp;$S$1)&gt;0,"V","")</f>
        <v>V</v>
      </c>
      <c r="D46" s="303" t="str">
        <f>IF(AND(C46&lt;&gt;"V", COUNTIFS(IM!$F:$F,A46, IM!$AD:$AD, "O", IM!$X:$X, "&gt;="&amp;$R$1, IM!$X:$X, "&lt;="&amp;$S$1)&gt;0), "V", "")</f>
        <v/>
      </c>
      <c r="E46" s="303" t="str">
        <f>IF(AND(C46&lt;&gt;"V",D46&lt;&gt;"V", COUNTIFS(IM!$F:$F, A46, IM!$AD:$AD, "O", IM!$X:$X, "&gt;="&amp;$R$1, IM!$X:$X, "&lt;="&amp;$S$1)&gt;0), "V", "")</f>
        <v/>
      </c>
      <c r="F46" s="209" t="str">
        <f t="shared" si="4"/>
        <v/>
      </c>
      <c r="G46" s="209" t="str">
        <f>IF(AND(VLOOKUP(A46,門市主檔!A:Y,25,FALSE)="STAR", VLOOKUP(A46,門市主檔!A:N,14,FALSE)=""), "未更換", IF(VLOOKUP(A46,門市主檔!A:Y,25,FALSE)&lt;&gt;"STAR", "無專案", "已更換"))</f>
        <v>已更換</v>
      </c>
      <c r="H46" s="287">
        <f>VLOOKUP(A46,門市主檔!A:U,21,FALSE)</f>
        <v>2</v>
      </c>
      <c r="I46" s="209" t="str">
        <f>VLOOKUP(A46,'0919門市清單主檔'!B:V,21,FALSE)</f>
        <v>三重區</v>
      </c>
      <c r="J46" s="217">
        <v>45691.65</v>
      </c>
      <c r="K46" s="210"/>
      <c r="L46" s="210"/>
      <c r="M46" s="210"/>
      <c r="N46" s="210"/>
      <c r="O46" s="210"/>
      <c r="P46" s="204"/>
      <c r="Q46" s="214" t="s">
        <v>4114</v>
      </c>
    </row>
    <row r="47" spans="1:17" ht="19.5" customHeight="1">
      <c r="A47" s="209">
        <v>4652</v>
      </c>
      <c r="B47" s="209" t="str">
        <f>VLOOKUP(A47,門市主檔!A:B,2,FALSE)</f>
        <v>三重天富店</v>
      </c>
      <c r="C47" s="303" t="str">
        <f>IF(COUNTIFS(IM!$F:$F,A47,IM!$AD:$AD,"O",IM!$X:$X,"&gt;="&amp;$R$1, IM!$X:$X,"&lt;="&amp;$S$1)&gt;0,"V","")</f>
        <v/>
      </c>
      <c r="D47" s="303" t="str">
        <f>IF(AND(C47&lt;&gt;"V", COUNTIFS(IM!$F:$F,A47, IM!$AD:$AD, "O", IM!$X:$X, "&gt;="&amp;$R$1, IM!$X:$X, "&lt;="&amp;$S$1)&gt;0), "V", "")</f>
        <v/>
      </c>
      <c r="E47" s="303" t="str">
        <f>IF(AND(C47&lt;&gt;"V",D47&lt;&gt;"V", COUNTIFS(IM!$F:$F, A47, IM!$AD:$AD, "O", IM!$X:$X, "&gt;="&amp;$R$1, IM!$X:$X, "&lt;="&amp;$S$1)&gt;0), "V", "")</f>
        <v/>
      </c>
      <c r="F47" s="209" t="str">
        <f t="shared" si="4"/>
        <v>未保養</v>
      </c>
      <c r="G47" s="209" t="str">
        <f>IF(AND(VLOOKUP(A47,門市主檔!A:Y,25,FALSE)="STAR", VLOOKUP(A47,門市主檔!A:N,14,FALSE)=""), "未更換", IF(VLOOKUP(A47,門市主檔!A:Y,25,FALSE)&lt;&gt;"STAR", "無專案", "已更換"))</f>
        <v>無專案</v>
      </c>
      <c r="H47" s="287">
        <f>VLOOKUP(A47,門市主檔!A:U,21,FALSE)</f>
        <v>0</v>
      </c>
      <c r="I47" s="209" t="str">
        <f>VLOOKUP(A47,'0919門市清單主檔'!B:V,21,FALSE)</f>
        <v>三重區</v>
      </c>
      <c r="J47" s="217">
        <v>45673.659722222219</v>
      </c>
      <c r="K47" s="210"/>
      <c r="L47" s="210"/>
      <c r="M47" s="210"/>
      <c r="N47" s="210"/>
      <c r="O47" s="210"/>
      <c r="P47" s="204" t="s">
        <v>52</v>
      </c>
      <c r="Q47" s="214" t="s">
        <v>4114</v>
      </c>
    </row>
    <row r="48" spans="1:17" ht="19.5" customHeight="1">
      <c r="A48" s="209">
        <v>4101</v>
      </c>
      <c r="B48" s="209" t="str">
        <f>VLOOKUP(A48,門市主檔!A:B,2,FALSE)</f>
        <v>三重溪華店</v>
      </c>
      <c r="C48" s="303" t="str">
        <f>IF(COUNTIFS(IM!$F:$F,A48,IM!$AD:$AD,"O",IM!$X:$X,"&gt;="&amp;$R$1, IM!$X:$X,"&lt;="&amp;$S$1)&gt;0,"V","")</f>
        <v/>
      </c>
      <c r="D48" s="303" t="str">
        <f>IF(AND(C48&lt;&gt;"V", COUNTIFS(IM!$F:$F,A48, IM!$AD:$AD, "O", IM!$X:$X, "&gt;="&amp;$R$1, IM!$X:$X, "&lt;="&amp;$S$1)&gt;0), "V", "")</f>
        <v/>
      </c>
      <c r="E48" s="303" t="str">
        <f>IF(AND(C48&lt;&gt;"V",D48&lt;&gt;"V", COUNTIFS(IM!$F:$F, A48, IM!$AD:$AD, "O", IM!$X:$X, "&gt;="&amp;$R$1, IM!$X:$X, "&lt;="&amp;$S$1)&gt;0), "V", "")</f>
        <v/>
      </c>
      <c r="F48" s="209" t="str">
        <f t="shared" si="4"/>
        <v>未保養</v>
      </c>
      <c r="G48" s="209" t="str">
        <f>IF(AND(VLOOKUP(A48,門市主檔!A:Y,25,FALSE)="STAR", VLOOKUP(A48,門市主檔!A:N,14,FALSE)=""), "未更換", IF(VLOOKUP(A48,門市主檔!A:Y,25,FALSE)&lt;&gt;"STAR", "無專案", "已更換"))</f>
        <v>無專案</v>
      </c>
      <c r="H48" s="287">
        <f>VLOOKUP(A48,門市主檔!A:U,21,FALSE)</f>
        <v>0</v>
      </c>
      <c r="I48" s="209" t="str">
        <f>VLOOKUP(A48,'0919門市清單主檔'!B:V,21,FALSE)</f>
        <v>三重區</v>
      </c>
      <c r="J48" s="217">
        <v>45691.489583333336</v>
      </c>
      <c r="K48" s="210"/>
      <c r="L48" s="210"/>
      <c r="M48" s="210"/>
      <c r="N48" s="210"/>
      <c r="O48" s="210"/>
      <c r="P48" s="204" t="s">
        <v>52</v>
      </c>
      <c r="Q48" s="214" t="s">
        <v>4114</v>
      </c>
    </row>
    <row r="49" spans="1:17" ht="19.5" customHeight="1">
      <c r="A49" s="209">
        <v>2399</v>
      </c>
      <c r="B49" s="209" t="str">
        <f>VLOOKUP(A49,門市主檔!A:B,2,FALSE)</f>
        <v>三重三陽店</v>
      </c>
      <c r="C49" s="303" t="str">
        <f>IF(COUNTIFS(IM!$F:$F,A49,IM!$AD:$AD,"O",IM!$X:$X,"&gt;="&amp;$R$1, IM!$X:$X,"&lt;="&amp;$S$1)&gt;0,"V","")</f>
        <v/>
      </c>
      <c r="D49" s="303" t="str">
        <f>IF(AND(C49&lt;&gt;"V", COUNTIFS(IM!$F:$F,A49, IM!$AD:$AD, "O", IM!$X:$X, "&gt;="&amp;$R$1, IM!$X:$X, "&lt;="&amp;$S$1)&gt;0), "V", "")</f>
        <v/>
      </c>
      <c r="E49" s="303" t="str">
        <f>IF(AND(C49&lt;&gt;"V",D49&lt;&gt;"V", COUNTIFS(IM!$F:$F, A49, IM!$AD:$AD, "O", IM!$X:$X, "&gt;="&amp;$R$1, IM!$X:$X, "&lt;="&amp;$S$1)&gt;0), "V", "")</f>
        <v/>
      </c>
      <c r="F49" s="209" t="str">
        <f t="shared" si="4"/>
        <v>未保養</v>
      </c>
      <c r="G49" s="209" t="str">
        <f>IF(AND(VLOOKUP(A49,門市主檔!A:Y,25,FALSE)="STAR", VLOOKUP(A49,門市主檔!A:N,14,FALSE)=""), "未更換", IF(VLOOKUP(A49,門市主檔!A:Y,25,FALSE)&lt;&gt;"STAR", "無專案", "已更換"))</f>
        <v>無專案</v>
      </c>
      <c r="H49" s="287">
        <f>VLOOKUP(A49,門市主檔!A:U,21,FALSE)</f>
        <v>0</v>
      </c>
      <c r="I49" s="209" t="str">
        <f>VLOOKUP(A49,'0919門市清單主檔'!B:V,21,FALSE)</f>
        <v>三重區</v>
      </c>
      <c r="J49" s="217">
        <v>45673.697916666664</v>
      </c>
      <c r="K49" s="210"/>
      <c r="L49" s="210"/>
      <c r="M49" s="210"/>
      <c r="N49" s="210"/>
      <c r="O49" s="210"/>
      <c r="P49" s="204"/>
      <c r="Q49" s="214" t="s">
        <v>4114</v>
      </c>
    </row>
    <row r="50" spans="1:17" ht="19.5" customHeight="1">
      <c r="A50" s="209" t="s">
        <v>23</v>
      </c>
      <c r="B50" s="209" t="str">
        <f>VLOOKUP(A50,門市主檔!A:B,2,FALSE)</f>
        <v>三重中興北二</v>
      </c>
      <c r="C50" s="303" t="str">
        <f>IF(COUNTIFS(IM!$F:$F,A50,IM!$AD:$AD,"O",IM!$X:$X,"&gt;="&amp;$R$1, IM!$X:$X,"&lt;="&amp;$S$1)&gt;0,"V","")</f>
        <v/>
      </c>
      <c r="D50" s="303" t="str">
        <f>IF(AND(C50&lt;&gt;"V", COUNTIFS(IM!$F:$F,A50, IM!$AD:$AD, "O", IM!$X:$X, "&gt;="&amp;$R$1, IM!$X:$X, "&lt;="&amp;$S$1)&gt;0), "V", "")</f>
        <v/>
      </c>
      <c r="E50" s="303" t="str">
        <f>IF(AND(C50&lt;&gt;"V",D50&lt;&gt;"V", COUNTIFS(IM!$F:$F, A50, IM!$AD:$AD, "O", IM!$X:$X, "&gt;="&amp;$R$1, IM!$X:$X, "&lt;="&amp;$S$1)&gt;0), "V", "")</f>
        <v/>
      </c>
      <c r="F50" s="209" t="str">
        <f t="shared" si="4"/>
        <v>未保養</v>
      </c>
      <c r="G50" s="209" t="str">
        <f>IF(AND(VLOOKUP(A50,門市主檔!A:Y,25,FALSE)="STAR", VLOOKUP(A50,門市主檔!A:N,14,FALSE)=""), "未更換", IF(VLOOKUP(A50,門市主檔!A:Y,25,FALSE)&lt;&gt;"STAR", "無專案", "已更換"))</f>
        <v>未更換</v>
      </c>
      <c r="H50" s="287">
        <f>VLOOKUP(A50,門市主檔!A:U,21,FALSE)</f>
        <v>2</v>
      </c>
      <c r="I50" s="209" t="str">
        <f>VLOOKUP(A50,'0919門市清單主檔'!B:V,21,FALSE)</f>
        <v>三重區</v>
      </c>
      <c r="J50" s="217">
        <v>45695.630555555559</v>
      </c>
      <c r="K50" s="210"/>
      <c r="L50" s="210"/>
      <c r="M50" s="210"/>
      <c r="N50" s="210"/>
      <c r="O50" s="210"/>
      <c r="P50" s="204"/>
      <c r="Q50" s="214" t="s">
        <v>4114</v>
      </c>
    </row>
    <row r="51" spans="1:17" ht="19.5" customHeight="1">
      <c r="A51" s="209">
        <v>4698</v>
      </c>
      <c r="B51" s="209" t="str">
        <f>VLOOKUP(A51,門市主檔!A:B,2,FALSE)</f>
        <v>三重頂崁店</v>
      </c>
      <c r="C51" s="303" t="str">
        <f>IF(COUNTIFS(IM!$F:$F,A51,IM!$AD:$AD,"O",IM!$X:$X,"&gt;="&amp;$R$1, IM!$X:$X,"&lt;="&amp;$S$1)&gt;0,"V","")</f>
        <v/>
      </c>
      <c r="D51" s="303" t="str">
        <f>IF(AND(C51&lt;&gt;"V", COUNTIFS(IM!$F:$F,A51, IM!$AD:$AD, "O", IM!$X:$X, "&gt;="&amp;$R$1, IM!$X:$X, "&lt;="&amp;$S$1)&gt;0), "V", "")</f>
        <v/>
      </c>
      <c r="E51" s="303" t="str">
        <f>IF(AND(C51&lt;&gt;"V",D51&lt;&gt;"V", COUNTIFS(IM!$F:$F, A51, IM!$AD:$AD, "O", IM!$X:$X, "&gt;="&amp;$R$1, IM!$X:$X, "&lt;="&amp;$S$1)&gt;0), "V", "")</f>
        <v/>
      </c>
      <c r="F51" s="209" t="str">
        <f t="shared" si="4"/>
        <v>未保養</v>
      </c>
      <c r="G51" s="209" t="str">
        <f>IF(AND(VLOOKUP(A51,門市主檔!A:Y,25,FALSE)="STAR", VLOOKUP(A51,門市主檔!A:N,14,FALSE)=""), "未更換", IF(VLOOKUP(A51,門市主檔!A:Y,25,FALSE)&lt;&gt;"STAR", "無專案", "已更換"))</f>
        <v>未更換</v>
      </c>
      <c r="H51" s="287">
        <f>VLOOKUP(A51,門市主檔!A:U,21,FALSE)</f>
        <v>2</v>
      </c>
      <c r="I51" s="209" t="str">
        <f>VLOOKUP(A51,'0919門市清單主檔'!B:V,21,FALSE)</f>
        <v>三重區</v>
      </c>
      <c r="J51" s="217">
        <v>45695.669444444444</v>
      </c>
      <c r="K51" s="210"/>
      <c r="L51" s="210"/>
      <c r="M51" s="210"/>
      <c r="N51" s="210"/>
      <c r="O51" s="210"/>
      <c r="P51" s="204" t="s">
        <v>52</v>
      </c>
      <c r="Q51" s="214" t="s">
        <v>4114</v>
      </c>
    </row>
    <row r="52" spans="1:17" ht="19.5" customHeight="1">
      <c r="A52" s="209" t="s">
        <v>22</v>
      </c>
      <c r="B52" s="209" t="str">
        <f>VLOOKUP(A52,門市主檔!A:B,2,FALSE)</f>
        <v>三重中興北</v>
      </c>
      <c r="C52" s="303" t="str">
        <f>IF(COUNTIFS(IM!$F:$F,A52,IM!$AD:$AD,"O",IM!$X:$X,"&gt;="&amp;$R$1, IM!$X:$X,"&lt;="&amp;$S$1)&gt;0,"V","")</f>
        <v/>
      </c>
      <c r="D52" s="303" t="str">
        <f>IF(AND(C52&lt;&gt;"V", COUNTIFS(IM!$F:$F,A52, IM!$AD:$AD, "O", IM!$X:$X, "&gt;="&amp;$R$1, IM!$X:$X, "&lt;="&amp;$S$1)&gt;0), "V", "")</f>
        <v/>
      </c>
      <c r="E52" s="303" t="str">
        <f>IF(AND(C52&lt;&gt;"V",D52&lt;&gt;"V", COUNTIFS(IM!$F:$F, A52, IM!$AD:$AD, "O", IM!$X:$X, "&gt;="&amp;$R$1, IM!$X:$X, "&lt;="&amp;$S$1)&gt;0), "V", "")</f>
        <v/>
      </c>
      <c r="F52" s="209" t="str">
        <f t="shared" si="4"/>
        <v>未保養</v>
      </c>
      <c r="G52" s="209" t="str">
        <f>IF(AND(VLOOKUP(A52,門市主檔!A:Y,25,FALSE)="STAR", VLOOKUP(A52,門市主檔!A:N,14,FALSE)=""), "未更換", IF(VLOOKUP(A52,門市主檔!A:Y,25,FALSE)&lt;&gt;"STAR", "無專案", "已更換"))</f>
        <v>未更換</v>
      </c>
      <c r="H52" s="287">
        <f>VLOOKUP(A52,門市主檔!A:U,21,FALSE)</f>
        <v>1</v>
      </c>
      <c r="I52" s="209" t="str">
        <f>VLOOKUP(A52,'0919門市清單主檔'!B:V,21,FALSE)</f>
        <v>三重區</v>
      </c>
      <c r="J52" s="217">
        <v>45695.611805555556</v>
      </c>
      <c r="K52" s="210"/>
      <c r="L52" s="210"/>
      <c r="M52" s="210"/>
      <c r="N52" s="210"/>
      <c r="O52" s="210"/>
      <c r="P52" s="204" t="s">
        <v>52</v>
      </c>
      <c r="Q52" s="214" t="s">
        <v>4114</v>
      </c>
    </row>
    <row r="53" spans="1:17" ht="19.5" customHeight="1">
      <c r="A53" s="209">
        <v>2267</v>
      </c>
      <c r="B53" s="209" t="str">
        <f>VLOOKUP(A53,門市主檔!A:B,2,FALSE)</f>
        <v>北縣金陽店</v>
      </c>
      <c r="C53" s="303" t="str">
        <f>IF(COUNTIFS(IM!$F:$F,A53,IM!$AD:$AD,"O",IM!$X:$X,"&gt;="&amp;$R$1, IM!$X:$X,"&lt;="&amp;$S$1)&gt;0,"V","")</f>
        <v>V</v>
      </c>
      <c r="D53" s="303" t="str">
        <f>IF(AND(C53&lt;&gt;"V", COUNTIFS(IM!$F:$F,A53, IM!$AD:$AD, "O", IM!$X:$X, "&gt;="&amp;$R$1, IM!$X:$X, "&lt;="&amp;$S$1)&gt;0), "V", "")</f>
        <v/>
      </c>
      <c r="E53" s="303" t="str">
        <f>IF(AND(C53&lt;&gt;"V",D53&lt;&gt;"V", COUNTIFS(IM!$F:$F, A53, IM!$AD:$AD, "O", IM!$X:$X, "&gt;="&amp;$R$1, IM!$X:$X, "&lt;="&amp;$S$1)&gt;0), "V", "")</f>
        <v/>
      </c>
      <c r="F53" s="209" t="str">
        <f t="shared" si="4"/>
        <v/>
      </c>
      <c r="G53" s="209" t="str">
        <f>IF(AND(VLOOKUP(A53,門市主檔!A:Y,25,FALSE)="STAR", VLOOKUP(A53,門市主檔!A:N,14,FALSE)=""), "未更換", IF(VLOOKUP(A53,門市主檔!A:Y,25,FALSE)&lt;&gt;"STAR", "無專案", "已更換"))</f>
        <v>已更換</v>
      </c>
      <c r="H53" s="287">
        <f>VLOOKUP(A53,門市主檔!A:U,21,FALSE)</f>
        <v>2</v>
      </c>
      <c r="I53" s="209" t="str">
        <f>VLOOKUP(A53,'0919門市清單主檔'!B:V,21,FALSE)</f>
        <v>金山區</v>
      </c>
      <c r="J53" s="217">
        <v>45679.558333333334</v>
      </c>
      <c r="K53" s="210"/>
      <c r="L53" s="210"/>
      <c r="M53" s="210"/>
      <c r="N53" s="210"/>
      <c r="O53" s="210"/>
      <c r="P53" s="204" t="s">
        <v>52</v>
      </c>
      <c r="Q53" s="214" t="s">
        <v>4114</v>
      </c>
    </row>
    <row r="54" spans="1:17" ht="19.5" customHeight="1">
      <c r="A54" s="209">
        <v>4906</v>
      </c>
      <c r="B54" s="209" t="str">
        <f>VLOOKUP(A54,門市主檔!A:B,2,FALSE)</f>
        <v>金山銀山店</v>
      </c>
      <c r="C54" s="303" t="str">
        <f>IF(COUNTIFS(IM!$F:$F,A54,IM!$AD:$AD,"O",IM!$X:$X,"&gt;="&amp;$R$1, IM!$X:$X,"&lt;="&amp;$S$1)&gt;0,"V","")</f>
        <v/>
      </c>
      <c r="D54" s="303" t="str">
        <f>IF(AND(C54&lt;&gt;"V", COUNTIFS(IM!$F:$F,A54, IM!$AD:$AD, "O", IM!$X:$X, "&gt;="&amp;$R$1, IM!$X:$X, "&lt;="&amp;$S$1)&gt;0), "V", "")</f>
        <v/>
      </c>
      <c r="E54" s="303" t="str">
        <f>IF(AND(C54&lt;&gt;"V",D54&lt;&gt;"V", COUNTIFS(IM!$F:$F, A54, IM!$AD:$AD, "O", IM!$X:$X, "&gt;="&amp;$R$1, IM!$X:$X, "&lt;="&amp;$S$1)&gt;0), "V", "")</f>
        <v/>
      </c>
      <c r="F54" s="209" t="str">
        <f t="shared" si="4"/>
        <v>未保養</v>
      </c>
      <c r="G54" s="209" t="str">
        <f>IF(AND(VLOOKUP(A54,門市主檔!A:Y,25,FALSE)="STAR", VLOOKUP(A54,門市主檔!A:N,14,FALSE)=""), "未更換", IF(VLOOKUP(A54,門市主檔!A:Y,25,FALSE)&lt;&gt;"STAR", "無專案", "已更換"))</f>
        <v>無專案</v>
      </c>
      <c r="H54" s="287">
        <f>VLOOKUP(A54,門市主檔!A:U,21,FALSE)</f>
        <v>0</v>
      </c>
      <c r="I54" s="209" t="str">
        <f>VLOOKUP(A54,'0919門市清單主檔'!B:V,21,FALSE)</f>
        <v>金山區</v>
      </c>
      <c r="J54" s="217">
        <v>45679.57708333333</v>
      </c>
      <c r="K54" s="210"/>
      <c r="L54" s="210"/>
      <c r="M54" s="210"/>
      <c r="N54" s="210"/>
      <c r="O54" s="210"/>
      <c r="P54" s="204"/>
      <c r="Q54" s="214" t="s">
        <v>4114</v>
      </c>
    </row>
    <row r="55" spans="1:17" ht="19.5" customHeight="1">
      <c r="A55" s="209">
        <v>2897</v>
      </c>
      <c r="B55" s="209" t="str">
        <f>VLOOKUP(A55,門市主檔!A:B,2,FALSE)</f>
        <v>淡水台電宿舍</v>
      </c>
      <c r="C55" s="303" t="str">
        <f>IF(COUNTIFS(IM!$F:$F,A55,IM!$AD:$AD,"O",IM!$X:$X,"&gt;="&amp;$R$1, IM!$X:$X,"&lt;="&amp;$S$1)&gt;0,"V","")</f>
        <v/>
      </c>
      <c r="D55" s="303" t="str">
        <f>IF(AND(C55&lt;&gt;"V", COUNTIFS(IM!$F:$F,A55, IM!$AD:$AD, "O", IM!$X:$X, "&gt;="&amp;$R$1, IM!$X:$X, "&lt;="&amp;$S$1)&gt;0), "V", "")</f>
        <v/>
      </c>
      <c r="E55" s="303" t="str">
        <f>IF(AND(C55&lt;&gt;"V",D55&lt;&gt;"V", COUNTIFS(IM!$F:$F, A55, IM!$AD:$AD, "O", IM!$X:$X, "&gt;="&amp;$R$1, IM!$X:$X, "&lt;="&amp;$S$1)&gt;0), "V", "")</f>
        <v/>
      </c>
      <c r="F55" s="209" t="str">
        <f t="shared" si="4"/>
        <v>未保養</v>
      </c>
      <c r="G55" s="209" t="str">
        <f>IF(AND(VLOOKUP(A55,門市主檔!A:Y,25,FALSE)="STAR", VLOOKUP(A55,門市主檔!A:N,14,FALSE)=""), "未更換", IF(VLOOKUP(A55,門市主檔!A:Y,25,FALSE)&lt;&gt;"STAR", "無專案", "已更換"))</f>
        <v>未更換</v>
      </c>
      <c r="H55" s="287">
        <f>VLOOKUP(A55,門市主檔!A:U,21,FALSE)</f>
        <v>2</v>
      </c>
      <c r="I55" s="209" t="str">
        <f>VLOOKUP(A55,'0919門市清單主檔'!B:V,21,FALSE)</f>
        <v>淡水區</v>
      </c>
      <c r="J55" s="217">
        <v>45730.512499999997</v>
      </c>
      <c r="K55" s="210"/>
      <c r="L55" s="210"/>
      <c r="M55" s="210"/>
      <c r="N55" s="210"/>
      <c r="O55" s="210"/>
      <c r="P55" s="204"/>
      <c r="Q55" s="214" t="s">
        <v>4114</v>
      </c>
    </row>
    <row r="56" spans="1:17" ht="19.5" customHeight="1">
      <c r="A56" s="209">
        <v>4298</v>
      </c>
      <c r="B56" s="209" t="str">
        <f>VLOOKUP(A56,門市主檔!A:B,2,FALSE)</f>
        <v>淡水後洲店</v>
      </c>
      <c r="C56" s="303" t="str">
        <f>IF(COUNTIFS(IM!$F:$F,A56,IM!$AD:$AD,"O",IM!$X:$X,"&gt;="&amp;$R$1, IM!$X:$X,"&lt;="&amp;$S$1)&gt;0,"V","")</f>
        <v/>
      </c>
      <c r="D56" s="303" t="str">
        <f>IF(AND(C56&lt;&gt;"V", COUNTIFS(IM!$F:$F,A56, IM!$AD:$AD, "O", IM!$X:$X, "&gt;="&amp;$R$1, IM!$X:$X, "&lt;="&amp;$S$1)&gt;0), "V", "")</f>
        <v/>
      </c>
      <c r="E56" s="303" t="str">
        <f>IF(AND(C56&lt;&gt;"V",D56&lt;&gt;"V", COUNTIFS(IM!$F:$F, A56, IM!$AD:$AD, "O", IM!$X:$X, "&gt;="&amp;$R$1, IM!$X:$X, "&lt;="&amp;$S$1)&gt;0), "V", "")</f>
        <v/>
      </c>
      <c r="F56" s="209" t="str">
        <f t="shared" si="4"/>
        <v>未保養</v>
      </c>
      <c r="G56" s="209" t="str">
        <f>IF(AND(VLOOKUP(A56,門市主檔!A:Y,25,FALSE)="STAR", VLOOKUP(A56,門市主檔!A:N,14,FALSE)=""), "未更換", IF(VLOOKUP(A56,門市主檔!A:Y,25,FALSE)&lt;&gt;"STAR", "無專案", "已更換"))</f>
        <v>未更換</v>
      </c>
      <c r="H56" s="287">
        <f>VLOOKUP(A56,門市主檔!A:U,21,FALSE)</f>
        <v>2</v>
      </c>
      <c r="I56" s="209" t="str">
        <f>VLOOKUP(A56,'0919門市清單主檔'!B:V,21,FALSE)</f>
        <v>淡水區</v>
      </c>
      <c r="J56" s="217">
        <v>45730.588888888888</v>
      </c>
      <c r="K56" s="210"/>
      <c r="L56" s="210"/>
      <c r="M56" s="210"/>
      <c r="N56" s="210"/>
      <c r="O56" s="210"/>
      <c r="P56" s="204"/>
      <c r="Q56" s="214" t="s">
        <v>4114</v>
      </c>
    </row>
    <row r="57" spans="1:17" ht="19.5" customHeight="1">
      <c r="A57" s="209">
        <v>4788</v>
      </c>
      <c r="B57" s="209" t="str">
        <f>VLOOKUP(A57,門市主檔!A:B,2,FALSE)</f>
        <v>淡水國家店</v>
      </c>
      <c r="C57" s="303" t="str">
        <f>IF(COUNTIFS(IM!$F:$F,A57,IM!$AD:$AD,"O",IM!$X:$X,"&gt;="&amp;$R$1, IM!$X:$X,"&lt;="&amp;$S$1)&gt;0,"V","")</f>
        <v/>
      </c>
      <c r="D57" s="303" t="str">
        <f>IF(AND(C57&lt;&gt;"V", COUNTIFS(IM!$F:$F,A57, IM!$AD:$AD, "O", IM!$X:$X, "&gt;="&amp;$R$1, IM!$X:$X, "&lt;="&amp;$S$1)&gt;0), "V", "")</f>
        <v/>
      </c>
      <c r="E57" s="303" t="str">
        <f>IF(AND(C57&lt;&gt;"V",D57&lt;&gt;"V", COUNTIFS(IM!$F:$F, A57, IM!$AD:$AD, "O", IM!$X:$X, "&gt;="&amp;$R$1, IM!$X:$X, "&lt;="&amp;$S$1)&gt;0), "V", "")</f>
        <v/>
      </c>
      <c r="F57" s="209" t="str">
        <f t="shared" si="4"/>
        <v>未保養</v>
      </c>
      <c r="G57" s="209" t="str">
        <f>IF(AND(VLOOKUP(A57,門市主檔!A:Y,25,FALSE)="STAR", VLOOKUP(A57,門市主檔!A:N,14,FALSE)=""), "未更換", IF(VLOOKUP(A57,門市主檔!A:Y,25,FALSE)&lt;&gt;"STAR", "無專案", "已更換"))</f>
        <v>未更換</v>
      </c>
      <c r="H57" s="287">
        <f>VLOOKUP(A57,門市主檔!A:U,21,FALSE)</f>
        <v>2</v>
      </c>
      <c r="I57" s="209" t="str">
        <f>VLOOKUP(A57,'0919門市清單主檔'!B:V,21,FALSE)</f>
        <v>淡水區</v>
      </c>
      <c r="J57" s="217">
        <v>45730.568055555559</v>
      </c>
      <c r="K57" s="210"/>
      <c r="L57" s="210"/>
      <c r="M57" s="210"/>
      <c r="N57" s="210"/>
      <c r="O57" s="210"/>
      <c r="P57" s="204"/>
      <c r="Q57" s="214" t="s">
        <v>4114</v>
      </c>
    </row>
    <row r="58" spans="1:17" ht="19.5" customHeight="1">
      <c r="A58" s="209">
        <v>5060</v>
      </c>
      <c r="B58" s="209" t="str">
        <f>VLOOKUP(A58,門市主檔!A:B,2,FALSE)</f>
        <v>淡水魚市店</v>
      </c>
      <c r="C58" s="303" t="str">
        <f>IF(COUNTIFS(IM!$F:$F,A58,IM!$AD:$AD,"O",IM!$X:$X,"&gt;="&amp;$R$1, IM!$X:$X,"&lt;="&amp;$S$1)&gt;0,"V","")</f>
        <v>V</v>
      </c>
      <c r="D58" s="303" t="str">
        <f>IF(AND(C58&lt;&gt;"V", COUNTIFS(IM!$F:$F,A58, IM!$AD:$AD, "O", IM!$X:$X, "&gt;="&amp;$R$1, IM!$X:$X, "&lt;="&amp;$S$1)&gt;0), "V", "")</f>
        <v/>
      </c>
      <c r="E58" s="303" t="str">
        <f>IF(AND(C58&lt;&gt;"V",D58&lt;&gt;"V", COUNTIFS(IM!$F:$F, A58, IM!$AD:$AD, "O", IM!$X:$X, "&gt;="&amp;$R$1, IM!$X:$X, "&lt;="&amp;$S$1)&gt;0), "V", "")</f>
        <v/>
      </c>
      <c r="F58" s="209" t="str">
        <f t="shared" si="4"/>
        <v/>
      </c>
      <c r="G58" s="209" t="str">
        <f>IF(AND(VLOOKUP(A58,門市主檔!A:Y,25,FALSE)="STAR", VLOOKUP(A58,門市主檔!A:N,14,FALSE)=""), "未更換", IF(VLOOKUP(A58,門市主檔!A:Y,25,FALSE)&lt;&gt;"STAR", "無專案", "已更換"))</f>
        <v>無專案</v>
      </c>
      <c r="H58" s="287">
        <f>VLOOKUP(A58,門市主檔!A:U,21,FALSE)</f>
        <v>0</v>
      </c>
      <c r="I58" s="209" t="str">
        <f>VLOOKUP(A58,'0919門市清單主檔'!B:V,21,FALSE)</f>
        <v>淡水區</v>
      </c>
      <c r="J58" s="217">
        <v>45730.652777777781</v>
      </c>
      <c r="K58" s="210"/>
      <c r="L58" s="210"/>
      <c r="M58" s="210"/>
      <c r="N58" s="210"/>
      <c r="O58" s="210"/>
      <c r="P58" s="204"/>
      <c r="Q58" s="214" t="s">
        <v>4114</v>
      </c>
    </row>
    <row r="59" spans="1:17" ht="19.5" customHeight="1">
      <c r="A59" s="209">
        <v>3751</v>
      </c>
      <c r="B59" s="209" t="str">
        <f>VLOOKUP(A59,門市主檔!A:B,2,FALSE)</f>
        <v>淡水真理大</v>
      </c>
      <c r="C59" s="303" t="str">
        <f>IF(COUNTIFS(IM!$F:$F,A59,IM!$AD:$AD,"O",IM!$X:$X,"&gt;="&amp;$R$1, IM!$X:$X,"&lt;="&amp;$S$1)&gt;0,"V","")</f>
        <v/>
      </c>
      <c r="D59" s="303" t="str">
        <f>IF(AND(C59&lt;&gt;"V", COUNTIFS(IM!$F:$F,A59, IM!$AD:$AD, "O", IM!$X:$X, "&gt;="&amp;$R$1, IM!$X:$X, "&lt;="&amp;$S$1)&gt;0), "V", "")</f>
        <v/>
      </c>
      <c r="E59" s="303" t="str">
        <f>IF(AND(C59&lt;&gt;"V",D59&lt;&gt;"V", COUNTIFS(IM!$F:$F, A59, IM!$AD:$AD, "O", IM!$X:$X, "&gt;="&amp;$R$1, IM!$X:$X, "&lt;="&amp;$S$1)&gt;0), "V", "")</f>
        <v/>
      </c>
      <c r="F59" s="209" t="str">
        <f t="shared" si="4"/>
        <v>未保養</v>
      </c>
      <c r="G59" s="209" t="str">
        <f>IF(AND(VLOOKUP(A59,門市主檔!A:Y,25,FALSE)="STAR", VLOOKUP(A59,門市主檔!A:N,14,FALSE)=""), "未更換", IF(VLOOKUP(A59,門市主檔!A:Y,25,FALSE)&lt;&gt;"STAR", "無專案", "已更換"))</f>
        <v>未更換</v>
      </c>
      <c r="H59" s="287">
        <f>VLOOKUP(A59,門市主檔!A:U,21,FALSE)</f>
        <v>2</v>
      </c>
      <c r="I59" s="209" t="str">
        <f>VLOOKUP(A59,'0919門市清單主檔'!B:V,21,FALSE)</f>
        <v>淡水區</v>
      </c>
      <c r="J59" s="217">
        <v>45723.651388888888</v>
      </c>
      <c r="K59" s="210"/>
      <c r="L59" s="210"/>
      <c r="M59" s="210"/>
      <c r="N59" s="210"/>
      <c r="O59" s="210"/>
      <c r="P59" s="204" t="s">
        <v>52</v>
      </c>
      <c r="Q59" s="214" t="s">
        <v>4114</v>
      </c>
    </row>
    <row r="60" spans="1:17" ht="19.5" customHeight="1">
      <c r="A60" s="209">
        <v>4093</v>
      </c>
      <c r="B60" s="209" t="str">
        <f>VLOOKUP(A60,門市主檔!A:B,2,FALSE)</f>
        <v>淡水新市一</v>
      </c>
      <c r="C60" s="303" t="str">
        <f>IF(COUNTIFS(IM!$F:$F,A60,IM!$AD:$AD,"O",IM!$X:$X,"&gt;="&amp;$R$1, IM!$X:$X,"&lt;="&amp;$S$1)&gt;0,"V","")</f>
        <v/>
      </c>
      <c r="D60" s="303" t="str">
        <f>IF(AND(C60&lt;&gt;"V", COUNTIFS(IM!$F:$F,A60, IM!$AD:$AD, "O", IM!$X:$X, "&gt;="&amp;$R$1, IM!$X:$X, "&lt;="&amp;$S$1)&gt;0), "V", "")</f>
        <v/>
      </c>
      <c r="E60" s="303" t="str">
        <f>IF(AND(C60&lt;&gt;"V",D60&lt;&gt;"V", COUNTIFS(IM!$F:$F, A60, IM!$AD:$AD, "O", IM!$X:$X, "&gt;="&amp;$R$1, IM!$X:$X, "&lt;="&amp;$S$1)&gt;0), "V", "")</f>
        <v/>
      </c>
      <c r="F60" s="209" t="str">
        <f t="shared" si="4"/>
        <v>未保養</v>
      </c>
      <c r="G60" s="209" t="str">
        <f>IF(AND(VLOOKUP(A60,門市主檔!A:Y,25,FALSE)="STAR", VLOOKUP(A60,門市主檔!A:N,14,FALSE)=""), "未更換", IF(VLOOKUP(A60,門市主檔!A:Y,25,FALSE)&lt;&gt;"STAR", "無專案", "已更換"))</f>
        <v>未更換</v>
      </c>
      <c r="H60" s="287">
        <f>VLOOKUP(A60,門市主檔!A:U,21,FALSE)</f>
        <v>1</v>
      </c>
      <c r="I60" s="209" t="str">
        <f>VLOOKUP(A60,'0919門市清單主檔'!B:V,21,FALSE)</f>
        <v>淡水區</v>
      </c>
      <c r="J60" s="217">
        <v>45730.545138888891</v>
      </c>
      <c r="K60" s="210"/>
      <c r="L60" s="210"/>
      <c r="M60" s="210"/>
      <c r="N60" s="210"/>
      <c r="O60" s="210"/>
      <c r="P60" s="204" t="s">
        <v>52</v>
      </c>
      <c r="Q60" s="214" t="s">
        <v>4114</v>
      </c>
    </row>
    <row r="61" spans="1:17" ht="19.5" customHeight="1">
      <c r="A61" s="209">
        <v>4153</v>
      </c>
      <c r="B61" s="209" t="str">
        <f>VLOOKUP(A61,門市主檔!A:B,2,FALSE)</f>
        <v>淡水莊園店</v>
      </c>
      <c r="C61" s="303" t="str">
        <f>IF(COUNTIFS(IM!$F:$F,A61,IM!$AD:$AD,"O",IM!$X:$X,"&gt;="&amp;$R$1, IM!$X:$X,"&lt;="&amp;$S$1)&gt;0,"V","")</f>
        <v/>
      </c>
      <c r="D61" s="303" t="str">
        <f>IF(AND(C61&lt;&gt;"V", COUNTIFS(IM!$F:$F,A61, IM!$AD:$AD, "O", IM!$X:$X, "&gt;="&amp;$R$1, IM!$X:$X, "&lt;="&amp;$S$1)&gt;0), "V", "")</f>
        <v/>
      </c>
      <c r="E61" s="303" t="str">
        <f>IF(AND(C61&lt;&gt;"V",D61&lt;&gt;"V", COUNTIFS(IM!$F:$F, A61, IM!$AD:$AD, "O", IM!$X:$X, "&gt;="&amp;$R$1, IM!$X:$X, "&lt;="&amp;$S$1)&gt;0), "V", "")</f>
        <v/>
      </c>
      <c r="F61" s="209" t="str">
        <f t="shared" si="4"/>
        <v>未保養</v>
      </c>
      <c r="G61" s="209" t="str">
        <f>IF(AND(VLOOKUP(A61,門市主檔!A:Y,25,FALSE)="STAR", VLOOKUP(A61,門市主檔!A:N,14,FALSE)=""), "未更換", IF(VLOOKUP(A61,門市主檔!A:Y,25,FALSE)&lt;&gt;"STAR", "無專案", "已更換"))</f>
        <v>未更換</v>
      </c>
      <c r="H61" s="287">
        <f>VLOOKUP(A61,門市主檔!A:U,21,FALSE)</f>
        <v>2</v>
      </c>
      <c r="I61" s="209" t="str">
        <f>VLOOKUP(A61,'0919門市清單主檔'!B:V,21,FALSE)</f>
        <v>淡水區</v>
      </c>
      <c r="J61" s="217">
        <v>45730.53125</v>
      </c>
      <c r="K61" s="210"/>
      <c r="L61" s="210"/>
      <c r="M61" s="210"/>
      <c r="N61" s="210"/>
      <c r="O61" s="210"/>
      <c r="P61" s="204" t="s">
        <v>52</v>
      </c>
      <c r="Q61" s="214" t="s">
        <v>4114</v>
      </c>
    </row>
    <row r="62" spans="1:17" ht="19.5" customHeight="1">
      <c r="A62" s="209">
        <v>4541</v>
      </c>
      <c r="B62" s="209" t="str">
        <f>VLOOKUP(A62,門市主檔!A:B,2,FALSE)</f>
        <v>淡水海天店</v>
      </c>
      <c r="C62" s="303" t="str">
        <f>IF(COUNTIFS(IM!$F:$F,A62,IM!$AD:$AD,"O",IM!$X:$X,"&gt;="&amp;$R$1, IM!$X:$X,"&lt;="&amp;$S$1)&gt;0,"V","")</f>
        <v/>
      </c>
      <c r="D62" s="303" t="str">
        <f>IF(AND(C62&lt;&gt;"V", COUNTIFS(IM!$F:$F,A62, IM!$AD:$AD, "O", IM!$X:$X, "&gt;="&amp;$R$1, IM!$X:$X, "&lt;="&amp;$S$1)&gt;0), "V", "")</f>
        <v/>
      </c>
      <c r="E62" s="303" t="str">
        <f>IF(AND(C62&lt;&gt;"V",D62&lt;&gt;"V", COUNTIFS(IM!$F:$F, A62, IM!$AD:$AD, "O", IM!$X:$X, "&gt;="&amp;$R$1, IM!$X:$X, "&lt;="&amp;$S$1)&gt;0), "V", "")</f>
        <v/>
      </c>
      <c r="F62" s="209" t="str">
        <f t="shared" si="4"/>
        <v>未保養</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淡水區</v>
      </c>
      <c r="J62" s="217">
        <v>45730.60833333333</v>
      </c>
      <c r="K62" s="210"/>
      <c r="L62" s="210"/>
      <c r="M62" s="210"/>
      <c r="N62" s="210"/>
      <c r="O62" s="210"/>
      <c r="P62" s="204" t="s">
        <v>52</v>
      </c>
      <c r="Q62" s="214" t="s">
        <v>4114</v>
      </c>
    </row>
    <row r="63" spans="1:17" ht="19.5" customHeight="1">
      <c r="A63" s="209">
        <v>4802</v>
      </c>
      <c r="B63" s="209" t="str">
        <f>VLOOKUP(A63,門市主檔!A:B,2,FALSE)</f>
        <v>淡水沙崙店</v>
      </c>
      <c r="C63" s="303" t="str">
        <f>IF(COUNTIFS(IM!$F:$F,A63,IM!$AD:$AD,"O",IM!$X:$X,"&gt;="&amp;$R$1, IM!$X:$X,"&lt;="&amp;$S$1)&gt;0,"V","")</f>
        <v/>
      </c>
      <c r="D63" s="303" t="str">
        <f>IF(AND(C63&lt;&gt;"V", COUNTIFS(IM!$F:$F,A63, IM!$AD:$AD, "O", IM!$X:$X, "&gt;="&amp;$R$1, IM!$X:$X, "&lt;="&amp;$S$1)&gt;0), "V", "")</f>
        <v/>
      </c>
      <c r="E63" s="303" t="str">
        <f>IF(AND(C63&lt;&gt;"V",D63&lt;&gt;"V", COUNTIFS(IM!$F:$F, A63, IM!$AD:$AD, "O", IM!$X:$X, "&gt;="&amp;$R$1, IM!$X:$X, "&lt;="&amp;$S$1)&gt;0), "V", "")</f>
        <v/>
      </c>
      <c r="F63" s="209" t="str">
        <f t="shared" si="4"/>
        <v>未保養</v>
      </c>
      <c r="G63" s="209" t="str">
        <f>IF(AND(VLOOKUP(A63,門市主檔!A:Y,25,FALSE)="STAR", VLOOKUP(A63,門市主檔!A:N,14,FALSE)=""), "未更換", IF(VLOOKUP(A63,門市主檔!A:Y,25,FALSE)&lt;&gt;"STAR", "無專案", "已更換"))</f>
        <v>無專案</v>
      </c>
      <c r="H63" s="287">
        <f>VLOOKUP(A63,門市主檔!A:U,21,FALSE)</f>
        <v>0</v>
      </c>
      <c r="I63" s="209" t="str">
        <f>VLOOKUP(A63,'0919門市清單主檔'!B:V,21,FALSE)</f>
        <v>淡水區</v>
      </c>
      <c r="J63" s="217">
        <v>45730.628472222219</v>
      </c>
      <c r="K63" s="210"/>
      <c r="L63" s="210"/>
      <c r="M63" s="210"/>
      <c r="N63" s="210"/>
      <c r="O63" s="210"/>
      <c r="P63" s="204" t="s">
        <v>52</v>
      </c>
      <c r="Q63" s="214" t="s">
        <v>4114</v>
      </c>
    </row>
    <row r="64" spans="1:17" ht="19.5" customHeight="1">
      <c r="A64" s="209">
        <v>4739</v>
      </c>
      <c r="B64" s="209" t="str">
        <f>VLOOKUP(A64,門市主檔!A:B,2,FALSE)</f>
        <v>淡水櫻花店</v>
      </c>
      <c r="C64" s="303" t="str">
        <f>IF(COUNTIFS(IM!$F:$F,A64,IM!$AD:$AD,"O",IM!$X:$X,"&gt;="&amp;$R$1, IM!$X:$X,"&lt;="&amp;$S$1)&gt;0,"V","")</f>
        <v/>
      </c>
      <c r="D64" s="303" t="str">
        <f>IF(AND(C64&lt;&gt;"V", COUNTIFS(IM!$F:$F,A64, IM!$AD:$AD, "O", IM!$X:$X, "&gt;="&amp;$R$1, IM!$X:$X, "&lt;="&amp;$S$1)&gt;0), "V", "")</f>
        <v/>
      </c>
      <c r="E64" s="303" t="str">
        <f>IF(AND(C64&lt;&gt;"V",D64&lt;&gt;"V", COUNTIFS(IM!$F:$F, A64, IM!$AD:$AD, "O", IM!$X:$X, "&gt;="&amp;$R$1, IM!$X:$X, "&lt;="&amp;$S$1)&gt;0), "V", "")</f>
        <v/>
      </c>
      <c r="F64" s="209" t="str">
        <f t="shared" si="4"/>
        <v>未保養</v>
      </c>
      <c r="G64" s="209" t="str">
        <f>IF(AND(VLOOKUP(A64,門市主檔!A:Y,25,FALSE)="STAR", VLOOKUP(A64,門市主檔!A:N,14,FALSE)=""), "未更換", IF(VLOOKUP(A64,門市主檔!A:Y,25,FALSE)&lt;&gt;"STAR", "無專案", "已更換"))</f>
        <v>未更換</v>
      </c>
      <c r="H64" s="287">
        <f>VLOOKUP(A64,門市主檔!A:U,21,FALSE)</f>
        <v>1</v>
      </c>
      <c r="I64" s="209" t="str">
        <f>VLOOKUP(A64,'0919門市清單主檔'!B:V,21,FALSE)</f>
        <v>淡水區</v>
      </c>
      <c r="J64" s="217">
        <v>45727.611111111109</v>
      </c>
      <c r="K64" s="210"/>
      <c r="L64" s="210"/>
      <c r="M64" s="210"/>
      <c r="N64" s="210"/>
      <c r="O64" s="210"/>
      <c r="P64" s="204" t="s">
        <v>52</v>
      </c>
      <c r="Q64" s="214" t="s">
        <v>4114</v>
      </c>
    </row>
    <row r="65" spans="1:17" ht="19.5" customHeight="1">
      <c r="A65" s="209">
        <v>5101</v>
      </c>
      <c r="B65" s="209" t="str">
        <f>VLOOKUP(A65,門市主檔!A:B,2,FALSE)</f>
        <v>淡水小坪頂</v>
      </c>
      <c r="C65" s="303" t="str">
        <f>IF(COUNTIFS(IM!$F:$F,A65,IM!$AD:$AD,"O",IM!$X:$X,"&gt;="&amp;$R$1, IM!$X:$X,"&lt;="&amp;$S$1)&gt;0,"V","")</f>
        <v/>
      </c>
      <c r="D65" s="303" t="str">
        <f>IF(AND(C65&lt;&gt;"V", COUNTIFS(IM!$F:$F,A65, IM!$AD:$AD, "O", IM!$X:$X, "&gt;="&amp;$R$1, IM!$X:$X, "&lt;="&amp;$S$1)&gt;0), "V", "")</f>
        <v/>
      </c>
      <c r="E65" s="303" t="str">
        <f>IF(AND(C65&lt;&gt;"V",D65&lt;&gt;"V", COUNTIFS(IM!$F:$F, A65, IM!$AD:$AD, "O", IM!$X:$X, "&gt;="&amp;$R$1, IM!$X:$X, "&lt;="&amp;$S$1)&gt;0), "V", "")</f>
        <v/>
      </c>
      <c r="F65" s="209" t="str">
        <f t="shared" si="4"/>
        <v>未保養</v>
      </c>
      <c r="G65" s="209" t="str">
        <f>IF(AND(VLOOKUP(A65,門市主檔!A:Y,25,FALSE)="STAR", VLOOKUP(A65,門市主檔!A:N,14,FALSE)=""), "未更換", IF(VLOOKUP(A65,門市主檔!A:Y,25,FALSE)&lt;&gt;"STAR", "無專案", "已更換"))</f>
        <v>無專案</v>
      </c>
      <c r="H65" s="287">
        <f>VLOOKUP(A65,門市主檔!A:U,21,FALSE)</f>
        <v>0</v>
      </c>
      <c r="I65" s="209" t="str">
        <f>VLOOKUP(A65,'0919門市清單主檔'!B:V,21,FALSE)</f>
        <v>淡水區</v>
      </c>
      <c r="J65" s="217">
        <v>45727.497916666667</v>
      </c>
      <c r="K65" s="210"/>
      <c r="L65" s="210"/>
      <c r="M65" s="210"/>
      <c r="N65" s="210"/>
      <c r="O65" s="210"/>
      <c r="P65" s="204"/>
      <c r="Q65" s="214" t="s">
        <v>4114</v>
      </c>
    </row>
    <row r="66" spans="1:17" ht="19.5" customHeight="1">
      <c r="A66" s="209">
        <v>2318</v>
      </c>
      <c r="B66" s="209" t="str">
        <f>VLOOKUP(A66,門市主檔!A:B,2,FALSE)</f>
        <v>北縣淡俊店</v>
      </c>
      <c r="C66" s="303" t="str">
        <f>IF(COUNTIFS(IM!$F:$F,A66,IM!$AD:$AD,"O",IM!$X:$X,"&gt;="&amp;$R$1, IM!$X:$X,"&lt;="&amp;$S$1)&gt;0,"V","")</f>
        <v/>
      </c>
      <c r="D66" s="303" t="str">
        <f>IF(AND(C66&lt;&gt;"V", COUNTIFS(IM!$F:$F,A66, IM!$AD:$AD, "O", IM!$X:$X, "&gt;="&amp;$R$1, IM!$X:$X, "&lt;="&amp;$S$1)&gt;0), "V", "")</f>
        <v/>
      </c>
      <c r="E66" s="303" t="str">
        <f>IF(AND(C66&lt;&gt;"V",D66&lt;&gt;"V", COUNTIFS(IM!$F:$F, A66, IM!$AD:$AD, "O", IM!$X:$X, "&gt;="&amp;$R$1, IM!$X:$X, "&lt;="&amp;$S$1)&gt;0), "V", "")</f>
        <v/>
      </c>
      <c r="F66" s="209" t="str">
        <f t="shared" si="4"/>
        <v>未保養</v>
      </c>
      <c r="G66" s="209" t="str">
        <f>IF(AND(VLOOKUP(A66,門市主檔!A:Y,25,FALSE)="STAR", VLOOKUP(A66,門市主檔!A:N,14,FALSE)=""), "未更換", IF(VLOOKUP(A66,門市主檔!A:Y,25,FALSE)&lt;&gt;"STAR", "無專案", "已更換"))</f>
        <v>未更換</v>
      </c>
      <c r="H66" s="287">
        <f>VLOOKUP(A66,門市主檔!A:U,21,FALSE)</f>
        <v>1</v>
      </c>
      <c r="I66" s="209" t="str">
        <f>VLOOKUP(A66,'0919門市清單主檔'!B:V,21,FALSE)</f>
        <v>淡水區</v>
      </c>
      <c r="J66" s="217">
        <v>45700.472916666666</v>
      </c>
      <c r="K66" s="210"/>
      <c r="L66" s="210"/>
      <c r="M66" s="210"/>
      <c r="N66" s="210"/>
      <c r="O66" s="210"/>
      <c r="P66" s="204" t="s">
        <v>52</v>
      </c>
      <c r="Q66" s="214" t="s">
        <v>4114</v>
      </c>
    </row>
    <row r="67" spans="1:17" ht="19.5" customHeight="1">
      <c r="A67" s="209">
        <v>4658</v>
      </c>
      <c r="B67" s="209" t="str">
        <f>VLOOKUP(A67,門市主檔!A:B,2,FALSE)</f>
        <v>淡水英才店</v>
      </c>
      <c r="C67" s="303" t="str">
        <f>IF(COUNTIFS(IM!$F:$F,A67,IM!$AD:$AD,"O",IM!$X:$X,"&gt;="&amp;$R$1, IM!$X:$X,"&lt;="&amp;$S$1)&gt;0,"V","")</f>
        <v/>
      </c>
      <c r="D67" s="303" t="str">
        <f>IF(AND(C67&lt;&gt;"V", COUNTIFS(IM!$F:$F,A67, IM!$AD:$AD, "O", IM!$X:$X, "&gt;="&amp;$R$1, IM!$X:$X, "&lt;="&amp;$S$1)&gt;0), "V", "")</f>
        <v/>
      </c>
      <c r="E67" s="303" t="str">
        <f>IF(AND(C67&lt;&gt;"V",D67&lt;&gt;"V", COUNTIFS(IM!$F:$F, A67, IM!$AD:$AD, "O", IM!$X:$X, "&gt;="&amp;$R$1, IM!$X:$X, "&lt;="&amp;$S$1)&gt;0), "V", "")</f>
        <v/>
      </c>
      <c r="F67" s="209" t="str">
        <f t="shared" si="4"/>
        <v>未保養</v>
      </c>
      <c r="G67" s="209" t="str">
        <f>IF(AND(VLOOKUP(A67,門市主檔!A:Y,25,FALSE)="STAR", VLOOKUP(A67,門市主檔!A:N,14,FALSE)=""), "未更換", IF(VLOOKUP(A67,門市主檔!A:Y,25,FALSE)&lt;&gt;"STAR", "無專案", "已更換"))</f>
        <v>無專案</v>
      </c>
      <c r="H67" s="287">
        <f>VLOOKUP(A67,門市主檔!A:U,21,FALSE)</f>
        <v>0</v>
      </c>
      <c r="I67" s="209" t="str">
        <f>VLOOKUP(A67,'0919門市清單主檔'!B:V,21,FALSE)</f>
        <v>淡水區</v>
      </c>
      <c r="J67" s="217">
        <v>45723.629861111112</v>
      </c>
      <c r="K67" s="210"/>
      <c r="L67" s="210"/>
      <c r="M67" s="210"/>
      <c r="N67" s="210"/>
      <c r="O67" s="210"/>
      <c r="P67" s="204"/>
      <c r="Q67" s="214" t="s">
        <v>4114</v>
      </c>
    </row>
    <row r="68" spans="1:17" ht="19.5" customHeight="1">
      <c r="A68" s="209">
        <v>4529</v>
      </c>
      <c r="B68" s="209" t="str">
        <f>VLOOKUP(A68,門市主檔!A:B,2,FALSE)</f>
        <v>淡水新洲店</v>
      </c>
      <c r="C68" s="303" t="str">
        <f>IF(COUNTIFS(IM!$F:$F,A68,IM!$AD:$AD,"O",IM!$X:$X,"&gt;="&amp;$R$1, IM!$X:$X,"&lt;="&amp;$S$1)&gt;0,"V","")</f>
        <v/>
      </c>
      <c r="D68" s="303" t="str">
        <f>IF(AND(C68&lt;&gt;"V", COUNTIFS(IM!$F:$F,A68, IM!$AD:$AD, "O", IM!$X:$X, "&gt;="&amp;$R$1, IM!$X:$X, "&lt;="&amp;$S$1)&gt;0), "V", "")</f>
        <v/>
      </c>
      <c r="E68" s="303" t="str">
        <f>IF(AND(C68&lt;&gt;"V",D68&lt;&gt;"V", COUNTIFS(IM!$F:$F, A68, IM!$AD:$AD, "O", IM!$X:$X, "&gt;="&amp;$R$1, IM!$X:$X, "&lt;="&amp;$S$1)&gt;0), "V", "")</f>
        <v/>
      </c>
      <c r="F68" s="209" t="str">
        <f t="shared" si="4"/>
        <v>未保養</v>
      </c>
      <c r="G68" s="209" t="str">
        <f>IF(AND(VLOOKUP(A68,門市主檔!A:Y,25,FALSE)="STAR", VLOOKUP(A68,門市主檔!A:N,14,FALSE)=""), "未更換", IF(VLOOKUP(A68,門市主檔!A:Y,25,FALSE)&lt;&gt;"STAR", "無專案", "已更換"))</f>
        <v>未更換</v>
      </c>
      <c r="H68" s="287">
        <f>VLOOKUP(A68,門市主檔!A:U,21,FALSE)</f>
        <v>2</v>
      </c>
      <c r="I68" s="209" t="str">
        <f>VLOOKUP(A68,'0919門市清單主檔'!B:V,21,FALSE)</f>
        <v>淡水區</v>
      </c>
      <c r="J68" s="217">
        <v>45692.496527777781</v>
      </c>
      <c r="K68" s="210"/>
      <c r="L68" s="210"/>
      <c r="M68" s="210"/>
      <c r="N68" s="210"/>
      <c r="O68" s="210"/>
      <c r="P68" s="204" t="s">
        <v>52</v>
      </c>
      <c r="Q68" s="214" t="s">
        <v>4114</v>
      </c>
    </row>
    <row r="69" spans="1:17" ht="19.5" customHeight="1">
      <c r="A69" s="209">
        <v>2749</v>
      </c>
      <c r="B69" s="209" t="str">
        <f>VLOOKUP(A69,門市主檔!A:B,2,FALSE)</f>
        <v>淡水灰瑤子</v>
      </c>
      <c r="C69" s="303" t="str">
        <f>IF(COUNTIFS(IM!$F:$F,A69,IM!$AD:$AD,"O",IM!$X:$X,"&gt;="&amp;$R$1, IM!$X:$X,"&lt;="&amp;$S$1)&gt;0,"V","")</f>
        <v/>
      </c>
      <c r="D69" s="303" t="str">
        <f>IF(AND(C69&lt;&gt;"V", COUNTIFS(IM!$F:$F,A69, IM!$AD:$AD, "O", IM!$X:$X, "&gt;="&amp;$R$1, IM!$X:$X, "&lt;="&amp;$S$1)&gt;0), "V", "")</f>
        <v/>
      </c>
      <c r="E69" s="303" t="str">
        <f>IF(AND(C69&lt;&gt;"V",D69&lt;&gt;"V", COUNTIFS(IM!$F:$F, A69, IM!$AD:$AD, "O", IM!$X:$X, "&gt;="&amp;$R$1, IM!$X:$X, "&lt;="&amp;$S$1)&gt;0), "V", "")</f>
        <v/>
      </c>
      <c r="F69" s="209" t="str">
        <f t="shared" si="4"/>
        <v>未保養</v>
      </c>
      <c r="G69" s="209" t="str">
        <f>IF(AND(VLOOKUP(A69,門市主檔!A:Y,25,FALSE)="STAR", VLOOKUP(A69,門市主檔!A:N,14,FALSE)=""), "未更換", IF(VLOOKUP(A69,門市主檔!A:Y,25,FALSE)&lt;&gt;"STAR", "無專案", "已更換"))</f>
        <v>未更換</v>
      </c>
      <c r="H69" s="287">
        <f>VLOOKUP(A69,門市主檔!A:U,21,FALSE)</f>
        <v>2</v>
      </c>
      <c r="I69" s="209" t="str">
        <f>VLOOKUP(A69,'0919門市清單主檔'!B:V,21,FALSE)</f>
        <v>淡水區</v>
      </c>
      <c r="J69" s="217">
        <v>45692.55</v>
      </c>
      <c r="K69" s="210"/>
      <c r="L69" s="210"/>
      <c r="M69" s="210"/>
      <c r="N69" s="210"/>
      <c r="O69" s="210"/>
      <c r="P69" s="204" t="s">
        <v>52</v>
      </c>
      <c r="Q69" s="214" t="s">
        <v>4114</v>
      </c>
    </row>
    <row r="70" spans="1:17" ht="19.5" customHeight="1">
      <c r="A70" s="209">
        <v>4511</v>
      </c>
      <c r="B70" s="209" t="str">
        <f>VLOOKUP(A70,門市主檔!A:B,2,FALSE)</f>
        <v>淡水屯山店</v>
      </c>
      <c r="C70" s="303" t="str">
        <f>IF(COUNTIFS(IM!$F:$F,A70,IM!$AD:$AD,"O",IM!$X:$X,"&gt;="&amp;$R$1, IM!$X:$X,"&lt;="&amp;$S$1)&gt;0,"V","")</f>
        <v/>
      </c>
      <c r="D70" s="303" t="str">
        <f>IF(AND(C70&lt;&gt;"V", COUNTIFS(IM!$F:$F,A70, IM!$AD:$AD, "O", IM!$X:$X, "&gt;="&amp;$R$1, IM!$X:$X, "&lt;="&amp;$S$1)&gt;0), "V", "")</f>
        <v/>
      </c>
      <c r="E70" s="303" t="str">
        <f>IF(AND(C70&lt;&gt;"V",D70&lt;&gt;"V", COUNTIFS(IM!$F:$F, A70, IM!$AD:$AD, "O", IM!$X:$X, "&gt;="&amp;$R$1, IM!$X:$X, "&lt;="&amp;$S$1)&gt;0), "V", "")</f>
        <v/>
      </c>
      <c r="F70" s="209" t="str">
        <f t="shared" si="4"/>
        <v>未保養</v>
      </c>
      <c r="G70" s="209" t="str">
        <f>IF(AND(VLOOKUP(A70,門市主檔!A:Y,25,FALSE)="STAR", VLOOKUP(A70,門市主檔!A:N,14,FALSE)=""), "未更換", IF(VLOOKUP(A70,門市主檔!A:Y,25,FALSE)&lt;&gt;"STAR", "無專案", "已更換"))</f>
        <v>無專案</v>
      </c>
      <c r="H70" s="287">
        <f>VLOOKUP(A70,門市主檔!A:U,21,FALSE)</f>
        <v>0</v>
      </c>
      <c r="I70" s="209" t="str">
        <f>VLOOKUP(A70,'0919門市清單主檔'!B:V,21,FALSE)</f>
        <v>淡水區</v>
      </c>
      <c r="J70" s="217">
        <v>45692.577777777777</v>
      </c>
      <c r="K70" s="210"/>
      <c r="L70" s="210"/>
      <c r="M70" s="210"/>
      <c r="N70" s="210"/>
      <c r="O70" s="210"/>
      <c r="P70" s="204" t="s">
        <v>52</v>
      </c>
      <c r="Q70" s="214" t="s">
        <v>4114</v>
      </c>
    </row>
    <row r="71" spans="1:17" ht="19.5" customHeight="1">
      <c r="A71" s="209" t="s">
        <v>43</v>
      </c>
      <c r="B71" s="209" t="str">
        <f>VLOOKUP(A71,門市主檔!A:B,2,FALSE)</f>
        <v>車麗屋蘆洲店</v>
      </c>
      <c r="C71" s="303" t="str">
        <f>IF(COUNTIFS(IM!$F:$F,A71,IM!$AD:$AD,"O",IM!$X:$X,"&gt;="&amp;$R$1, IM!$X:$X,"&lt;="&amp;$S$1)&gt;0,"V","")</f>
        <v/>
      </c>
      <c r="D71" s="303" t="str">
        <f>IF(AND(C71&lt;&gt;"V", COUNTIFS(IM!$F:$F,A71, IM!$AD:$AD, "O", IM!$X:$X, "&gt;="&amp;$R$1, IM!$X:$X, "&lt;="&amp;$S$1)&gt;0), "V", "")</f>
        <v/>
      </c>
      <c r="E71" s="303" t="str">
        <f>IF(AND(C71&lt;&gt;"V",D71&lt;&gt;"V", COUNTIFS(IM!$F:$F, A71, IM!$AD:$AD, "O", IM!$X:$X, "&gt;="&amp;$R$1, IM!$X:$X, "&lt;="&amp;$S$1)&gt;0), "V", "")</f>
        <v/>
      </c>
      <c r="F71" s="209" t="str">
        <f t="shared" ref="F71:F102" si="5">IF(COUNTBLANK(C71:E71)=3,"未保養","")</f>
        <v>未保養</v>
      </c>
      <c r="G71" s="209" t="str">
        <f>IF(AND(VLOOKUP(A71,門市主檔!A:Y,25,FALSE)="STAR", VLOOKUP(A71,門市主檔!A:N,14,FALSE)=""), "未更換", IF(VLOOKUP(A71,門市主檔!A:Y,25,FALSE)&lt;&gt;"STAR", "無專案", "已更換"))</f>
        <v>無專案</v>
      </c>
      <c r="H71" s="287">
        <f>VLOOKUP(A71,門市主檔!A:U,21,FALSE)</f>
        <v>0</v>
      </c>
      <c r="I71" s="209" t="str">
        <f>VLOOKUP(A71,'0919門市清單主檔'!B:V,21,FALSE)</f>
        <v>蘆洲區</v>
      </c>
      <c r="J71" s="217">
        <v>45720.59375</v>
      </c>
      <c r="K71" s="210"/>
      <c r="L71" s="210"/>
      <c r="M71" s="210"/>
      <c r="N71" s="210"/>
      <c r="O71" s="210"/>
      <c r="P71" s="204" t="s">
        <v>52</v>
      </c>
      <c r="Q71" s="214" t="s">
        <v>4114</v>
      </c>
    </row>
    <row r="72" spans="1:17" ht="19.5" customHeight="1">
      <c r="A72" s="209">
        <v>3892</v>
      </c>
      <c r="B72" s="209" t="str">
        <f>VLOOKUP(A72,門市主檔!A:B,2,FALSE)</f>
        <v>蘆洲光榮店</v>
      </c>
      <c r="C72" s="303" t="str">
        <f>IF(COUNTIFS(IM!$F:$F,A72,IM!$AD:$AD,"O",IM!$X:$X,"&gt;="&amp;$R$1, IM!$X:$X,"&lt;="&amp;$S$1)&gt;0,"V","")</f>
        <v/>
      </c>
      <c r="D72" s="303" t="str">
        <f>IF(AND(C72&lt;&gt;"V", COUNTIFS(IM!$F:$F,A72, IM!$AD:$AD, "O", IM!$X:$X, "&gt;="&amp;$R$1, IM!$X:$X, "&lt;="&amp;$S$1)&gt;0), "V", "")</f>
        <v/>
      </c>
      <c r="E72" s="303" t="str">
        <f>IF(AND(C72&lt;&gt;"V",D72&lt;&gt;"V", COUNTIFS(IM!$F:$F, A72, IM!$AD:$AD, "O", IM!$X:$X, "&gt;="&amp;$R$1, IM!$X:$X, "&lt;="&amp;$S$1)&gt;0), "V", "")</f>
        <v/>
      </c>
      <c r="F72" s="209" t="str">
        <f t="shared" si="5"/>
        <v>未保養</v>
      </c>
      <c r="G72" s="209" t="str">
        <f>IF(AND(VLOOKUP(A72,門市主檔!A:Y,25,FALSE)="STAR", VLOOKUP(A72,門市主檔!A:N,14,FALSE)=""), "未更換", IF(VLOOKUP(A72,門市主檔!A:Y,25,FALSE)&lt;&gt;"STAR", "無專案", "已更換"))</f>
        <v>無專案</v>
      </c>
      <c r="H72" s="287">
        <f>VLOOKUP(A72,門市主檔!A:U,21,FALSE)</f>
        <v>0</v>
      </c>
      <c r="I72" s="209" t="str">
        <f>VLOOKUP(A72,'0919門市清單主檔'!B:V,21,FALSE)</f>
        <v>蘆洲區</v>
      </c>
      <c r="J72" s="217">
        <v>45709.490277777775</v>
      </c>
      <c r="K72" s="210"/>
      <c r="L72" s="210"/>
      <c r="M72" s="210"/>
      <c r="N72" s="210"/>
      <c r="O72" s="210"/>
      <c r="P72" s="204"/>
      <c r="Q72" s="214" t="s">
        <v>4114</v>
      </c>
    </row>
    <row r="73" spans="1:17" ht="19.5" customHeight="1">
      <c r="A73" s="209">
        <v>4218</v>
      </c>
      <c r="B73" s="209" t="str">
        <f>VLOOKUP(A73,門市主檔!A:B,2,FALSE)</f>
        <v>蘆洲湧蓮店</v>
      </c>
      <c r="C73" s="303" t="str">
        <f>IF(COUNTIFS(IM!$F:$F,A73,IM!$AD:$AD,"O",IM!$X:$X,"&gt;="&amp;$R$1, IM!$X:$X,"&lt;="&amp;$S$1)&gt;0,"V","")</f>
        <v/>
      </c>
      <c r="D73" s="303" t="str">
        <f>IF(AND(C73&lt;&gt;"V", COUNTIFS(IM!$F:$F,A73, IM!$AD:$AD, "O", IM!$X:$X, "&gt;="&amp;$R$1, IM!$X:$X, "&lt;="&amp;$S$1)&gt;0), "V", "")</f>
        <v/>
      </c>
      <c r="E73" s="303" t="str">
        <f>IF(AND(C73&lt;&gt;"V",D73&lt;&gt;"V", COUNTIFS(IM!$F:$F, A73, IM!$AD:$AD, "O", IM!$X:$X, "&gt;="&amp;$R$1, IM!$X:$X, "&lt;="&amp;$S$1)&gt;0), "V", "")</f>
        <v/>
      </c>
      <c r="F73" s="209" t="str">
        <f t="shared" si="5"/>
        <v>未保養</v>
      </c>
      <c r="G73" s="209" t="str">
        <f>IF(AND(VLOOKUP(A73,門市主檔!A:Y,25,FALSE)="STAR", VLOOKUP(A73,門市主檔!A:N,14,FALSE)=""), "未更換", IF(VLOOKUP(A73,門市主檔!A:Y,25,FALSE)&lt;&gt;"STAR", "無專案", "已更換"))</f>
        <v>未更換</v>
      </c>
      <c r="H73" s="287">
        <f>VLOOKUP(A73,門市主檔!A:U,21,FALSE)</f>
        <v>1</v>
      </c>
      <c r="I73" s="209" t="str">
        <f>VLOOKUP(A73,'0919門市清單主檔'!B:V,21,FALSE)</f>
        <v>蘆洲區</v>
      </c>
      <c r="J73" s="217">
        <v>45721.678472222222</v>
      </c>
      <c r="K73" s="210"/>
      <c r="L73" s="210"/>
      <c r="M73" s="210"/>
      <c r="N73" s="210"/>
      <c r="O73" s="210"/>
      <c r="P73" s="204" t="s">
        <v>52</v>
      </c>
      <c r="Q73" s="214" t="s">
        <v>4114</v>
      </c>
    </row>
    <row r="74" spans="1:17" ht="19.5" customHeight="1">
      <c r="A74" s="209">
        <v>4125</v>
      </c>
      <c r="B74" s="209" t="str">
        <f>VLOOKUP(A74,門市主檔!A:B,2,FALSE)</f>
        <v>蘆洲長樂店</v>
      </c>
      <c r="C74" s="303" t="str">
        <f>IF(COUNTIFS(IM!$F:$F,A74,IM!$AD:$AD,"O",IM!$X:$X,"&gt;="&amp;$R$1, IM!$X:$X,"&lt;="&amp;$S$1)&gt;0,"V","")</f>
        <v/>
      </c>
      <c r="D74" s="303" t="str">
        <f>IF(AND(C74&lt;&gt;"V", COUNTIFS(IM!$F:$F,A74, IM!$AD:$AD, "O", IM!$X:$X, "&gt;="&amp;$R$1, IM!$X:$X, "&lt;="&amp;$S$1)&gt;0), "V", "")</f>
        <v/>
      </c>
      <c r="E74" s="303" t="str">
        <f>IF(AND(C74&lt;&gt;"V",D74&lt;&gt;"V", COUNTIFS(IM!$F:$F, A74, IM!$AD:$AD, "O", IM!$X:$X, "&gt;="&amp;$R$1, IM!$X:$X, "&lt;="&amp;$S$1)&gt;0), "V", "")</f>
        <v/>
      </c>
      <c r="F74" s="209" t="str">
        <f t="shared" si="5"/>
        <v>未保養</v>
      </c>
      <c r="G74" s="209" t="str">
        <f>IF(AND(VLOOKUP(A74,門市主檔!A:Y,25,FALSE)="STAR", VLOOKUP(A74,門市主檔!A:N,14,FALSE)=""), "未更換", IF(VLOOKUP(A74,門市主檔!A:Y,25,FALSE)&lt;&gt;"STAR", "無專案", "已更換"))</f>
        <v>未更換</v>
      </c>
      <c r="H74" s="287">
        <f>VLOOKUP(A74,門市主檔!A:U,21,FALSE)</f>
        <v>2</v>
      </c>
      <c r="I74" s="209" t="str">
        <f>VLOOKUP(A74,'0919門市清單主檔'!B:V,21,FALSE)</f>
        <v>蘆洲區</v>
      </c>
      <c r="J74" s="217">
        <v>45709.506944444445</v>
      </c>
      <c r="K74" s="210"/>
      <c r="L74" s="210"/>
      <c r="M74" s="210"/>
      <c r="N74" s="210"/>
      <c r="O74" s="210"/>
      <c r="P74" s="204"/>
      <c r="Q74" s="214" t="s">
        <v>4114</v>
      </c>
    </row>
    <row r="75" spans="1:17" ht="19.5" customHeight="1">
      <c r="A75" s="209">
        <v>4609</v>
      </c>
      <c r="B75" s="209" t="str">
        <f>VLOOKUP(A75,門市主檔!A:B,2,FALSE)</f>
        <v>蘆洲洲正店</v>
      </c>
      <c r="C75" s="303" t="str">
        <f>IF(COUNTIFS(IM!$F:$F,A75,IM!$AD:$AD,"O",IM!$X:$X,"&gt;="&amp;$R$1, IM!$X:$X,"&lt;="&amp;$S$1)&gt;0,"V","")</f>
        <v/>
      </c>
      <c r="D75" s="303" t="str">
        <f>IF(AND(C75&lt;&gt;"V", COUNTIFS(IM!$F:$F,A75, IM!$AD:$AD, "O", IM!$X:$X, "&gt;="&amp;$R$1, IM!$X:$X, "&lt;="&amp;$S$1)&gt;0), "V", "")</f>
        <v/>
      </c>
      <c r="E75" s="303" t="str">
        <f>IF(AND(C75&lt;&gt;"V",D75&lt;&gt;"V", COUNTIFS(IM!$F:$F, A75, IM!$AD:$AD, "O", IM!$X:$X, "&gt;="&amp;$R$1, IM!$X:$X, "&lt;="&amp;$S$1)&gt;0), "V", "")</f>
        <v/>
      </c>
      <c r="F75" s="209" t="str">
        <f t="shared" si="5"/>
        <v>未保養</v>
      </c>
      <c r="G75" s="209" t="str">
        <f>IF(AND(VLOOKUP(A75,門市主檔!A:Y,25,FALSE)="STAR", VLOOKUP(A75,門市主檔!A:N,14,FALSE)=""), "未更換", IF(VLOOKUP(A75,門市主檔!A:Y,25,FALSE)&lt;&gt;"STAR", "無專案", "已更換"))</f>
        <v>未更換</v>
      </c>
      <c r="H75" s="287">
        <f>VLOOKUP(A75,門市主檔!A:U,21,FALSE)</f>
        <v>2</v>
      </c>
      <c r="I75" s="209" t="str">
        <f>VLOOKUP(A75,'0919門市清單主檔'!B:V,21,FALSE)</f>
        <v>蘆洲區</v>
      </c>
      <c r="J75" s="217">
        <v>45709.600694444445</v>
      </c>
      <c r="K75" s="210"/>
      <c r="L75" s="210"/>
      <c r="M75" s="210"/>
      <c r="N75" s="210"/>
      <c r="O75" s="210"/>
      <c r="P75" s="204"/>
      <c r="Q75" s="214" t="s">
        <v>4114</v>
      </c>
    </row>
    <row r="76" spans="1:17" ht="19.5" customHeight="1">
      <c r="A76" s="209">
        <v>3452</v>
      </c>
      <c r="B76" s="209" t="str">
        <f>VLOOKUP(A76,門市主檔!A:B,2,FALSE)</f>
        <v>北縣蘆信店</v>
      </c>
      <c r="C76" s="303" t="str">
        <f>IF(COUNTIFS(IM!$F:$F,A76,IM!$AD:$AD,"O",IM!$X:$X,"&gt;="&amp;$R$1, IM!$X:$X,"&lt;="&amp;$S$1)&gt;0,"V","")</f>
        <v/>
      </c>
      <c r="D76" s="303" t="str">
        <f>IF(AND(C76&lt;&gt;"V", COUNTIFS(IM!$F:$F,A76, IM!$AD:$AD, "O", IM!$X:$X, "&gt;="&amp;$R$1, IM!$X:$X, "&lt;="&amp;$S$1)&gt;0), "V", "")</f>
        <v/>
      </c>
      <c r="E76" s="303" t="str">
        <f>IF(AND(C76&lt;&gt;"V",D76&lt;&gt;"V", COUNTIFS(IM!$F:$F, A76, IM!$AD:$AD, "O", IM!$X:$X, "&gt;="&amp;$R$1, IM!$X:$X, "&lt;="&amp;$S$1)&gt;0), "V", "")</f>
        <v/>
      </c>
      <c r="F76" s="209" t="str">
        <f t="shared" si="5"/>
        <v>未保養</v>
      </c>
      <c r="G76" s="209" t="str">
        <f>IF(AND(VLOOKUP(A76,門市主檔!A:Y,25,FALSE)="STAR", VLOOKUP(A76,門市主檔!A:N,14,FALSE)=""), "未更換", IF(VLOOKUP(A76,門市主檔!A:Y,25,FALSE)&lt;&gt;"STAR", "無專案", "已更換"))</f>
        <v>未更換</v>
      </c>
      <c r="H76" s="287">
        <f>VLOOKUP(A76,門市主檔!A:U,21,FALSE)</f>
        <v>2</v>
      </c>
      <c r="I76" s="209" t="str">
        <f>VLOOKUP(A76,'0919門市清單主檔'!B:V,21,FALSE)</f>
        <v>蘆洲區</v>
      </c>
      <c r="J76" s="217">
        <v>45720.671527777777</v>
      </c>
      <c r="K76" s="210"/>
      <c r="L76" s="210"/>
      <c r="M76" s="210"/>
      <c r="N76" s="210"/>
      <c r="O76" s="210"/>
      <c r="P76" s="204" t="s">
        <v>52</v>
      </c>
      <c r="Q76" s="214" t="s">
        <v>4114</v>
      </c>
    </row>
    <row r="77" spans="1:17" ht="19.5" customHeight="1">
      <c r="A77" s="209">
        <v>2890</v>
      </c>
      <c r="B77" s="209" t="str">
        <f>VLOOKUP(A77,門市主檔!A:B,2,FALSE)</f>
        <v>蘆洲鷺江店</v>
      </c>
      <c r="C77" s="303" t="str">
        <f>IF(COUNTIFS(IM!$F:$F,A77,IM!$AD:$AD,"O",IM!$X:$X,"&gt;="&amp;$R$1, IM!$X:$X,"&lt;="&amp;$S$1)&gt;0,"V","")</f>
        <v/>
      </c>
      <c r="D77" s="303" t="str">
        <f>IF(AND(C77&lt;&gt;"V", COUNTIFS(IM!$F:$F,A77, IM!$AD:$AD, "O", IM!$X:$X, "&gt;="&amp;$R$1, IM!$X:$X, "&lt;="&amp;$S$1)&gt;0), "V", "")</f>
        <v/>
      </c>
      <c r="E77" s="303" t="str">
        <f>IF(AND(C77&lt;&gt;"V",D77&lt;&gt;"V", COUNTIFS(IM!$F:$F, A77, IM!$AD:$AD, "O", IM!$X:$X, "&gt;="&amp;$R$1, IM!$X:$X, "&lt;="&amp;$S$1)&gt;0), "V", "")</f>
        <v/>
      </c>
      <c r="F77" s="209" t="str">
        <f t="shared" si="5"/>
        <v>未保養</v>
      </c>
      <c r="G77" s="209" t="str">
        <f>IF(AND(VLOOKUP(A77,門市主檔!A:Y,25,FALSE)="STAR", VLOOKUP(A77,門市主檔!A:N,14,FALSE)=""), "未更換", IF(VLOOKUP(A77,門市主檔!A:Y,25,FALSE)&lt;&gt;"STAR", "無專案", "已更換"))</f>
        <v>未更換</v>
      </c>
      <c r="H77" s="287">
        <f>VLOOKUP(A77,門市主檔!A:U,21,FALSE)</f>
        <v>2</v>
      </c>
      <c r="I77" s="209" t="str">
        <f>VLOOKUP(A77,'0919門市清單主檔'!B:V,21,FALSE)</f>
        <v>蘆洲區</v>
      </c>
      <c r="J77" s="217">
        <v>45705.520833333336</v>
      </c>
      <c r="K77" s="210"/>
      <c r="L77" s="210"/>
      <c r="M77" s="210"/>
      <c r="N77" s="210"/>
      <c r="O77" s="210"/>
      <c r="P77" s="204" t="s">
        <v>52</v>
      </c>
      <c r="Q77" s="214" t="s">
        <v>4114</v>
      </c>
    </row>
    <row r="78" spans="1:17" ht="19.5" customHeight="1">
      <c r="A78" s="209">
        <v>2958</v>
      </c>
      <c r="B78" s="209" t="str">
        <f>VLOOKUP(A78,門市主檔!A:B,2,FALSE)</f>
        <v>北縣蘆旺店</v>
      </c>
      <c r="C78" s="303" t="str">
        <f>IF(COUNTIFS(IM!$F:$F,A78,IM!$AD:$AD,"O",IM!$X:$X,"&gt;="&amp;$R$1, IM!$X:$X,"&lt;="&amp;$S$1)&gt;0,"V","")</f>
        <v/>
      </c>
      <c r="D78" s="303" t="str">
        <f>IF(AND(C78&lt;&gt;"V", COUNTIFS(IM!$F:$F,A78, IM!$AD:$AD, "O", IM!$X:$X, "&gt;="&amp;$R$1, IM!$X:$X, "&lt;="&amp;$S$1)&gt;0), "V", "")</f>
        <v/>
      </c>
      <c r="E78" s="303" t="str">
        <f>IF(AND(C78&lt;&gt;"V",D78&lt;&gt;"V", COUNTIFS(IM!$F:$F, A78, IM!$AD:$AD, "O", IM!$X:$X, "&gt;="&amp;$R$1, IM!$X:$X, "&lt;="&amp;$S$1)&gt;0), "V", "")</f>
        <v/>
      </c>
      <c r="F78" s="209" t="str">
        <f t="shared" si="5"/>
        <v>未保養</v>
      </c>
      <c r="G78" s="209" t="str">
        <f>IF(AND(VLOOKUP(A78,門市主檔!A:Y,25,FALSE)="STAR", VLOOKUP(A78,門市主檔!A:N,14,FALSE)=""), "未更換", IF(VLOOKUP(A78,門市主檔!A:Y,25,FALSE)&lt;&gt;"STAR", "無專案", "已更換"))</f>
        <v>未更換</v>
      </c>
      <c r="H78" s="287">
        <f>VLOOKUP(A78,門市主檔!A:U,21,FALSE)</f>
        <v>2</v>
      </c>
      <c r="I78" s="209" t="str">
        <f>VLOOKUP(A78,'0919門市清單主檔'!B:V,21,FALSE)</f>
        <v>蘆洲區</v>
      </c>
      <c r="J78" s="217">
        <v>45709.619444444441</v>
      </c>
      <c r="K78" s="210"/>
      <c r="L78" s="210"/>
      <c r="M78" s="210"/>
      <c r="N78" s="210"/>
      <c r="O78" s="210"/>
      <c r="P78" s="204" t="s">
        <v>52</v>
      </c>
      <c r="Q78" s="214" t="s">
        <v>4114</v>
      </c>
    </row>
    <row r="79" spans="1:17" ht="19.5" customHeight="1">
      <c r="A79" s="209">
        <v>3929</v>
      </c>
      <c r="B79" s="209" t="str">
        <f>VLOOKUP(A79,門市主檔!A:B,2,FALSE)</f>
        <v>蘆洲中山一</v>
      </c>
      <c r="C79" s="303" t="str">
        <f>IF(COUNTIFS(IM!$F:$F,A79,IM!$AD:$AD,"O",IM!$X:$X,"&gt;="&amp;$R$1, IM!$X:$X,"&lt;="&amp;$S$1)&gt;0,"V","")</f>
        <v/>
      </c>
      <c r="D79" s="303" t="str">
        <f>IF(AND(C79&lt;&gt;"V", COUNTIFS(IM!$F:$F,A79, IM!$AD:$AD, "O", IM!$X:$X, "&gt;="&amp;$R$1, IM!$X:$X, "&lt;="&amp;$S$1)&gt;0), "V", "")</f>
        <v/>
      </c>
      <c r="E79" s="303" t="str">
        <f>IF(AND(C79&lt;&gt;"V",D79&lt;&gt;"V", COUNTIFS(IM!$F:$F, A79, IM!$AD:$AD, "O", IM!$X:$X, "&gt;="&amp;$R$1, IM!$X:$X, "&lt;="&amp;$S$1)&gt;0), "V", "")</f>
        <v/>
      </c>
      <c r="F79" s="209" t="str">
        <f t="shared" si="5"/>
        <v>未保養</v>
      </c>
      <c r="G79" s="209" t="str">
        <f>IF(AND(VLOOKUP(A79,門市主檔!A:Y,25,FALSE)="STAR", VLOOKUP(A79,門市主檔!A:N,14,FALSE)=""), "未更換", IF(VLOOKUP(A79,門市主檔!A:Y,25,FALSE)&lt;&gt;"STAR", "無專案", "已更換"))</f>
        <v>未更換</v>
      </c>
      <c r="H79" s="287">
        <f>VLOOKUP(A79,門市主檔!A:U,21,FALSE)</f>
        <v>1</v>
      </c>
      <c r="I79" s="209" t="str">
        <f>VLOOKUP(A79,'0919門市清單主檔'!B:V,21,FALSE)</f>
        <v>蘆洲區</v>
      </c>
      <c r="J79" s="217">
        <v>45721.706944444442</v>
      </c>
      <c r="K79" s="210"/>
      <c r="L79" s="210"/>
      <c r="M79" s="210"/>
      <c r="N79" s="210"/>
      <c r="O79" s="210"/>
      <c r="P79" s="204" t="s">
        <v>52</v>
      </c>
      <c r="Q79" s="214" t="s">
        <v>4114</v>
      </c>
    </row>
    <row r="80" spans="1:17" ht="19.5" customHeight="1">
      <c r="A80" s="209">
        <v>4923</v>
      </c>
      <c r="B80" s="209" t="str">
        <f>VLOOKUP(A80,門市主檔!A:B,2,FALSE)</f>
        <v>蘆洲永平店</v>
      </c>
      <c r="C80" s="303" t="str">
        <f>IF(COUNTIFS(IM!$F:$F,A80,IM!$AD:$AD,"O",IM!$X:$X,"&gt;="&amp;$R$1, IM!$X:$X,"&lt;="&amp;$S$1)&gt;0,"V","")</f>
        <v/>
      </c>
      <c r="D80" s="303" t="str">
        <f>IF(AND(C80&lt;&gt;"V", COUNTIFS(IM!$F:$F,A80, IM!$AD:$AD, "O", IM!$X:$X, "&gt;="&amp;$R$1, IM!$X:$X, "&lt;="&amp;$S$1)&gt;0), "V", "")</f>
        <v/>
      </c>
      <c r="E80" s="303" t="str">
        <f>IF(AND(C80&lt;&gt;"V",D80&lt;&gt;"V", COUNTIFS(IM!$F:$F, A80, IM!$AD:$AD, "O", IM!$X:$X, "&gt;="&amp;$R$1, IM!$X:$X, "&lt;="&amp;$S$1)&gt;0), "V", "")</f>
        <v/>
      </c>
      <c r="F80" s="209" t="str">
        <f t="shared" si="5"/>
        <v>未保養</v>
      </c>
      <c r="G80" s="209" t="str">
        <f>IF(AND(VLOOKUP(A80,門市主檔!A:Y,25,FALSE)="STAR", VLOOKUP(A80,門市主檔!A:N,14,FALSE)=""), "未更換", IF(VLOOKUP(A80,門市主檔!A:Y,25,FALSE)&lt;&gt;"STAR", "無專案", "已更換"))</f>
        <v>未更換</v>
      </c>
      <c r="H80" s="287">
        <f>VLOOKUP(A80,門市主檔!A:U,21,FALSE)</f>
        <v>1</v>
      </c>
      <c r="I80" s="209" t="str">
        <f>VLOOKUP(A80,'0919門市清單主檔'!B:V,21,FALSE)</f>
        <v>蘆洲區</v>
      </c>
      <c r="J80" s="217">
        <v>45706.719444444447</v>
      </c>
      <c r="K80" s="210"/>
      <c r="L80" s="210"/>
      <c r="M80" s="210"/>
      <c r="N80" s="210"/>
      <c r="O80" s="210"/>
      <c r="P80" s="204"/>
      <c r="Q80" s="214" t="s">
        <v>4114</v>
      </c>
    </row>
    <row r="81" spans="1:17" ht="19.5" customHeight="1">
      <c r="A81" s="209" t="s">
        <v>17</v>
      </c>
      <c r="B81" s="209" t="str">
        <f>VLOOKUP(A81,門市主檔!A:B,2,FALSE)</f>
        <v>蘆洲權義店</v>
      </c>
      <c r="C81" s="303" t="str">
        <f>IF(COUNTIFS(IM!$F:$F,A81,IM!$AD:$AD,"O",IM!$X:$X,"&gt;="&amp;$R$1, IM!$X:$X,"&lt;="&amp;$S$1)&gt;0,"V","")</f>
        <v/>
      </c>
      <c r="D81" s="303" t="str">
        <f>IF(AND(C81&lt;&gt;"V", COUNTIFS(IM!$F:$F,A81, IM!$AD:$AD, "O", IM!$X:$X, "&gt;="&amp;$R$1, IM!$X:$X, "&lt;="&amp;$S$1)&gt;0), "V", "")</f>
        <v/>
      </c>
      <c r="E81" s="303" t="str">
        <f>IF(AND(C81&lt;&gt;"V",D81&lt;&gt;"V", COUNTIFS(IM!$F:$F, A81, IM!$AD:$AD, "O", IM!$X:$X, "&gt;="&amp;$R$1, IM!$X:$X, "&lt;="&amp;$S$1)&gt;0), "V", "")</f>
        <v/>
      </c>
      <c r="F81" s="209" t="str">
        <f t="shared" si="5"/>
        <v>未保養</v>
      </c>
      <c r="G81" s="209" t="str">
        <f>IF(AND(VLOOKUP(A81,門市主檔!A:Y,25,FALSE)="STAR", VLOOKUP(A81,門市主檔!A:N,14,FALSE)=""), "未更換", IF(VLOOKUP(A81,門市主檔!A:Y,25,FALSE)&lt;&gt;"STAR", "無專案", "已更換"))</f>
        <v>未更換</v>
      </c>
      <c r="H81" s="287">
        <f>VLOOKUP(A81,門市主檔!A:U,21,FALSE)</f>
        <v>2</v>
      </c>
      <c r="I81" s="209" t="str">
        <f>VLOOKUP(A81,'0919門市清單主檔'!B:V,21,FALSE)</f>
        <v>蘆洲區</v>
      </c>
      <c r="J81" s="217">
        <v>45664.484027777777</v>
      </c>
      <c r="K81" s="210"/>
      <c r="L81" s="210"/>
      <c r="M81" s="210"/>
      <c r="N81" s="210"/>
      <c r="O81" s="210"/>
      <c r="P81" s="204"/>
      <c r="Q81" s="214" t="s">
        <v>4114</v>
      </c>
    </row>
    <row r="82" spans="1:17" ht="19.5" customHeight="1">
      <c r="A82" s="209">
        <v>4036</v>
      </c>
      <c r="B82" s="209" t="str">
        <f>VLOOKUP(A82,門市主檔!A:B,2,FALSE)</f>
        <v>蘆洲永樂店</v>
      </c>
      <c r="C82" s="303" t="str">
        <f>IF(COUNTIFS(IM!$F:$F,A82,IM!$AD:$AD,"O",IM!$X:$X,"&gt;="&amp;$R$1, IM!$X:$X,"&lt;="&amp;$S$1)&gt;0,"V","")</f>
        <v/>
      </c>
      <c r="D82" s="303" t="str">
        <f>IF(AND(C82&lt;&gt;"V", COUNTIFS(IM!$F:$F,A82, IM!$AD:$AD, "O", IM!$X:$X, "&gt;="&amp;$R$1, IM!$X:$X, "&lt;="&amp;$S$1)&gt;0), "V", "")</f>
        <v/>
      </c>
      <c r="E82" s="303" t="str">
        <f>IF(AND(C82&lt;&gt;"V",D82&lt;&gt;"V", COUNTIFS(IM!$F:$F, A82, IM!$AD:$AD, "O", IM!$X:$X, "&gt;="&amp;$R$1, IM!$X:$X, "&lt;="&amp;$S$1)&gt;0), "V", "")</f>
        <v/>
      </c>
      <c r="F82" s="209" t="str">
        <f t="shared" si="5"/>
        <v>未保養</v>
      </c>
      <c r="G82" s="209" t="str">
        <f>IF(AND(VLOOKUP(A82,門市主檔!A:Y,25,FALSE)="STAR", VLOOKUP(A82,門市主檔!A:N,14,FALSE)=""), "未更換", IF(VLOOKUP(A82,門市主檔!A:Y,25,FALSE)&lt;&gt;"STAR", "無專案", "已更換"))</f>
        <v>未更換</v>
      </c>
      <c r="H82" s="287">
        <f>VLOOKUP(A82,門市主檔!A:U,21,FALSE)</f>
        <v>1</v>
      </c>
      <c r="I82" s="209" t="str">
        <f>VLOOKUP(A82,'0919門市清單主檔'!B:V,21,FALSE)</f>
        <v>蘆洲區</v>
      </c>
      <c r="J82" s="217">
        <v>45663.603472222225</v>
      </c>
      <c r="K82" s="210"/>
      <c r="L82" s="210"/>
      <c r="M82" s="210"/>
      <c r="N82" s="210"/>
      <c r="O82" s="210"/>
      <c r="P82" s="204" t="s">
        <v>52</v>
      </c>
      <c r="Q82" s="214" t="s">
        <v>4114</v>
      </c>
    </row>
    <row r="83" spans="1:17" ht="19.5" customHeight="1">
      <c r="A83" s="209">
        <v>2301</v>
      </c>
      <c r="B83" s="209" t="str">
        <f>VLOOKUP(A83,門市主檔!A:B,2,FALSE)</f>
        <v>蘆洲樂平店</v>
      </c>
      <c r="C83" s="303" t="str">
        <f>IF(COUNTIFS(IM!$F:$F,A83,IM!$AD:$AD,"O",IM!$X:$X,"&gt;="&amp;$R$1, IM!$X:$X,"&lt;="&amp;$S$1)&gt;0,"V","")</f>
        <v/>
      </c>
      <c r="D83" s="303" t="str">
        <f>IF(AND(C83&lt;&gt;"V", COUNTIFS(IM!$F:$F,A83, IM!$AD:$AD, "O", IM!$X:$X, "&gt;="&amp;$R$1, IM!$X:$X, "&lt;="&amp;$S$1)&gt;0), "V", "")</f>
        <v/>
      </c>
      <c r="E83" s="303" t="str">
        <f>IF(AND(C83&lt;&gt;"V",D83&lt;&gt;"V", COUNTIFS(IM!$F:$F, A83, IM!$AD:$AD, "O", IM!$X:$X, "&gt;="&amp;$R$1, IM!$X:$X, "&lt;="&amp;$S$1)&gt;0), "V", "")</f>
        <v/>
      </c>
      <c r="F83" s="209" t="str">
        <f t="shared" si="5"/>
        <v>未保養</v>
      </c>
      <c r="G83" s="209" t="str">
        <f>IF(AND(VLOOKUP(A83,門市主檔!A:Y,25,FALSE)="STAR", VLOOKUP(A83,門市主檔!A:N,14,FALSE)=""), "未更換", IF(VLOOKUP(A83,門市主檔!A:Y,25,FALSE)&lt;&gt;"STAR", "無專案", "已更換"))</f>
        <v>未更換</v>
      </c>
      <c r="H83" s="287">
        <f>VLOOKUP(A83,門市主檔!A:U,21,FALSE)</f>
        <v>2</v>
      </c>
      <c r="I83" s="209" t="str">
        <f>VLOOKUP(A83,'0919門市清單主檔'!B:V,21,FALSE)</f>
        <v>蘆洲區</v>
      </c>
      <c r="J83" s="217">
        <v>45664.546527777777</v>
      </c>
      <c r="K83" s="210"/>
      <c r="L83" s="210"/>
      <c r="M83" s="210"/>
      <c r="N83" s="210"/>
      <c r="O83" s="210"/>
      <c r="P83" s="204"/>
      <c r="Q83" s="214" t="s">
        <v>4114</v>
      </c>
    </row>
    <row r="84" spans="1:17" ht="19.5" customHeight="1">
      <c r="A84" s="209">
        <v>5082</v>
      </c>
      <c r="B84" s="209" t="str">
        <f>VLOOKUP(A84,門市主檔!A:B,2,FALSE)</f>
        <v>蘆洲水湳店</v>
      </c>
      <c r="C84" s="303" t="str">
        <f>IF(COUNTIFS(IM!$F:$F,A84,IM!$AD:$AD,"O",IM!$X:$X,"&gt;="&amp;$R$1, IM!$X:$X,"&lt;="&amp;$S$1)&gt;0,"V","")</f>
        <v/>
      </c>
      <c r="D84" s="303" t="str">
        <f>IF(AND(C84&lt;&gt;"V", COUNTIFS(IM!$F:$F,A84, IM!$AD:$AD, "O", IM!$X:$X, "&gt;="&amp;$R$1, IM!$X:$X, "&lt;="&amp;$S$1)&gt;0), "V", "")</f>
        <v/>
      </c>
      <c r="E84" s="303" t="str">
        <f>IF(AND(C84&lt;&gt;"V",D84&lt;&gt;"V", COUNTIFS(IM!$F:$F, A84, IM!$AD:$AD, "O", IM!$X:$X, "&gt;="&amp;$R$1, IM!$X:$X, "&lt;="&amp;$S$1)&gt;0), "V", "")</f>
        <v/>
      </c>
      <c r="F84" s="209" t="str">
        <f t="shared" si="5"/>
        <v>未保養</v>
      </c>
      <c r="G84" s="209" t="str">
        <f>IF(AND(VLOOKUP(A84,門市主檔!A:Y,25,FALSE)="STAR", VLOOKUP(A84,門市主檔!A:N,14,FALSE)=""), "未更換", IF(VLOOKUP(A84,門市主檔!A:Y,25,FALSE)&lt;&gt;"STAR", "無專案", "已更換"))</f>
        <v>無專案</v>
      </c>
      <c r="H84" s="287">
        <f>VLOOKUP(A84,門市主檔!A:U,21,FALSE)</f>
        <v>0</v>
      </c>
      <c r="I84" s="209" t="str">
        <f>VLOOKUP(A84,'0919門市清單主檔'!B:V,21,FALSE)</f>
        <v>蘆洲區</v>
      </c>
      <c r="J84" s="217">
        <v>45664.530555555553</v>
      </c>
      <c r="K84" s="210"/>
      <c r="L84" s="210"/>
      <c r="M84" s="210"/>
      <c r="N84" s="210"/>
      <c r="O84" s="210"/>
      <c r="P84" s="204"/>
      <c r="Q84" s="214" t="s">
        <v>4114</v>
      </c>
    </row>
    <row r="85" spans="1:17" ht="19.5" customHeight="1">
      <c r="A85" s="209">
        <v>5197</v>
      </c>
      <c r="B85" s="209" t="str">
        <f>VLOOKUP(A85,門市主檔!A:B,2,FALSE)</f>
        <v>蘆洲鴻悅店</v>
      </c>
      <c r="C85" s="303" t="str">
        <f>IF(COUNTIFS(IM!$F:$F,A85,IM!$AD:$AD,"O",IM!$X:$X,"&gt;="&amp;$R$1, IM!$X:$X,"&lt;="&amp;$S$1)&gt;0,"V","")</f>
        <v/>
      </c>
      <c r="D85" s="303" t="str">
        <f>IF(AND(C85&lt;&gt;"V", COUNTIFS(IM!$F:$F,A85, IM!$AD:$AD, "O", IM!$X:$X, "&gt;="&amp;$R$1, IM!$X:$X, "&lt;="&amp;$S$1)&gt;0), "V", "")</f>
        <v/>
      </c>
      <c r="E85" s="303" t="str">
        <f>IF(AND(C85&lt;&gt;"V",D85&lt;&gt;"V", COUNTIFS(IM!$F:$F, A85, IM!$AD:$AD, "O", IM!$X:$X, "&gt;="&amp;$R$1, IM!$X:$X, "&lt;="&amp;$S$1)&gt;0), "V", "")</f>
        <v/>
      </c>
      <c r="F85" s="209" t="str">
        <f t="shared" si="5"/>
        <v>未保養</v>
      </c>
      <c r="G85" s="209" t="str">
        <f>IF(AND(VLOOKUP(A85,門市主檔!A:Y,25,FALSE)="STAR", VLOOKUP(A85,門市主檔!A:N,14,FALSE)=""), "未更換", IF(VLOOKUP(A85,門市主檔!A:Y,25,FALSE)&lt;&gt;"STAR", "無專案", "已更換"))</f>
        <v>無專案</v>
      </c>
      <c r="H85" s="287">
        <f>VLOOKUP(A85,門市主檔!A:U,21,FALSE)</f>
        <v>0</v>
      </c>
      <c r="I85" s="209" t="str">
        <f>VLOOKUP(A85,'0919門市清單主檔'!B:V,21,FALSE)</f>
        <v>蘆洲區</v>
      </c>
      <c r="J85" s="217">
        <v>45673.673611111109</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"&gt;="&amp;$R$1, IM!$X:$X, "&lt;="&amp;$S$1)&gt;0), "V", "")</f>
        <v/>
      </c>
      <c r="E86" s="303" t="str">
        <f>IF(AND(C86&lt;&gt;"V",D86&lt;&gt;"V", COUNTIFS(IM!$F:$F, A86, IM!$AD:$AD, "O", IM!$X:$X, "&gt;="&amp;$R$1, IM!$X:$X, "&lt;="&amp;$S$1)&gt;0), "V", "")</f>
        <v/>
      </c>
      <c r="F86" s="209" t="str">
        <f t="shared" si="5"/>
        <v/>
      </c>
      <c r="G86" s="209" t="str">
        <f>IF(AND(VLOOKUP(A86,門市主檔!A:Y,25,FALSE)="STAR", VLOOKUP(A86,門市主檔!A:N,14,FALSE)=""), "未更換", IF(VLOOKUP(A86,門市主檔!A:Y,25,FALSE)&lt;&gt;"STAR", "無專案", "已更換"))</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"&gt;="&amp;$R$1, IM!$X:$X, "&lt;="&amp;$S$1)&gt;0), "V", "")</f>
        <v/>
      </c>
      <c r="E87" s="303" t="str">
        <f>IF(AND(C87&lt;&gt;"V",D87&lt;&gt;"V", COUNTIFS(IM!$F:$F, A87, IM!$AD:$AD, "O", IM!$X:$X, "&gt;="&amp;$R$1, IM!$X:$X, "&lt;="&amp;$S$1)&gt;0), "V", "")</f>
        <v/>
      </c>
      <c r="F87" s="209" t="str">
        <f t="shared" si="5"/>
        <v/>
      </c>
      <c r="G87" s="209" t="str">
        <f>IF(AND(VLOOKUP(A87,門市主檔!A:Y,25,FALSE)="STAR", VLOOKUP(A87,門市主檔!A:N,14,FALSE)=""), "未更換", IF(VLOOKUP(A87,門市主檔!A:Y,25,FALSE)&lt;&gt;"STAR", "無專案", "已更換"))</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"&gt;="&amp;$R$1, IM!$X:$X, "&lt;="&amp;$S$1)&gt;0), "V", "")</f>
        <v/>
      </c>
      <c r="E88" s="303" t="str">
        <f>IF(AND(C88&lt;&gt;"V",D88&lt;&gt;"V", COUNTIFS(IM!$F:$F, A88, IM!$AD:$AD, "O", IM!$X:$X, "&gt;="&amp;$R$1, IM!$X:$X, "&lt;="&amp;$S$1)&gt;0), "V", "")</f>
        <v/>
      </c>
      <c r="F88" s="209" t="str">
        <f t="shared" si="5"/>
        <v/>
      </c>
      <c r="G88" s="209" t="str">
        <f>IF(AND(VLOOKUP(A88,門市主檔!A:Y,25,FALSE)="STAR", VLOOKUP(A88,門市主檔!A:N,14,FALSE)=""), "未更換", IF(VLOOKUP(A88,門市主檔!A:Y,25,FALSE)&lt;&gt;"STAR", "無專案", "已更換"))</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"&gt;="&amp;$R$1, IM!$X:$X, "&lt;="&amp;$S$1)&gt;0), "V", "")</f>
        <v/>
      </c>
      <c r="E89" s="303" t="str">
        <f>IF(AND(C89&lt;&gt;"V",D89&lt;&gt;"V", COUNTIFS(IM!$F:$F, A89, IM!$AD:$AD, "O", IM!$X:$X, "&gt;="&amp;$R$1, IM!$X:$X, "&lt;="&amp;$S$1)&gt;0), "V", "")</f>
        <v/>
      </c>
      <c r="F89" s="209" t="str">
        <f t="shared" si="5"/>
        <v/>
      </c>
      <c r="G89" s="209" t="str">
        <f>IF(AND(VLOOKUP(A89,門市主檔!A:Y,25,FALSE)="STAR", VLOOKUP(A89,門市主檔!A:N,14,FALSE)=""), "未更換", IF(VLOOKUP(A89,門市主檔!A:Y,25,FALSE)&lt;&gt;"STAR", "無專案", "已更換"))</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"&gt;="&amp;$R$1, IM!$X:$X, "&lt;="&amp;$S$1)&gt;0), "V", "")</f>
        <v/>
      </c>
      <c r="E90" s="303" t="str">
        <f>IF(AND(C90&lt;&gt;"V",D90&lt;&gt;"V", COUNTIFS(IM!$F:$F, A90, IM!$AD:$AD, "O", IM!$X:$X, "&gt;="&amp;$R$1, IM!$X:$X, "&lt;="&amp;$S$1)&gt;0), "V", "")</f>
        <v/>
      </c>
      <c r="F90" s="209" t="str">
        <f t="shared" si="5"/>
        <v/>
      </c>
      <c r="G90" s="209" t="str">
        <f>IF(AND(VLOOKUP(A90,門市主檔!A:Y,25,FALSE)="STAR", VLOOKUP(A90,門市主檔!A:N,14,FALSE)=""), "未更換", IF(VLOOKUP(A90,門市主檔!A:Y,25,FALSE)&lt;&gt;"STAR", "無專案", "已更換"))</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"&gt;="&amp;$R$1, IM!$X:$X, "&lt;="&amp;$S$1)&gt;0), "V", "")</f>
        <v/>
      </c>
      <c r="E91" s="303" t="str">
        <f>IF(AND(C91&lt;&gt;"V",D91&lt;&gt;"V", COUNTIFS(IM!$F:$F, A91, IM!$AD:$AD, "O", IM!$X:$X, "&gt;="&amp;$R$1, IM!$X:$X, "&lt;="&amp;$S$1)&gt;0), "V", "")</f>
        <v/>
      </c>
      <c r="F91" s="209" t="str">
        <f t="shared" si="5"/>
        <v/>
      </c>
      <c r="G91" s="209" t="str">
        <f>IF(AND(VLOOKUP(A91,門市主檔!A:Y,25,FALSE)="STAR", VLOOKUP(A91,門市主檔!A:N,14,FALSE)=""), "未更換", IF(VLOOKUP(A91,門市主檔!A:Y,25,FALSE)&lt;&gt;"STAR", "無專案", "已更換"))</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"&gt;="&amp;$R$1, IM!$X:$X, "&lt;="&amp;$S$1)&gt;0), "V", "")</f>
        <v/>
      </c>
      <c r="E92" s="303" t="str">
        <f>IF(AND(C92&lt;&gt;"V",D92&lt;&gt;"V", COUNTIFS(IM!$F:$F, A92, IM!$AD:$AD, "O", IM!$X:$X, "&gt;="&amp;$R$1, IM!$X:$X, "&lt;="&amp;$S$1)&gt;0), "V", "")</f>
        <v/>
      </c>
      <c r="F92" s="209" t="str">
        <f t="shared" si="5"/>
        <v/>
      </c>
      <c r="G92" s="209" t="str">
        <f>IF(AND(VLOOKUP(A92,門市主檔!A:Y,25,FALSE)="STAR", VLOOKUP(A92,門市主檔!A:N,14,FALSE)=""), "未更換", IF(VLOOKUP(A92,門市主檔!A:Y,25,FALSE)&lt;&gt;"STAR", "無專案", "已更換"))</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"&gt;="&amp;$R$1, IM!$X:$X, "&lt;="&amp;$S$1)&gt;0), "V", "")</f>
        <v/>
      </c>
      <c r="E93" s="303" t="str">
        <f>IF(AND(C93&lt;&gt;"V",D93&lt;&gt;"V", COUNTIFS(IM!$F:$F, A93, IM!$AD:$AD, "O", IM!$X:$X, "&gt;="&amp;$R$1, IM!$X:$X, "&lt;="&amp;$S$1)&gt;0), "V", "")</f>
        <v/>
      </c>
      <c r="F93" s="209" t="str">
        <f t="shared" si="5"/>
        <v/>
      </c>
      <c r="G93" s="209" t="str">
        <f>IF(AND(VLOOKUP(A93,門市主檔!A:Y,25,FALSE)="STAR", VLOOKUP(A93,門市主檔!A:N,14,FALSE)=""), "未更換", IF(VLOOKUP(A93,門市主檔!A:Y,25,FALSE)&lt;&gt;"STAR", "無專案", "已更換"))</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"&gt;="&amp;$R$1, IM!$X:$X, "&lt;="&amp;$S$1)&gt;0), "V", "")</f>
        <v/>
      </c>
      <c r="E94" s="303" t="str">
        <f>IF(AND(C94&lt;&gt;"V",D94&lt;&gt;"V", COUNTIFS(IM!$F:$F, A94, IM!$AD:$AD, "O", IM!$X:$X, "&gt;="&amp;$R$1, IM!$X:$X, "&lt;="&amp;$S$1)&gt;0), "V", "")</f>
        <v/>
      </c>
      <c r="F94" s="209" t="str">
        <f t="shared" si="5"/>
        <v/>
      </c>
      <c r="G94" s="209" t="str">
        <f>IF(AND(VLOOKUP(A94,門市主檔!A:Y,25,FALSE)="STAR", VLOOKUP(A94,門市主檔!A:N,14,FALSE)=""), "未更換", IF(VLOOKUP(A94,門市主檔!A:Y,25,FALSE)&lt;&gt;"STAR", "無專案", "已更換"))</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"&gt;="&amp;$R$1, IM!$X:$X, "&lt;="&amp;$S$1)&gt;0), "V", "")</f>
        <v/>
      </c>
      <c r="E95" s="303" t="str">
        <f>IF(AND(C95&lt;&gt;"V",D95&lt;&gt;"V", COUNTIFS(IM!$F:$F, A95, IM!$AD:$AD, "O", IM!$X:$X, "&gt;="&amp;$R$1, IM!$X:$X, "&lt;="&amp;$S$1)&gt;0), "V", "")</f>
        <v/>
      </c>
      <c r="F95" s="209" t="str">
        <f t="shared" si="5"/>
        <v/>
      </c>
      <c r="G95" s="209" t="str">
        <f>IF(AND(VLOOKUP(A95,門市主檔!A:Y,25,FALSE)="STAR", VLOOKUP(A95,門市主檔!A:N,14,FALSE)=""), "未更換", IF(VLOOKUP(A95,門市主檔!A:Y,25,FALSE)&lt;&gt;"STAR", "無專案", "已更換"))</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"&gt;="&amp;$R$1, IM!$X:$X, "&lt;="&amp;$S$1)&gt;0), "V", "")</f>
        <v/>
      </c>
      <c r="E96" s="303" t="str">
        <f>IF(AND(C96&lt;&gt;"V",D96&lt;&gt;"V", COUNTIFS(IM!$F:$F, A96, IM!$AD:$AD, "O", IM!$X:$X, "&gt;="&amp;$R$1, IM!$X:$X, "&lt;="&amp;$S$1)&gt;0), "V", "")</f>
        <v/>
      </c>
      <c r="F96" s="209" t="str">
        <f t="shared" si="5"/>
        <v/>
      </c>
      <c r="G96" s="209" t="str">
        <f>IF(AND(VLOOKUP(A96,門市主檔!A:Y,25,FALSE)="STAR", VLOOKUP(A96,門市主檔!A:N,14,FALSE)=""), "未更換", IF(VLOOKUP(A96,門市主檔!A:Y,25,FALSE)&lt;&gt;"STAR", "無專案", "已更換"))</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"&gt;="&amp;$R$1, IM!$X:$X, "&lt;="&amp;$S$1)&gt;0), "V", "")</f>
        <v/>
      </c>
      <c r="E97" s="303" t="str">
        <f>IF(AND(C97&lt;&gt;"V",D97&lt;&gt;"V", COUNTIFS(IM!$F:$F, A97, IM!$AD:$AD, "O", IM!$X:$X, "&gt;="&amp;$R$1, IM!$X:$X, "&lt;="&amp;$S$1)&gt;0), "V", "")</f>
        <v/>
      </c>
      <c r="F97" s="209" t="str">
        <f t="shared" si="5"/>
        <v/>
      </c>
      <c r="G97" s="209" t="str">
        <f>IF(AND(VLOOKUP(A97,門市主檔!A:Y,25,FALSE)="STAR", VLOOKUP(A97,門市主檔!A:N,14,FALSE)=""), "未更換", IF(VLOOKUP(A97,門市主檔!A:Y,25,FALSE)&lt;&gt;"STAR", "無專案", "已更換"))</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"&gt;="&amp;$R$1, IM!$X:$X, "&lt;="&amp;$S$1)&gt;0), "V", "")</f>
        <v/>
      </c>
      <c r="E98" s="303" t="str">
        <f>IF(AND(C98&lt;&gt;"V",D98&lt;&gt;"V", COUNTIFS(IM!$F:$F, A98, IM!$AD:$AD, "O", IM!$X:$X, "&gt;="&amp;$R$1, IM!$X:$X, "&lt;="&amp;$S$1)&gt;0), "V", "")</f>
        <v/>
      </c>
      <c r="F98" s="209" t="str">
        <f t="shared" si="5"/>
        <v/>
      </c>
      <c r="G98" s="209" t="str">
        <f>IF(AND(VLOOKUP(A98,門市主檔!A:Y,25,FALSE)="STAR", VLOOKUP(A98,門市主檔!A:N,14,FALSE)=""), "未更換", IF(VLOOKUP(A98,門市主檔!A:Y,25,FALSE)&lt;&gt;"STAR", "無專案", "已更換"))</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"&gt;="&amp;$R$1, IM!$X:$X, "&lt;="&amp;$S$1)&gt;0), "V", "")</f>
        <v/>
      </c>
      <c r="E99" s="303" t="str">
        <f>IF(AND(C99&lt;&gt;"V",D99&lt;&gt;"V", COUNTIFS(IM!$F:$F, A99, IM!$AD:$AD, "O", IM!$X:$X, "&gt;="&amp;$R$1, IM!$X:$X, "&lt;="&amp;$S$1)&gt;0), "V", "")</f>
        <v/>
      </c>
      <c r="F99" s="209" t="str">
        <f t="shared" si="5"/>
        <v/>
      </c>
      <c r="G99" s="209" t="str">
        <f>IF(AND(VLOOKUP(A99,門市主檔!A:Y,25,FALSE)="STAR", VLOOKUP(A99,門市主檔!A:N,14,FALSE)=""), "未更換", IF(VLOOKUP(A99,門市主檔!A:Y,25,FALSE)&lt;&gt;"STAR", "無專案", "已更換"))</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"&gt;="&amp;$R$1, IM!$X:$X, "&lt;="&amp;$S$1)&gt;0), "V", "")</f>
        <v/>
      </c>
      <c r="E100" s="303" t="str">
        <f>IF(AND(C100&lt;&gt;"V",D100&lt;&gt;"V", COUNTIFS(IM!$F:$F, A100, IM!$AD:$AD, "O", IM!$X:$X, "&gt;="&amp;$R$1, IM!$X:$X, "&lt;="&amp;$S$1)&gt;0), "V", "")</f>
        <v/>
      </c>
      <c r="F100" s="209" t="str">
        <f t="shared" si="5"/>
        <v/>
      </c>
      <c r="G100" s="209" t="str">
        <f>IF(AND(VLOOKUP(A100,門市主檔!A:Y,25,FALSE)="STAR", VLOOKUP(A100,門市主檔!A:N,14,FALSE)=""), "未更換", IF(VLOOKUP(A100,門市主檔!A:Y,25,FALSE)&lt;&gt;"STAR", "無專案", "已更換"))</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"&gt;="&amp;$R$1, IM!$X:$X, "&lt;="&amp;$S$1)&gt;0), "V", "")</f>
        <v/>
      </c>
      <c r="E101" s="303" t="str">
        <f>IF(AND(C101&lt;&gt;"V",D101&lt;&gt;"V", COUNTIFS(IM!$F:$F, A101, IM!$AD:$AD, "O", IM!$X:$X, "&gt;="&amp;$R$1, IM!$X:$X, "&lt;="&amp;$S$1)&gt;0), "V", "")</f>
        <v/>
      </c>
      <c r="F101" s="209" t="str">
        <f t="shared" si="5"/>
        <v/>
      </c>
      <c r="G101" s="209" t="str">
        <f>IF(AND(VLOOKUP(A101,門市主檔!A:Y,25,FALSE)="STAR", VLOOKUP(A101,門市主檔!A:N,14,FALSE)=""), "未更換", IF(VLOOKUP(A101,門市主檔!A:Y,25,FALSE)&lt;&gt;"STAR", "無專案", "已更換"))</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"&gt;="&amp;$R$1, IM!$X:$X, "&lt;="&amp;$S$1)&gt;0), "V", "")</f>
        <v/>
      </c>
      <c r="E102" s="303" t="str">
        <f>IF(AND(C102&lt;&gt;"V",D102&lt;&gt;"V", COUNTIFS(IM!$F:$F, A102, IM!$AD:$AD, "O", IM!$X:$X, "&gt;="&amp;$R$1, IM!$X:$X, "&lt;="&amp;$S$1)&gt;0), "V", "")</f>
        <v/>
      </c>
      <c r="F102" s="209" t="str">
        <f t="shared" si="5"/>
        <v/>
      </c>
      <c r="G102" s="209" t="str">
        <f>IF(AND(VLOOKUP(A102,門市主檔!A:Y,25,FALSE)="STAR", VLOOKUP(A102,門市主檔!A:N,14,FALSE)=""), "未更換", IF(VLOOKUP(A102,門市主檔!A:Y,25,FALSE)&lt;&gt;"STAR", "無專案", "已更換"))</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"&gt;="&amp;$R$1, IM!$X:$X, "&lt;="&amp;$S$1)&gt;0), "V", "")</f>
        <v/>
      </c>
      <c r="E103" s="303" t="str">
        <f>IF(AND(C103&lt;&gt;"V",D103&lt;&gt;"V", COUNTIFS(IM!$F:$F, A103, IM!$AD:$AD, "O", IM!$X:$X, "&gt;="&amp;$R$1, IM!$X:$X, "&lt;="&amp;$S$1)&gt;0), "V", "")</f>
        <v/>
      </c>
      <c r="F103" s="209" t="str">
        <f t="shared" ref="F103:F123" si="6">IF(COUNTBLANK(C103:E103)=3,"未保養","")</f>
        <v/>
      </c>
      <c r="G103" s="209" t="str">
        <f>IF(AND(VLOOKUP(A103,門市主檔!A:Y,25,FALSE)="STAR", VLOOKUP(A103,門市主檔!A:N,14,FALSE)=""), "未更換", IF(VLOOKUP(A103,門市主檔!A:Y,25,FALSE)&lt;&gt;"STAR", "無專案", "已更換"))</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"&gt;="&amp;$R$1, IM!$X:$X, "&lt;="&amp;$S$1)&gt;0), "V", "")</f>
        <v/>
      </c>
      <c r="E104" s="303" t="str">
        <f>IF(AND(C104&lt;&gt;"V",D104&lt;&gt;"V", COUNTIFS(IM!$F:$F, A104, IM!$AD:$AD, "O", IM!$X:$X, "&gt;="&amp;$R$1, IM!$X:$X, "&lt;="&amp;$S$1)&gt;0), "V", "")</f>
        <v/>
      </c>
      <c r="F104" s="209" t="str">
        <f t="shared" si="6"/>
        <v/>
      </c>
      <c r="G104" s="209" t="str">
        <f>IF(AND(VLOOKUP(A104,門市主檔!A:Y,25,FALSE)="STAR", VLOOKUP(A104,門市主檔!A:N,14,FALSE)=""), "未更換", IF(VLOOKUP(A104,門市主檔!A:Y,25,FALSE)&lt;&gt;"STAR", "無專案", "已更換"))</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"&gt;="&amp;$R$1, IM!$X:$X, "&lt;="&amp;$S$1)&gt;0), "V", "")</f>
        <v/>
      </c>
      <c r="E105" s="303" t="str">
        <f>IF(AND(C105&lt;&gt;"V",D105&lt;&gt;"V", COUNTIFS(IM!$F:$F, A105, IM!$AD:$AD, "O", IM!$X:$X, "&gt;="&amp;$R$1, IM!$X:$X, "&lt;="&amp;$S$1)&gt;0), "V", "")</f>
        <v/>
      </c>
      <c r="F105" s="209" t="str">
        <f t="shared" si="6"/>
        <v/>
      </c>
      <c r="G105" s="209" t="str">
        <f>IF(AND(VLOOKUP(A105,門市主檔!A:Y,25,FALSE)="STAR", VLOOKUP(A105,門市主檔!A:N,14,FALSE)=""), "未更換", IF(VLOOKUP(A105,門市主檔!A:Y,25,FALSE)&lt;&gt;"STAR", "無專案", "已更換"))</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"&gt;="&amp;$R$1, IM!$X:$X, "&lt;="&amp;$S$1)&gt;0), "V", "")</f>
        <v/>
      </c>
      <c r="E106" s="303" t="str">
        <f>IF(AND(C106&lt;&gt;"V",D106&lt;&gt;"V", COUNTIFS(IM!$F:$F, A106, IM!$AD:$AD, "O", IM!$X:$X, "&gt;="&amp;$R$1, IM!$X:$X, "&lt;="&amp;$S$1)&gt;0), "V", "")</f>
        <v/>
      </c>
      <c r="F106" s="209" t="str">
        <f t="shared" si="6"/>
        <v/>
      </c>
      <c r="G106" s="209" t="str">
        <f>IF(AND(VLOOKUP(A106,門市主檔!A:Y,25,FALSE)="STAR", VLOOKUP(A106,門市主檔!A:N,14,FALSE)=""), "未更換", IF(VLOOKUP(A106,門市主檔!A:Y,25,FALSE)&lt;&gt;"STAR", "無專案", "已更換"))</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"&gt;="&amp;$R$1, IM!$X:$X, "&lt;="&amp;$S$1)&gt;0), "V", "")</f>
        <v/>
      </c>
      <c r="E107" s="303" t="str">
        <f>IF(AND(C107&lt;&gt;"V",D107&lt;&gt;"V", COUNTIFS(IM!$F:$F, A107, IM!$AD:$AD, "O", IM!$X:$X, "&gt;="&amp;$R$1, IM!$X:$X, "&lt;="&amp;$S$1)&gt;0), "V", "")</f>
        <v/>
      </c>
      <c r="F107" s="209" t="str">
        <f t="shared" si="6"/>
        <v/>
      </c>
      <c r="G107" s="209" t="str">
        <f>IF(AND(VLOOKUP(A107,門市主檔!A:Y,25,FALSE)="STAR", VLOOKUP(A107,門市主檔!A:N,14,FALSE)=""), "未更換", IF(VLOOKUP(A107,門市主檔!A:Y,25,FALSE)&lt;&gt;"STAR", "無專案", "已更換"))</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"&gt;="&amp;$R$1, IM!$X:$X, "&lt;="&amp;$S$1)&gt;0), "V", "")</f>
        <v/>
      </c>
      <c r="E108" s="303" t="str">
        <f>IF(AND(C108&lt;&gt;"V",D108&lt;&gt;"V", COUNTIFS(IM!$F:$F, A108, IM!$AD:$AD, "O", IM!$X:$X, "&gt;="&amp;$R$1, IM!$X:$X, "&lt;="&amp;$S$1)&gt;0), "V", "")</f>
        <v/>
      </c>
      <c r="F108" s="209" t="str">
        <f t="shared" si="6"/>
        <v/>
      </c>
      <c r="G108" s="209" t="str">
        <f>IF(AND(VLOOKUP(A108,門市主檔!A:Y,25,FALSE)="STAR", VLOOKUP(A108,門市主檔!A:N,14,FALSE)=""), "未更換", IF(VLOOKUP(A108,門市主檔!A:Y,25,FALSE)&lt;&gt;"STAR", "無專案", "已更換"))</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"&gt;="&amp;$R$1, IM!$X:$X, "&lt;="&amp;$S$1)&gt;0), "V", "")</f>
        <v/>
      </c>
      <c r="E109" s="303" t="str">
        <f>IF(AND(C109&lt;&gt;"V",D109&lt;&gt;"V", COUNTIFS(IM!$F:$F, A109, IM!$AD:$AD, "O", IM!$X:$X, "&gt;="&amp;$R$1, IM!$X:$X, "&lt;="&amp;$S$1)&gt;0), "V", "")</f>
        <v/>
      </c>
      <c r="F109" s="209" t="str">
        <f t="shared" si="6"/>
        <v/>
      </c>
      <c r="G109" s="209" t="str">
        <f>IF(AND(VLOOKUP(A109,門市主檔!A:Y,25,FALSE)="STAR", VLOOKUP(A109,門市主檔!A:N,14,FALSE)=""), "未更換", IF(VLOOKUP(A109,門市主檔!A:Y,25,FALSE)&lt;&gt;"STAR", "無專案", "已更換"))</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"&gt;="&amp;$R$1, IM!$X:$X, "&lt;="&amp;$S$1)&gt;0), "V", "")</f>
        <v/>
      </c>
      <c r="E110" s="303" t="str">
        <f>IF(AND(C110&lt;&gt;"V",D110&lt;&gt;"V", COUNTIFS(IM!$F:$F, A110, IM!$AD:$AD, "O", IM!$X:$X, "&gt;="&amp;$R$1, IM!$X:$X, "&lt;="&amp;$S$1)&gt;0), "V", "")</f>
        <v/>
      </c>
      <c r="F110" s="209" t="str">
        <f t="shared" si="6"/>
        <v/>
      </c>
      <c r="G110" s="209" t="str">
        <f>IF(AND(VLOOKUP(A110,門市主檔!A:Y,25,FALSE)="STAR", VLOOKUP(A110,門市主檔!A:N,14,FALSE)=""), "未更換", IF(VLOOKUP(A110,門市主檔!A:Y,25,FALSE)&lt;&gt;"STAR", "無專案", "已更換"))</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"&gt;="&amp;$R$1, IM!$X:$X, "&lt;="&amp;$S$1)&gt;0), "V", "")</f>
        <v/>
      </c>
      <c r="E111" s="303" t="str">
        <f>IF(AND(C111&lt;&gt;"V",D111&lt;&gt;"V", COUNTIFS(IM!$F:$F, A111, IM!$AD:$AD, "O", IM!$X:$X, "&gt;="&amp;$R$1, IM!$X:$X, "&lt;="&amp;$S$1)&gt;0), "V", "")</f>
        <v/>
      </c>
      <c r="F111" s="209" t="str">
        <f t="shared" si="6"/>
        <v/>
      </c>
      <c r="G111" s="209" t="str">
        <f>IF(AND(VLOOKUP(A111,門市主檔!A:Y,25,FALSE)="STAR", VLOOKUP(A111,門市主檔!A:N,14,FALSE)=""), "未更換", IF(VLOOKUP(A111,門市主檔!A:Y,25,FALSE)&lt;&gt;"STAR", "無專案", "已更換"))</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"&gt;="&amp;$R$1, IM!$X:$X, "&lt;="&amp;$S$1)&gt;0), "V", "")</f>
        <v/>
      </c>
      <c r="E112" s="303" t="str">
        <f>IF(AND(C112&lt;&gt;"V",D112&lt;&gt;"V", COUNTIFS(IM!$F:$F, A112, IM!$AD:$AD, "O", IM!$X:$X, "&gt;="&amp;$R$1, IM!$X:$X, "&lt;="&amp;$S$1)&gt;0), "V", "")</f>
        <v/>
      </c>
      <c r="F112" s="209" t="str">
        <f t="shared" si="6"/>
        <v/>
      </c>
      <c r="G112" s="209" t="str">
        <f>IF(AND(VLOOKUP(A112,門市主檔!A:Y,25,FALSE)="STAR", VLOOKUP(A112,門市主檔!A:N,14,FALSE)=""), "未更換", IF(VLOOKUP(A112,門市主檔!A:Y,25,FALSE)&lt;&gt;"STAR", "無專案", "已更換"))</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"&gt;="&amp;$R$1, IM!$X:$X, "&lt;="&amp;$S$1)&gt;0), "V", "")</f>
        <v/>
      </c>
      <c r="E113" s="303" t="str">
        <f>IF(AND(C113&lt;&gt;"V",D113&lt;&gt;"V", COUNTIFS(IM!$F:$F, A113, IM!$AD:$AD, "O", IM!$X:$X, "&gt;="&amp;$R$1, IM!$X:$X, "&lt;="&amp;$S$1)&gt;0), "V", "")</f>
        <v/>
      </c>
      <c r="F113" s="209" t="str">
        <f t="shared" si="6"/>
        <v/>
      </c>
      <c r="G113" s="209" t="str">
        <f>IF(AND(VLOOKUP(A113,門市主檔!A:Y,25,FALSE)="STAR", VLOOKUP(A113,門市主檔!A:N,14,FALSE)=""), "未更換", IF(VLOOKUP(A113,門市主檔!A:Y,25,FALSE)&lt;&gt;"STAR", "無專案", "已更換"))</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"&gt;="&amp;$R$1, IM!$X:$X, "&lt;="&amp;$S$1)&gt;0), "V", "")</f>
        <v/>
      </c>
      <c r="E114" s="303" t="str">
        <f>IF(AND(C114&lt;&gt;"V",D114&lt;&gt;"V", COUNTIFS(IM!$F:$F, A114, IM!$AD:$AD, "O", IM!$X:$X, "&gt;="&amp;$R$1, IM!$X:$X, "&lt;="&amp;$S$1)&gt;0), "V", "")</f>
        <v/>
      </c>
      <c r="F114" s="209" t="str">
        <f t="shared" si="6"/>
        <v/>
      </c>
      <c r="G114" s="209" t="str">
        <f>IF(AND(VLOOKUP(A114,門市主檔!A:Y,25,FALSE)="STAR", VLOOKUP(A114,門市主檔!A:N,14,FALSE)=""), "未更換", IF(VLOOKUP(A114,門市主檔!A:Y,25,FALSE)&lt;&gt;"STAR", "無專案", "已更換"))</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"&gt;="&amp;$R$1, IM!$X:$X, "&lt;="&amp;$S$1)&gt;0), "V", "")</f>
        <v/>
      </c>
      <c r="E115" s="303" t="str">
        <f>IF(AND(C115&lt;&gt;"V",D115&lt;&gt;"V", COUNTIFS(IM!$F:$F, A115, IM!$AD:$AD, "O", IM!$X:$X, "&gt;="&amp;$R$1, IM!$X:$X, "&lt;="&amp;$S$1)&gt;0), "V", "")</f>
        <v/>
      </c>
      <c r="F115" s="209" t="str">
        <f t="shared" si="6"/>
        <v/>
      </c>
      <c r="G115" s="209" t="str">
        <f>IF(AND(VLOOKUP(A115,門市主檔!A:Y,25,FALSE)="STAR", VLOOKUP(A115,門市主檔!A:N,14,FALSE)=""), "未更換", IF(VLOOKUP(A115,門市主檔!A:Y,25,FALSE)&lt;&gt;"STAR", "無專案", "已更換"))</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"&gt;="&amp;$R$1, IM!$X:$X, "&lt;="&amp;$S$1)&gt;0), "V", "")</f>
        <v/>
      </c>
      <c r="E116" s="303" t="str">
        <f>IF(AND(C116&lt;&gt;"V",D116&lt;&gt;"V", COUNTIFS(IM!$F:$F, A116, IM!$AD:$AD, "O", IM!$X:$X, "&gt;="&amp;$R$1, IM!$X:$X, "&lt;="&amp;$S$1)&gt;0), "V", "")</f>
        <v/>
      </c>
      <c r="F116" s="209" t="str">
        <f t="shared" si="6"/>
        <v/>
      </c>
      <c r="G116" s="209" t="str">
        <f>IF(AND(VLOOKUP(A116,門市主檔!A:Y,25,FALSE)="STAR", VLOOKUP(A116,門市主檔!A:N,14,FALSE)=""), "未更換", IF(VLOOKUP(A116,門市主檔!A:Y,25,FALSE)&lt;&gt;"STAR", "無專案", "已更換"))</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"&gt;="&amp;$R$1, IM!$X:$X, "&lt;="&amp;$S$1)&gt;0), "V", "")</f>
        <v/>
      </c>
      <c r="E117" s="303" t="str">
        <f>IF(AND(C117&lt;&gt;"V",D117&lt;&gt;"V", COUNTIFS(IM!$F:$F, A117, IM!$AD:$AD, "O", IM!$X:$X, "&gt;="&amp;$R$1, IM!$X:$X, "&lt;="&amp;$S$1)&gt;0), "V", "")</f>
        <v/>
      </c>
      <c r="F117" s="209" t="str">
        <f t="shared" si="6"/>
        <v/>
      </c>
      <c r="G117" s="209" t="str">
        <f>IF(AND(VLOOKUP(A117,門市主檔!A:Y,25,FALSE)="STAR", VLOOKUP(A117,門市主檔!A:N,14,FALSE)=""), "未更換", IF(VLOOKUP(A117,門市主檔!A:Y,25,FALSE)&lt;&gt;"STAR", "無專案", "已更換"))</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"&gt;="&amp;$R$1, IM!$X:$X, "&lt;="&amp;$S$1)&gt;0), "V", "")</f>
        <v/>
      </c>
      <c r="E118" s="303" t="str">
        <f>IF(AND(C118&lt;&gt;"V",D118&lt;&gt;"V", COUNTIFS(IM!$F:$F, A118, IM!$AD:$AD, "O", IM!$X:$X, "&gt;="&amp;$R$1, IM!$X:$X, "&lt;="&amp;$S$1)&gt;0), "V", "")</f>
        <v/>
      </c>
      <c r="F118" s="209" t="str">
        <f t="shared" si="6"/>
        <v/>
      </c>
      <c r="G118" s="209" t="str">
        <f>IF(AND(VLOOKUP(A118,門市主檔!A:Y,25,FALSE)="STAR", VLOOKUP(A118,門市主檔!A:N,14,FALSE)=""), "未更換", IF(VLOOKUP(A118,門市主檔!A:Y,25,FALSE)&lt;&gt;"STAR", "無專案", "已更換"))</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"&gt;="&amp;$R$1, IM!$X:$X, "&lt;="&amp;$S$1)&gt;0), "V", "")</f>
        <v/>
      </c>
      <c r="E119" s="303" t="str">
        <f>IF(AND(C119&lt;&gt;"V",D119&lt;&gt;"V", COUNTIFS(IM!$F:$F, A119, IM!$AD:$AD, "O", IM!$X:$X, "&gt;="&amp;$R$1, IM!$X:$X, "&lt;="&amp;$S$1)&gt;0), "V", "")</f>
        <v/>
      </c>
      <c r="F119" s="209" t="str">
        <f t="shared" si="6"/>
        <v/>
      </c>
      <c r="G119" s="209" t="str">
        <f>IF(AND(VLOOKUP(A119,門市主檔!A:Y,25,FALSE)="STAR", VLOOKUP(A119,門市主檔!A:N,14,FALSE)=""), "未更換", IF(VLOOKUP(A119,門市主檔!A:Y,25,FALSE)&lt;&gt;"STAR", "無專案", "已更換"))</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"&gt;="&amp;$R$1, IM!$X:$X, "&lt;="&amp;$S$1)&gt;0), "V", "")</f>
        <v/>
      </c>
      <c r="E120" s="303" t="str">
        <f>IF(AND(C120&lt;&gt;"V",D120&lt;&gt;"V", COUNTIFS(IM!$F:$F, A120, IM!$AD:$AD, "O", IM!$X:$X, "&gt;="&amp;$R$1, IM!$X:$X, "&lt;="&amp;$S$1)&gt;0), "V", "")</f>
        <v/>
      </c>
      <c r="F120" s="209" t="str">
        <f t="shared" si="6"/>
        <v/>
      </c>
      <c r="G120" s="209" t="str">
        <f>IF(AND(VLOOKUP(A120,門市主檔!A:Y,25,FALSE)="STAR", VLOOKUP(A120,門市主檔!A:N,14,FALSE)=""), "未更換", IF(VLOOKUP(A120,門市主檔!A:Y,25,FALSE)&lt;&gt;"STAR", "無專案", "已更換"))</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"&gt;="&amp;$R$1, IM!$X:$X, "&lt;="&amp;$S$1)&gt;0), "V", "")</f>
        <v/>
      </c>
      <c r="E121" s="303" t="str">
        <f>IF(AND(C121&lt;&gt;"V",D121&lt;&gt;"V", COUNTIFS(IM!$F:$F, A121, IM!$AD:$AD, "O", IM!$X:$X, "&gt;="&amp;$R$1, IM!$X:$X, "&lt;="&amp;$S$1)&gt;0), "V", "")</f>
        <v/>
      </c>
      <c r="F121" s="209" t="str">
        <f t="shared" si="6"/>
        <v/>
      </c>
      <c r="G121" s="209" t="str">
        <f>IF(AND(VLOOKUP(A121,門市主檔!A:Y,25,FALSE)="STAR", VLOOKUP(A121,門市主檔!A:N,14,FALSE)=""), "未更換", IF(VLOOKUP(A121,門市主檔!A:Y,25,FALSE)&lt;&gt;"STAR", "無專案", "已更換"))</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"&gt;="&amp;$R$1, IM!$X:$X, "&lt;="&amp;$S$1)&gt;0), "V", "")</f>
        <v/>
      </c>
      <c r="E122" s="303" t="str">
        <f>IF(AND(C122&lt;&gt;"V",D122&lt;&gt;"V", COUNTIFS(IM!$F:$F, A122, IM!$AD:$AD, "O", IM!$X:$X, "&gt;="&amp;$R$1, IM!$X:$X, "&lt;="&amp;$S$1)&gt;0), "V", "")</f>
        <v/>
      </c>
      <c r="F122" s="209" t="str">
        <f t="shared" si="6"/>
        <v/>
      </c>
      <c r="G122" s="209" t="str">
        <f>IF(AND(VLOOKUP(A122,門市主檔!A:Y,25,FALSE)="STAR", VLOOKUP(A122,門市主檔!A:N,14,FALSE)=""), "未更換", IF(VLOOKUP(A122,門市主檔!A:Y,25,FALSE)&lt;&gt;"STAR", "無專案", "已更換"))</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"&gt;="&amp;$R$1, IM!$X:$X, "&lt;="&amp;$S$1)&gt;0), "V", "")</f>
        <v/>
      </c>
      <c r="E123" s="303" t="str">
        <f>IF(AND(C123&lt;&gt;"V",D123&lt;&gt;"V", COUNTIFS(IM!$F:$F, A123, IM!$AD:$AD, "O", IM!$X:$X, "&gt;="&amp;$R$1, IM!$X:$X, "&lt;="&amp;$S$1)&gt;0), "V", "")</f>
        <v/>
      </c>
      <c r="F123" s="209" t="str">
        <f t="shared" si="6"/>
        <v/>
      </c>
      <c r="G123" s="209" t="str">
        <f>IF(AND(VLOOKUP(A123,門市主檔!A:Y,25,FALSE)="STAR", VLOOKUP(A123,門市主檔!A:N,14,FALSE)=""), "未更換", IF(VLOOKUP(A123,門市主檔!A:Y,25,FALSE)&lt;&gt;"STAR", "無專案", "已更換"))</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F11" sqref="F11"/>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19</v>
      </c>
      <c r="E2" s="323">
        <f>IF((C2-D2)&lt;0,"0",(C2-D2))</f>
        <v>1</v>
      </c>
      <c r="F2" s="325" t="str">
        <f>ROUND(IF((D2/C2)&gt;1,1,(D2/C2))*100,0)&amp;"%"</f>
        <v>95%</v>
      </c>
      <c r="G2" s="324">
        <f>COUNTIFS(門市主檔!E:E,J1,門市主檔!Y:Y,"STAR")</f>
        <v>42</v>
      </c>
      <c r="H2" s="324">
        <f>COUNTIF($G$7:$G$150,"已更換")</f>
        <v>15</v>
      </c>
      <c r="I2" s="324">
        <f>COUNTIF($G$7:$G$150,"未更換")</f>
        <v>27</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0</v>
      </c>
      <c r="E3" s="323">
        <f t="shared" ref="E3:E4" si="0">IF((C3-D3)&lt;0,"0",(C3-D3))</f>
        <v>19</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1"/>
      <c r="B5" s="362" t="s">
        <v>4084</v>
      </c>
      <c r="C5" s="363">
        <f>SUM(C2:C4)</f>
        <v>58</v>
      </c>
      <c r="D5" s="363">
        <f t="shared" ref="D5:E5" si="2">SUM(D2:D4)</f>
        <v>19</v>
      </c>
      <c r="E5" s="363">
        <f t="shared" si="2"/>
        <v>39</v>
      </c>
      <c r="F5" s="364" t="str">
        <f>ROUND(IF((D5/C5)&gt;1,1,(D5/C5))*100,0)&amp;"%"</f>
        <v>33%</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 t="shared" ref="F7:F38" si="3">IF(COUNTBLANK(C7:E7)=3,"未保養","")</f>
        <v>未保養</v>
      </c>
      <c r="G7" s="209" t="str">
        <f>IF(AND(VLOOKUP(A7,門市主檔!A:Y,25,FALSE)="STAR", VLOOKUP(A7,門市主檔!A:N,14,FALSE)=""), "未更換", IF(VLOOKUP(A7,門市主檔!A:Y,25,FALSE)&lt;&gt;"STAR", "無專案", "已更換"))</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 t="shared" si="3"/>
        <v>未保養</v>
      </c>
      <c r="G8" s="209" t="str">
        <f>IF(AND(VLOOKUP(A8,門市主檔!A:Y,25,FALSE)="STAR", VLOOKUP(A8,門市主檔!A:N,14,FALSE)=""), "未更換", IF(VLOOKUP(A8,門市主檔!A:Y,25,FALSE)&lt;&gt;"STAR", "無專案", "已更換"))</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 t="shared" si="3"/>
        <v>未保養</v>
      </c>
      <c r="G9" s="209" t="str">
        <f>IF(AND(VLOOKUP(A9,門市主檔!A:Y,25,FALSE)="STAR", VLOOKUP(A9,門市主檔!A:N,14,FALSE)=""), "未更換", IF(VLOOKUP(A9,門市主檔!A:Y,25,FALSE)&lt;&gt;"STAR", "無專案", "已更換"))</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 t="shared" si="3"/>
        <v>未保養</v>
      </c>
      <c r="G10" s="209" t="str">
        <f>IF(AND(VLOOKUP(A10,門市主檔!A:Y,25,FALSE)="STAR", VLOOKUP(A10,門市主檔!A:N,14,FALSE)=""), "未更換", IF(VLOOKUP(A10,門市主檔!A:Y,25,FALSE)&lt;&gt;"STAR", "無專案", "已更換"))</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 t="shared" si="3"/>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 t="shared" si="3"/>
        <v>未保養</v>
      </c>
      <c r="G12" s="209" t="str">
        <f>IF(AND(VLOOKUP(A12,門市主檔!A:Y,25,FALSE)="STAR", VLOOKUP(A12,門市主檔!A:N,14,FALSE)=""), "未更換", IF(VLOOKUP(A12,門市主檔!A:Y,25,FALSE)&lt;&gt;"STAR", "無專案", "已更換"))</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 t="shared" si="3"/>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 t="shared" si="3"/>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 t="shared" si="3"/>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 t="shared" si="3"/>
        <v>未保養</v>
      </c>
      <c r="G16" s="209" t="str">
        <f>IF(AND(VLOOKUP(A16,門市主檔!A:Y,25,FALSE)="STAR", VLOOKUP(A16,門市主檔!A:N,14,FALSE)=""), "未更換", IF(VLOOKUP(A16,門市主檔!A:Y,25,FALSE)&lt;&gt;"STAR", "無專案", "已更換"))</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 t="shared" si="3"/>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 t="shared" si="3"/>
        <v>未保養</v>
      </c>
      <c r="G18" s="209" t="str">
        <f>IF(AND(VLOOKUP(A18,門市主檔!A:Y,25,FALSE)="STAR", VLOOKUP(A18,門市主檔!A:N,14,FALSE)=""), "未更換", IF(VLOOKUP(A18,門市主檔!A:Y,25,FALSE)&lt;&gt;"STAR", "無專案", "已更換"))</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 t="shared" si="3"/>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 t="shared" si="3"/>
        <v>未保養</v>
      </c>
      <c r="G20" s="209" t="str">
        <f>IF(AND(VLOOKUP(A20,門市主檔!A:Y,25,FALSE)="STAR", VLOOKUP(A20,門市主檔!A:N,14,FALSE)=""), "未更換", IF(VLOOKUP(A20,門市主檔!A:Y,25,FALSE)&lt;&gt;"STAR", "無專案", "已更換"))</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 t="shared" si="3"/>
        <v>未保養</v>
      </c>
      <c r="G21" s="209" t="str">
        <f>IF(AND(VLOOKUP(A21,門市主檔!A:Y,25,FALSE)="STAR", VLOOKUP(A21,門市主檔!A:N,14,FALSE)=""), "未更換", IF(VLOOKUP(A21,門市主檔!A:Y,25,FALSE)&lt;&gt;"STAR", "無專案", "已更換"))</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 t="shared" si="3"/>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 t="shared" si="3"/>
        <v>未保養</v>
      </c>
      <c r="G23" s="209" t="str">
        <f>IF(AND(VLOOKUP(A23,門市主檔!A:Y,25,FALSE)="STAR", VLOOKUP(A23,門市主檔!A:N,14,FALSE)=""), "未更換", IF(VLOOKUP(A23,門市主檔!A:Y,25,FALSE)&lt;&gt;"STAR", "無專案", "已更換"))</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 t="shared" si="3"/>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 t="shared" si="3"/>
        <v>未保養</v>
      </c>
      <c r="G25" s="209" t="str">
        <f>IF(AND(VLOOKUP(A25,門市主檔!A:Y,25,FALSE)="STAR", VLOOKUP(A25,門市主檔!A:N,14,FALSE)=""), "未更換", IF(VLOOKUP(A25,門市主檔!A:Y,25,FALSE)&lt;&gt;"STAR", "無專案", "已更換"))</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 t="shared" si="3"/>
        <v>未保養</v>
      </c>
      <c r="G26" s="209" t="str">
        <f>IF(AND(VLOOKUP(A26,門市主檔!A:Y,25,FALSE)="STAR", VLOOKUP(A26,門市主檔!A:N,14,FALSE)=""), "未更換", IF(VLOOKUP(A26,門市主檔!A:Y,25,FALSE)&lt;&gt;"STAR", "無專案", "已更換"))</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 t="shared" si="3"/>
        <v>未保養</v>
      </c>
      <c r="G27" s="209" t="str">
        <f>IF(AND(VLOOKUP(A27,門市主檔!A:Y,25,FALSE)="STAR", VLOOKUP(A27,門市主檔!A:N,14,FALSE)=""), "未更換", IF(VLOOKUP(A27,門市主檔!A:Y,25,FALSE)&lt;&gt;"STAR", "無專案", "已更換"))</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 t="shared" si="3"/>
        <v>未保養</v>
      </c>
      <c r="G28" s="209" t="str">
        <f>IF(AND(VLOOKUP(A28,門市主檔!A:Y,25,FALSE)="STAR", VLOOKUP(A28,門市主檔!A:N,14,FALSE)=""), "未更換", IF(VLOOKUP(A28,門市主檔!A:Y,25,FALSE)&lt;&gt;"STAR", "無專案", "已更換"))</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 t="shared" si="3"/>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 t="shared" si="3"/>
        <v>未保養</v>
      </c>
      <c r="G30" s="209" t="str">
        <f>IF(AND(VLOOKUP(A30,門市主檔!A:Y,25,FALSE)="STAR", VLOOKUP(A30,門市主檔!A:N,14,FALSE)=""), "未更換", IF(VLOOKUP(A30,門市主檔!A:Y,25,FALSE)&lt;&gt;"STAR", "無專案", "已更換"))</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 t="shared" si="3"/>
        <v>未保養</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 t="shared" si="3"/>
        <v>未保養</v>
      </c>
      <c r="G32" s="209" t="str">
        <f>IF(AND(VLOOKUP(A32,門市主檔!A:Y,25,FALSE)="STAR", VLOOKUP(A32,門市主檔!A:N,14,FALSE)=""), "未更換", IF(VLOOKUP(A32,門市主檔!A:Y,25,FALSE)&lt;&gt;"STAR", "無專案", "已更換"))</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 t="shared" si="3"/>
        <v>未保養</v>
      </c>
      <c r="G33" s="209" t="str">
        <f>IF(AND(VLOOKUP(A33,門市主檔!A:Y,25,FALSE)="STAR", VLOOKUP(A33,門市主檔!A:N,14,FALSE)=""), "未更換", IF(VLOOKUP(A33,門市主檔!A:Y,25,FALSE)&lt;&gt;"STAR", "無專案", "已更換"))</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3358</v>
      </c>
      <c r="B34" s="209" t="str">
        <f>VLOOKUP(A34,門市主檔!A:B,2,FALSE)</f>
        <v>新莊棒球場</v>
      </c>
      <c r="C34" s="303" t="str">
        <f>IF(COUNTIFS(IM!$F:$F,A34,IM!$AD:$AD,"O",IM!$X:$X,"&gt;="&amp;$R$1, IM!$X:$X,"&lt;="&amp;$S$1)&gt;0,"V","")</f>
        <v>V</v>
      </c>
      <c r="D34" s="303" t="str">
        <f>IF(AND(C34&lt;&gt;"V", COUNTIFS(IM!$F:$F,A34, IM!$AD:$AD, "O", IM!$X:$X, "&gt;="&amp;$R$1, IM!$X:$X, "&lt;="&amp;$S$1)&gt;0), "V", "")</f>
        <v/>
      </c>
      <c r="E34" s="303" t="str">
        <f>IF(AND(C34&lt;&gt;"V",D34&lt;&gt;"V", COUNTIFS(IM!$F:$F, A34, IM!$AD:$AD, "O", IM!$X:$X, "&gt;="&amp;$R$1, IM!$X:$X, "&lt;="&amp;$S$1)&gt;0), "V", "")</f>
        <v/>
      </c>
      <c r="F34" s="209" t="str">
        <f t="shared" si="3"/>
        <v/>
      </c>
      <c r="G34" s="209" t="str">
        <f>IF(AND(VLOOKUP(A34,門市主檔!A:Y,25,FALSE)="STAR", VLOOKUP(A34,門市主檔!A:N,14,FALSE)=""), "未更換", IF(VLOOKUP(A34,門市主檔!A:Y,25,FALSE)&lt;&gt;"STAR", "無專案", "已更換"))</f>
        <v>無專案</v>
      </c>
      <c r="H34" s="287">
        <f>VLOOKUP(A34,門市主檔!A:U,21,FALSE)</f>
        <v>0</v>
      </c>
      <c r="I34" s="209" t="str">
        <f>VLOOKUP(A34,'0919門市清單主檔'!B:V,21,FALSE)</f>
        <v>新莊區</v>
      </c>
      <c r="J34" s="217">
        <v>45736.6875</v>
      </c>
      <c r="K34" s="204"/>
      <c r="L34" s="204"/>
      <c r="M34" s="204"/>
      <c r="N34" s="204"/>
      <c r="O34" s="204"/>
      <c r="P34" s="204" t="s">
        <v>52</v>
      </c>
      <c r="Q34" s="204"/>
    </row>
    <row r="35" spans="1:17" ht="21.6" customHeight="1">
      <c r="A35" s="209">
        <v>5057</v>
      </c>
      <c r="B35" s="209" t="str">
        <f>VLOOKUP(A35,門市主檔!A:B,2,FALSE)</f>
        <v>新莊中港店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 t="shared" si="3"/>
        <v>未保養</v>
      </c>
      <c r="G35" s="209" t="str">
        <f>IF(AND(VLOOKUP(A35,門市主檔!A:Y,25,FALSE)="STAR", VLOOKUP(A35,門市主檔!A:N,14,FALSE)=""), "未更換", IF(VLOOKUP(A35,門市主檔!A:Y,25,FALSE)&lt;&gt;"STAR", "無專案", "已更換"))</f>
        <v>未更換</v>
      </c>
      <c r="H35" s="287">
        <f>VLOOKUP(A35,門市主檔!A:U,21,FALSE)</f>
        <v>2</v>
      </c>
      <c r="I35" s="209" t="str">
        <f>VLOOKUP(A35,'0919門市清單主檔'!B:V,21,FALSE)</f>
        <v>新莊區</v>
      </c>
      <c r="J35" s="217">
        <v>45730.666666666664</v>
      </c>
      <c r="K35" s="204"/>
      <c r="L35" s="204"/>
      <c r="M35" s="204"/>
      <c r="N35" s="204"/>
      <c r="O35" s="204"/>
      <c r="P35" s="204" t="s">
        <v>52</v>
      </c>
      <c r="Q35" s="204"/>
    </row>
    <row r="36" spans="1:17" ht="21.6" customHeight="1">
      <c r="A36" s="209">
        <v>4194</v>
      </c>
      <c r="B36" s="209" t="str">
        <f>VLOOKUP(A36,門市主檔!A:B,2,FALSE)</f>
        <v>新莊鼎苑店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 t="shared" si="3"/>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新莊區</v>
      </c>
      <c r="J36" s="217">
        <v>45700.604166666664</v>
      </c>
      <c r="K36" s="204"/>
      <c r="L36" s="204"/>
      <c r="M36" s="204"/>
      <c r="N36" s="204"/>
      <c r="O36" s="204"/>
      <c r="P36" s="204" t="s">
        <v>52</v>
      </c>
      <c r="Q36" s="204"/>
    </row>
    <row r="37" spans="1:17" ht="21.6" customHeight="1">
      <c r="A37" s="209">
        <v>4701</v>
      </c>
      <c r="B37" s="209" t="str">
        <f>VLOOKUP(A37,門市主檔!A:B,2,FALSE)</f>
        <v>新莊昌平店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 t="shared" si="3"/>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新莊區</v>
      </c>
      <c r="J37" s="217">
        <v>45712.604166666664</v>
      </c>
      <c r="K37" s="204"/>
      <c r="L37" s="204"/>
      <c r="M37" s="204"/>
      <c r="N37" s="204"/>
      <c r="O37" s="204"/>
      <c r="P37" s="204" t="s">
        <v>52</v>
      </c>
      <c r="Q37" s="204"/>
    </row>
    <row r="38" spans="1:17" ht="21.6" customHeight="1">
      <c r="A38" s="209">
        <v>3999</v>
      </c>
      <c r="B38" s="209" t="str">
        <f>VLOOKUP(A38,門市主檔!A:B,2,FALSE)</f>
        <v>新莊福祐店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 t="shared" si="3"/>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新莊區</v>
      </c>
      <c r="J38" s="217">
        <v>45712.618055555555</v>
      </c>
      <c r="K38" s="204"/>
      <c r="L38" s="204"/>
      <c r="M38" s="204"/>
      <c r="N38" s="204"/>
      <c r="O38" s="204"/>
      <c r="P38" s="204" t="s">
        <v>52</v>
      </c>
      <c r="Q38" s="204"/>
    </row>
    <row r="39" spans="1:17" ht="21.6" customHeight="1">
      <c r="A39" s="209">
        <v>4856</v>
      </c>
      <c r="B39" s="209" t="str">
        <f>VLOOKUP(A39,門市主檔!A:B,2,FALSE)</f>
        <v>新莊小胖店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 t="shared" ref="F39:F64" si="4">IF(COUNTBLANK(C39:E39)=3,"未保養","")</f>
        <v>未保養</v>
      </c>
      <c r="G39" s="209" t="str">
        <f>IF(AND(VLOOKUP(A39,門市主檔!A:Y,25,FALSE)="STAR", VLOOKUP(A39,門市主檔!A:N,14,FALSE)=""), "未更換", IF(VLOOKUP(A39,門市主檔!A:Y,25,FALSE)&lt;&gt;"STAR", "無專案", "已更換"))</f>
        <v>未更換</v>
      </c>
      <c r="H39" s="287">
        <f>VLOOKUP(A39,門市主檔!A:U,21,FALSE)</f>
        <v>1</v>
      </c>
      <c r="I39" s="209" t="str">
        <f>VLOOKUP(A39,'0919門市清單主檔'!B:V,21,FALSE)</f>
        <v>新莊區</v>
      </c>
      <c r="J39" s="217">
        <v>45665.444444444445</v>
      </c>
      <c r="K39" s="204"/>
      <c r="L39" s="204"/>
      <c r="M39" s="204"/>
      <c r="N39" s="204"/>
      <c r="O39" s="204"/>
      <c r="P39" s="204" t="s">
        <v>52</v>
      </c>
      <c r="Q39" s="204"/>
    </row>
    <row r="40" spans="1:17" ht="21.6" customHeight="1">
      <c r="A40" s="209">
        <v>3380</v>
      </c>
      <c r="B40" s="209" t="str">
        <f>VLOOKUP(A40,門市主檔!A:B,2,FALSE)</f>
        <v>北縣莊勝店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 t="shared" si="4"/>
        <v>未保養</v>
      </c>
      <c r="G40" s="209" t="str">
        <f>IF(AND(VLOOKUP(A40,門市主檔!A:Y,25,FALSE)="STAR", VLOOKUP(A40,門市主檔!A:N,14,FALSE)=""), "未更換", IF(VLOOKUP(A40,門市主檔!A:Y,25,FALSE)&lt;&gt;"STAR", "無專案", "已更換"))</f>
        <v>未更換</v>
      </c>
      <c r="H40" s="287">
        <f>VLOOKUP(A40,門市主檔!A:U,21,FALSE)</f>
        <v>1</v>
      </c>
      <c r="I40" s="209" t="str">
        <f>VLOOKUP(A40,'0919門市清單主檔'!B:V,21,FALSE)</f>
        <v>新莊區</v>
      </c>
      <c r="J40" s="217">
        <v>45663.673611111109</v>
      </c>
      <c r="K40" s="204"/>
      <c r="L40" s="204"/>
      <c r="M40" s="204"/>
      <c r="N40" s="204"/>
      <c r="O40" s="204"/>
      <c r="P40" s="204" t="s">
        <v>52</v>
      </c>
      <c r="Q40" s="204"/>
    </row>
    <row r="41" spans="1:17" ht="21.6" customHeight="1">
      <c r="A41" s="209">
        <v>3052</v>
      </c>
      <c r="B41" s="209" t="str">
        <f>VLOOKUP(A41,門市主檔!A:B,2,FALSE)</f>
        <v>北縣莊玲店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 t="shared" si="4"/>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新莊區</v>
      </c>
      <c r="J41" s="217">
        <v>45663.635416666664</v>
      </c>
      <c r="K41" s="204"/>
      <c r="L41" s="204"/>
      <c r="M41" s="204"/>
      <c r="N41" s="204"/>
      <c r="O41" s="204"/>
      <c r="P41" s="204" t="s">
        <v>52</v>
      </c>
      <c r="Q41" s="204"/>
    </row>
    <row r="42" spans="1:17" ht="21.6" customHeight="1">
      <c r="A42" s="209">
        <v>4144</v>
      </c>
      <c r="B42" s="209" t="str">
        <f>VLOOKUP(A42,門市主檔!A:B,2,FALSE)</f>
        <v>新莊頭前店</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 t="shared" si="4"/>
        <v>未保養</v>
      </c>
      <c r="G42" s="209" t="str">
        <f>IF(AND(VLOOKUP(A42,門市主檔!A:Y,25,FALSE)="STAR", VLOOKUP(A42,門市主檔!A:N,14,FALSE)=""), "未更換", IF(VLOOKUP(A42,門市主檔!A:Y,25,FALSE)&lt;&gt;"STAR", "無專案", "已更換"))</f>
        <v>未更換</v>
      </c>
      <c r="H42" s="287">
        <f>VLOOKUP(A42,門市主檔!A:U,21,FALSE)</f>
        <v>2</v>
      </c>
      <c r="I42" s="209" t="str">
        <f>VLOOKUP(A42,'0919門市清單主檔'!B:V,21,FALSE)</f>
        <v>新莊區</v>
      </c>
      <c r="J42" s="217">
        <v>45691.5625</v>
      </c>
      <c r="K42" s="204"/>
      <c r="L42" s="204"/>
      <c r="M42" s="204"/>
      <c r="N42" s="204"/>
      <c r="O42" s="204"/>
      <c r="P42" s="204" t="s">
        <v>52</v>
      </c>
      <c r="Q42" s="204"/>
    </row>
    <row r="43" spans="1:17" ht="21.6" customHeight="1">
      <c r="A43" s="209">
        <v>3785</v>
      </c>
      <c r="B43" s="209" t="str">
        <f>VLOOKUP(A43,門市主檔!A:B,2,FALSE)</f>
        <v>北縣莊榮店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 t="shared" si="4"/>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新莊區</v>
      </c>
      <c r="J43" s="217">
        <v>45695.652777777781</v>
      </c>
      <c r="K43" s="204"/>
      <c r="L43" s="204"/>
      <c r="M43" s="204"/>
      <c r="N43" s="204"/>
      <c r="O43" s="204"/>
      <c r="P43" s="204" t="s">
        <v>52</v>
      </c>
      <c r="Q43" s="204"/>
    </row>
    <row r="44" spans="1:17" ht="21.6" customHeight="1">
      <c r="A44" s="209">
        <v>2743</v>
      </c>
      <c r="B44" s="209" t="str">
        <f>VLOOKUP(A44,門市主檔!A:B,2,FALSE)</f>
        <v>新莊豐年店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 t="shared" si="4"/>
        <v>未保養</v>
      </c>
      <c r="G44" s="209" t="str">
        <f>IF(AND(VLOOKUP(A44,門市主檔!A:Y,25,FALSE)="STAR", VLOOKUP(A44,門市主檔!A:N,14,FALSE)=""), "未更換", IF(VLOOKUP(A44,門市主檔!A:Y,25,FALSE)&lt;&gt;"STAR", "無專案", "已更換"))</f>
        <v>未更換</v>
      </c>
      <c r="H44" s="287">
        <f>VLOOKUP(A44,門市主檔!A:U,21,FALSE)</f>
        <v>1</v>
      </c>
      <c r="I44" s="209" t="str">
        <f>VLOOKUP(A44,'0919門市清單主檔'!B:V,21,FALSE)</f>
        <v>新莊區</v>
      </c>
      <c r="J44" s="217">
        <v>45695.635416666664</v>
      </c>
      <c r="K44" s="204"/>
      <c r="L44" s="204"/>
      <c r="M44" s="204"/>
      <c r="N44" s="204"/>
      <c r="O44" s="204"/>
      <c r="P44" s="204"/>
      <c r="Q44" s="204"/>
    </row>
    <row r="45" spans="1:17" ht="21.6" customHeight="1">
      <c r="A45" s="209">
        <v>2109</v>
      </c>
      <c r="B45" s="209" t="str">
        <f>VLOOKUP(A45,門市主檔!A:B,2,FALSE)</f>
        <v>北縣瓊林南店</v>
      </c>
      <c r="C45" s="303" t="str">
        <f>IF(COUNTIFS(IM!$F:$F,A45,IM!$AD:$AD,"O",IM!$X:$X,"&gt;="&amp;$R$1, IM!$X:$X,"&lt;="&amp;$S$1)&gt;0,"V","")</f>
        <v/>
      </c>
      <c r="D45" s="303" t="str">
        <f>IF(AND(C45&lt;&gt;"V", COUNTIFS(IM!$F:$F,A45, IM!$AD:$AD, "O", IM!$X:$X, "&gt;="&amp;$R$1, IM!$X:$X, "&lt;="&amp;$S$1)&gt;0), "V", "")</f>
        <v/>
      </c>
      <c r="E45" s="303" t="str">
        <f>IF(AND(C45&lt;&gt;"V",D45&lt;&gt;"V", COUNTIFS(IM!$F:$F, A45, IM!$AD:$AD, "O", IM!$X:$X, "&gt;="&amp;$R$1, IM!$X:$X, "&lt;="&amp;$S$1)&gt;0), "V", "")</f>
        <v/>
      </c>
      <c r="F45" s="209" t="str">
        <f t="shared" si="4"/>
        <v>未保養</v>
      </c>
      <c r="G45" s="209" t="str">
        <f>IF(AND(VLOOKUP(A45,門市主檔!A:Y,25,FALSE)="STAR", VLOOKUP(A45,門市主檔!A:N,14,FALSE)=""), "未更換", IF(VLOOKUP(A45,門市主檔!A:Y,25,FALSE)&lt;&gt;"STAR", "無專案", "已更換"))</f>
        <v>未更換</v>
      </c>
      <c r="H45" s="287">
        <f>VLOOKUP(A45,門市主檔!A:U,21,FALSE)</f>
        <v>2</v>
      </c>
      <c r="I45" s="209" t="str">
        <f>VLOOKUP(A45,'0919門市清單主檔'!B:V,21,FALSE)</f>
        <v>新莊區</v>
      </c>
      <c r="J45" s="217">
        <v>45695.604166666664</v>
      </c>
      <c r="K45" s="204"/>
      <c r="L45" s="204"/>
      <c r="M45" s="204"/>
      <c r="N45" s="204"/>
      <c r="O45" s="204"/>
      <c r="P45" s="204"/>
      <c r="Q45" s="204"/>
    </row>
    <row r="46" spans="1:17" ht="21.6" customHeight="1">
      <c r="A46" s="209">
        <v>4208</v>
      </c>
      <c r="B46" s="209" t="str">
        <f>VLOOKUP(A46,門市主檔!A:B,2,FALSE)</f>
        <v>新莊瓊泰店</v>
      </c>
      <c r="C46" s="303" t="str">
        <f>IF(COUNTIFS(IM!$F:$F,A46,IM!$AD:$AD,"O",IM!$X:$X,"&gt;="&amp;$R$1, IM!$X:$X,"&lt;="&amp;$S$1)&gt;0,"V","")</f>
        <v/>
      </c>
      <c r="D46" s="303" t="str">
        <f>IF(AND(C46&lt;&gt;"V", COUNTIFS(IM!$F:$F,A46, IM!$AD:$AD, "O", IM!$X:$X, "&gt;="&amp;$R$1, IM!$X:$X, "&lt;="&amp;$S$1)&gt;0), "V", "")</f>
        <v/>
      </c>
      <c r="E46" s="303" t="str">
        <f>IF(AND(C46&lt;&gt;"V",D46&lt;&gt;"V", COUNTIFS(IM!$F:$F, A46, IM!$AD:$AD, "O", IM!$X:$X, "&gt;="&amp;$R$1, IM!$X:$X, "&lt;="&amp;$S$1)&gt;0), "V", "")</f>
        <v/>
      </c>
      <c r="F46" s="209" t="str">
        <f t="shared" si="4"/>
        <v>未保養</v>
      </c>
      <c r="G46" s="209" t="str">
        <f>IF(AND(VLOOKUP(A46,門市主檔!A:Y,25,FALSE)="STAR", VLOOKUP(A46,門市主檔!A:N,14,FALSE)=""), "未更換", IF(VLOOKUP(A46,門市主檔!A:Y,25,FALSE)&lt;&gt;"STAR", "無專案", "已更換"))</f>
        <v>無專案</v>
      </c>
      <c r="H46" s="287">
        <f>VLOOKUP(A46,門市主檔!A:U,21,FALSE)</f>
        <v>0</v>
      </c>
      <c r="I46" s="209" t="str">
        <f>VLOOKUP(A46,'0919門市清單主檔'!B:V,21,FALSE)</f>
        <v>新莊區</v>
      </c>
      <c r="J46" s="217">
        <v>45695.618055555555</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"&gt;="&amp;$R$1, IM!$X:$X, "&lt;="&amp;$S$1)&gt;0), "V", "")</f>
        <v/>
      </c>
      <c r="E47" s="303" t="str">
        <f>IF(AND(C47&lt;&gt;"V",D47&lt;&gt;"V", COUNTIFS(IM!$F:$F, A47, IM!$AD:$AD, "O", IM!$X:$X, "&gt;="&amp;$R$1, IM!$X:$X, "&lt;="&amp;$S$1)&gt;0), "V", "")</f>
        <v/>
      </c>
      <c r="F47" s="209" t="str">
        <f t="shared" si="4"/>
        <v/>
      </c>
      <c r="G47" s="209" t="str">
        <f>IF(AND(VLOOKUP(A47,門市主檔!A:Y,25,FALSE)="STAR", VLOOKUP(A47,門市主檔!A:N,14,FALSE)=""), "未更換", IF(VLOOKUP(A47,門市主檔!A:Y,25,FALSE)&lt;&gt;"STAR", "無專案", "已更換"))</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"&gt;="&amp;$R$1, IM!$X:$X, "&lt;="&amp;$S$1)&gt;0), "V", "")</f>
        <v/>
      </c>
      <c r="E48" s="303" t="str">
        <f>IF(AND(C48&lt;&gt;"V",D48&lt;&gt;"V", COUNTIFS(IM!$F:$F, A48, IM!$AD:$AD, "O", IM!$X:$X, "&gt;="&amp;$R$1, IM!$X:$X, "&lt;="&amp;$S$1)&gt;0), "V", "")</f>
        <v/>
      </c>
      <c r="F48" s="209" t="str">
        <f t="shared" si="4"/>
        <v/>
      </c>
      <c r="G48" s="209" t="str">
        <f>IF(AND(VLOOKUP(A48,門市主檔!A:Y,25,FALSE)="STAR", VLOOKUP(A48,門市主檔!A:N,14,FALSE)=""), "未更換", IF(VLOOKUP(A48,門市主檔!A:Y,25,FALSE)&lt;&gt;"STAR", "無專案", "已更換"))</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"&gt;="&amp;$R$1, IM!$X:$X, "&lt;="&amp;$S$1)&gt;0), "V", "")</f>
        <v/>
      </c>
      <c r="E49" s="303" t="str">
        <f>IF(AND(C49&lt;&gt;"V",D49&lt;&gt;"V", COUNTIFS(IM!$F:$F, A49, IM!$AD:$AD, "O", IM!$X:$X, "&gt;="&amp;$R$1, IM!$X:$X, "&lt;="&amp;$S$1)&gt;0), "V", "")</f>
        <v/>
      </c>
      <c r="F49" s="209" t="str">
        <f t="shared" si="4"/>
        <v/>
      </c>
      <c r="G49" s="209" t="str">
        <f>IF(AND(VLOOKUP(A49,門市主檔!A:Y,25,FALSE)="STAR", VLOOKUP(A49,門市主檔!A:N,14,FALSE)=""), "未更換", IF(VLOOKUP(A49,門市主檔!A:Y,25,FALSE)&lt;&gt;"STAR", "無專案", "已更換"))</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"&gt;="&amp;$R$1, IM!$X:$X, "&lt;="&amp;$S$1)&gt;0), "V", "")</f>
        <v/>
      </c>
      <c r="E50" s="303" t="str">
        <f>IF(AND(C50&lt;&gt;"V",D50&lt;&gt;"V", COUNTIFS(IM!$F:$F, A50, IM!$AD:$AD, "O", IM!$X:$X, "&gt;="&amp;$R$1, IM!$X:$X, "&lt;="&amp;$S$1)&gt;0), "V", "")</f>
        <v/>
      </c>
      <c r="F50" s="209" t="str">
        <f t="shared" si="4"/>
        <v/>
      </c>
      <c r="G50" s="209" t="str">
        <f>IF(AND(VLOOKUP(A50,門市主檔!A:Y,25,FALSE)="STAR", VLOOKUP(A50,門市主檔!A:N,14,FALSE)=""), "未更換", IF(VLOOKUP(A50,門市主檔!A:Y,25,FALSE)&lt;&gt;"STAR", "無專案", "已更換"))</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"&gt;="&amp;$R$1, IM!$X:$X, "&lt;="&amp;$S$1)&gt;0), "V", "")</f>
        <v/>
      </c>
      <c r="E51" s="303" t="str">
        <f>IF(AND(C51&lt;&gt;"V",D51&lt;&gt;"V", COUNTIFS(IM!$F:$F, A51, IM!$AD:$AD, "O", IM!$X:$X, "&gt;="&amp;$R$1, IM!$X:$X, "&lt;="&amp;$S$1)&gt;0), "V", "")</f>
        <v/>
      </c>
      <c r="F51" s="209" t="str">
        <f t="shared" si="4"/>
        <v/>
      </c>
      <c r="G51" s="209" t="str">
        <f>IF(AND(VLOOKUP(A51,門市主檔!A:Y,25,FALSE)="STAR", VLOOKUP(A51,門市主檔!A:N,14,FALSE)=""), "未更換", IF(VLOOKUP(A51,門市主檔!A:Y,25,FALSE)&lt;&gt;"STAR", "無專案", "已更換"))</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"&gt;="&amp;$R$1, IM!$X:$X, "&lt;="&amp;$S$1)&gt;0), "V", "")</f>
        <v/>
      </c>
      <c r="E52" s="303" t="str">
        <f>IF(AND(C52&lt;&gt;"V",D52&lt;&gt;"V", COUNTIFS(IM!$F:$F, A52, IM!$AD:$AD, "O", IM!$X:$X, "&gt;="&amp;$R$1, IM!$X:$X, "&lt;="&amp;$S$1)&gt;0), "V", "")</f>
        <v/>
      </c>
      <c r="F52" s="209" t="str">
        <f t="shared" si="4"/>
        <v/>
      </c>
      <c r="G52" s="209" t="str">
        <f>IF(AND(VLOOKUP(A52,門市主檔!A:Y,25,FALSE)="STAR", VLOOKUP(A52,門市主檔!A:N,14,FALSE)=""), "未更換", IF(VLOOKUP(A52,門市主檔!A:Y,25,FALSE)&lt;&gt;"STAR", "無專案", "已更換"))</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"&gt;="&amp;$R$1, IM!$X:$X, "&lt;="&amp;$S$1)&gt;0), "V", "")</f>
        <v/>
      </c>
      <c r="E53" s="303" t="str">
        <f>IF(AND(C53&lt;&gt;"V",D53&lt;&gt;"V", COUNTIFS(IM!$F:$F, A53, IM!$AD:$AD, "O", IM!$X:$X, "&gt;="&amp;$R$1, IM!$X:$X, "&lt;="&amp;$S$1)&gt;0), "V", "")</f>
        <v/>
      </c>
      <c r="F53" s="209" t="str">
        <f t="shared" si="4"/>
        <v/>
      </c>
      <c r="G53" s="209" t="str">
        <f>IF(AND(VLOOKUP(A53,門市主檔!A:Y,25,FALSE)="STAR", VLOOKUP(A53,門市主檔!A:N,14,FALSE)=""), "未更換", IF(VLOOKUP(A53,門市主檔!A:Y,25,FALSE)&lt;&gt;"STAR", "無專案", "已更換"))</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"&gt;="&amp;$R$1, IM!$X:$X, "&lt;="&amp;$S$1)&gt;0), "V", "")</f>
        <v/>
      </c>
      <c r="E54" s="303" t="str">
        <f>IF(AND(C54&lt;&gt;"V",D54&lt;&gt;"V", COUNTIFS(IM!$F:$F, A54, IM!$AD:$AD, "O", IM!$X:$X, "&gt;="&amp;$R$1, IM!$X:$X, "&lt;="&amp;$S$1)&gt;0), "V", "")</f>
        <v/>
      </c>
      <c r="F54" s="209" t="str">
        <f t="shared" si="4"/>
        <v/>
      </c>
      <c r="G54" s="209" t="str">
        <f>IF(AND(VLOOKUP(A54,門市主檔!A:Y,25,FALSE)="STAR", VLOOKUP(A54,門市主檔!A:N,14,FALSE)=""), "未更換", IF(VLOOKUP(A54,門市主檔!A:Y,25,FALSE)&lt;&gt;"STAR", "無專案", "已更換"))</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"&gt;="&amp;$R$1, IM!$X:$X, "&lt;="&amp;$S$1)&gt;0), "V", "")</f>
        <v/>
      </c>
      <c r="E55" s="303" t="str">
        <f>IF(AND(C55&lt;&gt;"V",D55&lt;&gt;"V", COUNTIFS(IM!$F:$F, A55, IM!$AD:$AD, "O", IM!$X:$X, "&gt;="&amp;$R$1, IM!$X:$X, "&lt;="&amp;$S$1)&gt;0), "V", "")</f>
        <v/>
      </c>
      <c r="F55" s="209" t="str">
        <f t="shared" si="4"/>
        <v/>
      </c>
      <c r="G55" s="209" t="str">
        <f>IF(AND(VLOOKUP(A55,門市主檔!A:Y,25,FALSE)="STAR", VLOOKUP(A55,門市主檔!A:N,14,FALSE)=""), "未更換", IF(VLOOKUP(A55,門市主檔!A:Y,25,FALSE)&lt;&gt;"STAR", "無專案", "已更換"))</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"&gt;="&amp;$R$1, IM!$X:$X, "&lt;="&amp;$S$1)&gt;0), "V", "")</f>
        <v/>
      </c>
      <c r="E56" s="303" t="str">
        <f>IF(AND(C56&lt;&gt;"V",D56&lt;&gt;"V", COUNTIFS(IM!$F:$F, A56, IM!$AD:$AD, "O", IM!$X:$X, "&gt;="&amp;$R$1, IM!$X:$X, "&lt;="&amp;$S$1)&gt;0), "V", "")</f>
        <v/>
      </c>
      <c r="F56" s="209" t="str">
        <f t="shared" si="4"/>
        <v/>
      </c>
      <c r="G56" s="209" t="str">
        <f>IF(AND(VLOOKUP(A56,門市主檔!A:Y,25,FALSE)="STAR", VLOOKUP(A56,門市主檔!A:N,14,FALSE)=""), "未更換", IF(VLOOKUP(A56,門市主檔!A:Y,25,FALSE)&lt;&gt;"STAR", "無專案", "已更換"))</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"&gt;="&amp;$R$1, IM!$X:$X, "&lt;="&amp;$S$1)&gt;0), "V", "")</f>
        <v/>
      </c>
      <c r="E57" s="303" t="str">
        <f>IF(AND(C57&lt;&gt;"V",D57&lt;&gt;"V", COUNTIFS(IM!$F:$F, A57, IM!$AD:$AD, "O", IM!$X:$X, "&gt;="&amp;$R$1, IM!$X:$X, "&lt;="&amp;$S$1)&gt;0), "V", "")</f>
        <v/>
      </c>
      <c r="F57" s="209" t="str">
        <f t="shared" si="4"/>
        <v/>
      </c>
      <c r="G57" s="209" t="str">
        <f>IF(AND(VLOOKUP(A57,門市主檔!A:Y,25,FALSE)="STAR", VLOOKUP(A57,門市主檔!A:N,14,FALSE)=""), "未更換", IF(VLOOKUP(A57,門市主檔!A:Y,25,FALSE)&lt;&gt;"STAR", "無專案", "已更換"))</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"&gt;="&amp;$R$1, IM!$X:$X, "&lt;="&amp;$S$1)&gt;0), "V", "")</f>
        <v/>
      </c>
      <c r="E58" s="303" t="str">
        <f>IF(AND(C58&lt;&gt;"V",D58&lt;&gt;"V", COUNTIFS(IM!$F:$F, A58, IM!$AD:$AD, "O", IM!$X:$X, "&gt;="&amp;$R$1, IM!$X:$X, "&lt;="&amp;$S$1)&gt;0), "V", "")</f>
        <v/>
      </c>
      <c r="F58" s="209" t="str">
        <f t="shared" si="4"/>
        <v/>
      </c>
      <c r="G58" s="209" t="str">
        <f>IF(AND(VLOOKUP(A58,門市主檔!A:Y,25,FALSE)="STAR", VLOOKUP(A58,門市主檔!A:N,14,FALSE)=""), "未更換", IF(VLOOKUP(A58,門市主檔!A:Y,25,FALSE)&lt;&gt;"STAR", "無專案", "已更換"))</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"&gt;="&amp;$R$1, IM!$X:$X, "&lt;="&amp;$S$1)&gt;0), "V", "")</f>
        <v/>
      </c>
      <c r="E59" s="303" t="str">
        <f>IF(AND(C59&lt;&gt;"V",D59&lt;&gt;"V", COUNTIFS(IM!$F:$F, A59, IM!$AD:$AD, "O", IM!$X:$X, "&gt;="&amp;$R$1, IM!$X:$X, "&lt;="&amp;$S$1)&gt;0), "V", "")</f>
        <v/>
      </c>
      <c r="F59" s="209" t="str">
        <f t="shared" si="4"/>
        <v/>
      </c>
      <c r="G59" s="209" t="str">
        <f>IF(AND(VLOOKUP(A59,門市主檔!A:Y,25,FALSE)="STAR", VLOOKUP(A59,門市主檔!A:N,14,FALSE)=""), "未更換", IF(VLOOKUP(A59,門市主檔!A:Y,25,FALSE)&lt;&gt;"STAR", "無專案", "已更換"))</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"&gt;="&amp;$R$1, IM!$X:$X, "&lt;="&amp;$S$1)&gt;0), "V", "")</f>
        <v/>
      </c>
      <c r="E60" s="303" t="str">
        <f>IF(AND(C60&lt;&gt;"V",D60&lt;&gt;"V", COUNTIFS(IM!$F:$F, A60, IM!$AD:$AD, "O", IM!$X:$X, "&gt;="&amp;$R$1, IM!$X:$X, "&lt;="&amp;$S$1)&gt;0), "V", "")</f>
        <v/>
      </c>
      <c r="F60" s="209" t="str">
        <f t="shared" si="4"/>
        <v/>
      </c>
      <c r="G60" s="209" t="str">
        <f>IF(AND(VLOOKUP(A60,門市主檔!A:Y,25,FALSE)="STAR", VLOOKUP(A60,門市主檔!A:N,14,FALSE)=""), "未更換", IF(VLOOKUP(A60,門市主檔!A:Y,25,FALSE)&lt;&gt;"STAR", "無專案", "已更換"))</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"&gt;="&amp;$R$1, IM!$X:$X, "&lt;="&amp;$S$1)&gt;0), "V", "")</f>
        <v/>
      </c>
      <c r="E61" s="303" t="str">
        <f>IF(AND(C61&lt;&gt;"V",D61&lt;&gt;"V", COUNTIFS(IM!$F:$F, A61, IM!$AD:$AD, "O", IM!$X:$X, "&gt;="&amp;$R$1, IM!$X:$X, "&lt;="&amp;$S$1)&gt;0), "V", "")</f>
        <v/>
      </c>
      <c r="F61" s="209" t="str">
        <f t="shared" si="4"/>
        <v/>
      </c>
      <c r="G61" s="209" t="str">
        <f>IF(AND(VLOOKUP(A61,門市主檔!A:Y,25,FALSE)="STAR", VLOOKUP(A61,門市主檔!A:N,14,FALSE)=""), "未更換", IF(VLOOKUP(A61,門市主檔!A:Y,25,FALSE)&lt;&gt;"STAR", "無專案", "已更換"))</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"&gt;="&amp;$R$1, IM!$X:$X, "&lt;="&amp;$S$1)&gt;0), "V", "")</f>
        <v/>
      </c>
      <c r="E62" s="303" t="str">
        <f>IF(AND(C62&lt;&gt;"V",D62&lt;&gt;"V", COUNTIFS(IM!$F:$F, A62, IM!$AD:$AD, "O", IM!$X:$X, "&gt;="&amp;$R$1, IM!$X:$X, "&lt;="&amp;$S$1)&gt;0), "V", "")</f>
        <v/>
      </c>
      <c r="F62" s="209" t="str">
        <f t="shared" si="4"/>
        <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"&gt;="&amp;$R$1, IM!$X:$X, "&lt;="&amp;$S$1)&gt;0), "V", "")</f>
        <v/>
      </c>
      <c r="E63" s="303" t="str">
        <f>IF(AND(C63&lt;&gt;"V",D63&lt;&gt;"V", COUNTIFS(IM!$F:$F, A63, IM!$AD:$AD, "O", IM!$X:$X, "&gt;="&amp;$R$1, IM!$X:$X, "&lt;="&amp;$S$1)&gt;0), "V", "")</f>
        <v/>
      </c>
      <c r="F63" s="209" t="str">
        <f t="shared" si="4"/>
        <v/>
      </c>
      <c r="G63" s="209" t="str">
        <f>IF(AND(VLOOKUP(A63,門市主檔!A:Y,25,FALSE)="STAR", VLOOKUP(A63,門市主檔!A:N,14,FALSE)=""), "未更換", IF(VLOOKUP(A63,門市主檔!A:Y,25,FALSE)&lt;&gt;"STAR", "無專案", "已更換"))</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"&gt;="&amp;$R$1, IM!$X:$X, "&lt;="&amp;$S$1)&gt;0), "V", "")</f>
        <v/>
      </c>
      <c r="E64" s="303" t="str">
        <f>IF(AND(C64&lt;&gt;"V",D64&lt;&gt;"V", COUNTIFS(IM!$F:$F, A64, IM!$AD:$AD, "O", IM!$X:$X, "&gt;="&amp;$R$1, IM!$X:$X, "&lt;="&amp;$S$1)&gt;0), "V", "")</f>
        <v/>
      </c>
      <c r="F64" s="209" t="str">
        <f t="shared" si="4"/>
        <v/>
      </c>
      <c r="G64" s="209" t="str">
        <f>IF(AND(VLOOKUP(A64,門市主檔!A:Y,25,FALSE)="STAR", VLOOKUP(A64,門市主檔!A:N,14,FALSE)=""), "未更換", IF(VLOOKUP(A64,門市主檔!A:Y,25,FALSE)&lt;&gt;"STAR", "無專案", "已更換"))</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F11" sqref="F11"/>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12</v>
      </c>
      <c r="E2" s="323">
        <f>IF((C2-D2)&lt;0,"0",(C2-D2))</f>
        <v>0</v>
      </c>
      <c r="F2" s="325" t="str">
        <f>ROUND(IF((D2/C2)&gt;1,1,(D2/C2))*100,0)&amp;"%"</f>
        <v>100%</v>
      </c>
      <c r="G2" s="324">
        <f>COUNTIFS(門市主檔!E:E,J1,門市主檔!Y:Y,"STAR")</f>
        <v>26</v>
      </c>
      <c r="H2" s="324">
        <f>COUNTIF($G$7:$G$150,"已更換")</f>
        <v>9</v>
      </c>
      <c r="I2" s="324">
        <f>COUNTIF($G$7:$G$150,"未更換")</f>
        <v>17</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0</v>
      </c>
      <c r="E3" s="323">
        <f t="shared" ref="E3:E4" si="0">IF((C3-D3)&lt;0,"0",(C3-D3))</f>
        <v>12</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1"/>
      <c r="B5" s="362" t="s">
        <v>4084</v>
      </c>
      <c r="C5" s="363">
        <f>SUM(C2:C4)</f>
        <v>35</v>
      </c>
      <c r="D5" s="363">
        <f t="shared" ref="D5:E5" si="2">SUM(D2:D4)</f>
        <v>12</v>
      </c>
      <c r="E5" s="363">
        <f t="shared" si="2"/>
        <v>23</v>
      </c>
      <c r="F5" s="364" t="str">
        <f>ROUND(IF((D5/C5)&gt;1,1,(D5/C5))*100,0)&amp;"%"</f>
        <v>34%</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 t="shared" ref="F7:F41" si="3">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 t="shared" si="3"/>
        <v>未保養</v>
      </c>
      <c r="G8" s="209" t="str">
        <f>IF(AND(VLOOKUP(A8,門市主檔!A:Y,25,FALSE)="STAR", VLOOKUP(A8,門市主檔!A:N,14,FALSE)=""), "未更換", IF(VLOOKUP(A8,門市主檔!A:Y,25,FALSE)&lt;&gt;"STAR", "無專案", "已更換"))</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 t="shared" si="3"/>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t="s">
        <v>32</v>
      </c>
      <c r="B10" s="209" t="str">
        <f>VLOOKUP(A10,門市主檔!A:B,2,FALSE)</f>
        <v>板橋成都店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 t="shared" si="3"/>
        <v>未保養</v>
      </c>
      <c r="G10" s="209" t="str">
        <f>IF(AND(VLOOKUP(A10,門市主檔!A:Y,25,FALSE)="STAR", VLOOKUP(A10,門市主檔!A:N,14,FALSE)=""), "未更換", IF(VLOOKUP(A10,門市主檔!A:Y,25,FALSE)&lt;&gt;"STAR", "無專案", "已更換"))</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19" ht="21.6" customHeight="1">
      <c r="A11" s="209" t="s">
        <v>35</v>
      </c>
      <c r="B11" s="209" t="str">
        <f>VLOOKUP(A11,門市主檔!A:B,2,FALSE)</f>
        <v>車麗屋板橋店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 t="shared" si="3"/>
        <v>未保養</v>
      </c>
      <c r="G11" s="209" t="str">
        <f>IF(AND(VLOOKUP(A11,門市主檔!A:Y,25,FALSE)="STAR", VLOOKUP(A11,門市主檔!A:N,14,FALSE)=""), "未更換", IF(VLOOKUP(A11,門市主檔!A:Y,25,FALSE)&lt;&gt;"STAR", "無專案", "已更換"))</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19" ht="21.6" customHeight="1">
      <c r="A12" s="209">
        <v>4422</v>
      </c>
      <c r="B12" s="209" t="str">
        <f>VLOOKUP(A12,門市主檔!A:B,2,FALSE)</f>
        <v>板橋合安店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 t="shared" si="3"/>
        <v>未保養</v>
      </c>
      <c r="G12" s="209" t="str">
        <f>IF(AND(VLOOKUP(A12,門市主檔!A:Y,25,FALSE)="STAR", VLOOKUP(A12,門市主檔!A:N,14,FALSE)=""), "未更換", IF(VLOOKUP(A12,門市主檔!A:Y,25,FALSE)&lt;&gt;"STAR", "無專案", "已更換"))</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19" ht="21.6" customHeight="1">
      <c r="A13" s="209" t="s">
        <v>34</v>
      </c>
      <c r="B13" s="209" t="str">
        <f>VLOOKUP(A13,門市主檔!A:B,2,FALSE)</f>
        <v>板橋寶翠店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 t="shared" si="3"/>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19" ht="21.6" customHeight="1">
      <c r="A14" s="209">
        <v>3183</v>
      </c>
      <c r="B14" s="209" t="str">
        <f>VLOOKUP(A14,門市主檔!A:B,2,FALSE)</f>
        <v>北縣板好店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 t="shared" si="3"/>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19" ht="21.6" customHeight="1">
      <c r="A15" s="209">
        <v>4167</v>
      </c>
      <c r="B15" s="209" t="str">
        <f>VLOOKUP(A15,門市主檔!A:B,2,FALSE)</f>
        <v>板橋松翠店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 t="shared" si="3"/>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19" ht="21.6" customHeight="1">
      <c r="A16" s="209">
        <v>2069</v>
      </c>
      <c r="B16" s="209" t="str">
        <f>VLOOKUP(A16,門市主檔!A:B,2,FALSE)</f>
        <v>板橋江子翠站</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 t="shared" si="3"/>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 t="shared" si="3"/>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 t="shared" si="3"/>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 t="shared" si="3"/>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 t="shared" si="3"/>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 t="shared" si="3"/>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v>2403</v>
      </c>
      <c r="B22" s="209" t="str">
        <f>VLOOKUP(A22,門市主檔!A:B,2,FALSE)</f>
        <v>北縣板龍店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 t="shared" si="3"/>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板橋區</v>
      </c>
      <c r="J22" s="217">
        <v>45736.67083333333</v>
      </c>
      <c r="K22" s="204"/>
      <c r="L22" s="204"/>
      <c r="M22" s="204"/>
      <c r="N22" s="204"/>
      <c r="O22" s="204"/>
      <c r="P22" s="204" t="s">
        <v>52</v>
      </c>
      <c r="Q22" s="204"/>
    </row>
    <row r="23" spans="1:17" ht="21.6" customHeight="1">
      <c r="A23" s="209" t="s">
        <v>33</v>
      </c>
      <c r="B23" s="209" t="str">
        <f>VLOOKUP(A23,門市主檔!A:B,2,FALSE)</f>
        <v>板橋大興店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 t="shared" si="3"/>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板橋區</v>
      </c>
      <c r="J23" s="217">
        <v>45736.682638888888</v>
      </c>
      <c r="K23" s="204"/>
      <c r="L23" s="204"/>
      <c r="M23" s="204"/>
      <c r="N23" s="204"/>
      <c r="O23" s="204"/>
      <c r="P23" s="204" t="s">
        <v>52</v>
      </c>
      <c r="Q23" s="204"/>
    </row>
    <row r="24" spans="1:17" ht="21.6" customHeight="1">
      <c r="A24" s="209">
        <v>3955</v>
      </c>
      <c r="B24" s="209" t="str">
        <f>VLOOKUP(A24,門市主檔!A:B,2,FALSE)</f>
        <v>板橋海龍店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 t="shared" si="3"/>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板橋區</v>
      </c>
      <c r="J24" s="217">
        <v>45737.600694444445</v>
      </c>
      <c r="K24" s="204"/>
      <c r="L24" s="204"/>
      <c r="M24" s="204"/>
      <c r="N24" s="204"/>
      <c r="O24" s="204"/>
      <c r="P24" s="204" t="s">
        <v>52</v>
      </c>
      <c r="Q24" s="204"/>
    </row>
    <row r="25" spans="1:17" ht="21.6" customHeight="1">
      <c r="A25" s="209">
        <v>3962</v>
      </c>
      <c r="B25" s="209" t="str">
        <f>VLOOKUP(A25,門市主檔!A:B,2,FALSE)</f>
        <v>板橋仁化店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 t="shared" si="3"/>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板橋區</v>
      </c>
      <c r="J25" s="217">
        <v>45742.477777777778</v>
      </c>
      <c r="K25" s="204"/>
      <c r="L25" s="204"/>
      <c r="M25" s="204"/>
      <c r="N25" s="204"/>
      <c r="O25" s="204"/>
      <c r="P25" s="204" t="s">
        <v>52</v>
      </c>
      <c r="Q25" s="204"/>
    </row>
    <row r="26" spans="1:17" ht="21.6" customHeight="1">
      <c r="A26" s="209">
        <v>3399</v>
      </c>
      <c r="B26" s="209" t="str">
        <f>VLOOKUP(A26,門市主檔!A:B,2,FALSE)</f>
        <v>板橋藝文中心</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 t="shared" si="3"/>
        <v>未保養</v>
      </c>
      <c r="G26" s="209" t="str">
        <f>IF(AND(VLOOKUP(A26,門市主檔!A:Y,25,FALSE)="STAR", VLOOKUP(A26,門市主檔!A:N,14,FALSE)=""), "未更換", IF(VLOOKUP(A26,門市主檔!A:Y,25,FALSE)&lt;&gt;"STAR", "無專案", "已更換"))</f>
        <v>未更換</v>
      </c>
      <c r="H26" s="287">
        <f>VLOOKUP(A26,門市主檔!A:U,21,FALSE)</f>
        <v>2</v>
      </c>
      <c r="I26" s="209" t="str">
        <f>VLOOKUP(A26,'0919門市清單主檔'!B:V,21,FALSE)</f>
        <v>板橋區</v>
      </c>
      <c r="J26" s="217">
        <v>45742.495138888888</v>
      </c>
      <c r="K26" s="204"/>
      <c r="L26" s="204"/>
      <c r="M26" s="204"/>
      <c r="N26" s="204"/>
      <c r="O26" s="204"/>
      <c r="P26" s="204" t="s">
        <v>52</v>
      </c>
      <c r="Q26" s="204"/>
    </row>
    <row r="27" spans="1:17" ht="21.6" customHeight="1">
      <c r="A27" s="209">
        <v>3551</v>
      </c>
      <c r="B27" s="209" t="str">
        <f>VLOOKUP(A27,門市主檔!A:B,2,FALSE)</f>
        <v>北縣板豐店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 t="shared" si="3"/>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板橋區</v>
      </c>
      <c r="J27" s="217">
        <v>45742.524305555555</v>
      </c>
      <c r="K27" s="204"/>
      <c r="L27" s="204"/>
      <c r="M27" s="204"/>
      <c r="N27" s="204"/>
      <c r="O27" s="204"/>
      <c r="P27" s="204" t="s">
        <v>52</v>
      </c>
      <c r="Q27" s="204"/>
    </row>
    <row r="28" spans="1:17" ht="21.6" customHeight="1">
      <c r="A28" s="209" t="s">
        <v>30</v>
      </c>
      <c r="B28" s="209" t="str">
        <f>VLOOKUP(A28,門市主檔!A:B,2,FALSE)</f>
        <v>北縣府中店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 t="shared" si="3"/>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板橋區</v>
      </c>
      <c r="J28" s="217">
        <v>45742.552083333336</v>
      </c>
      <c r="K28" s="204"/>
      <c r="L28" s="204"/>
      <c r="M28" s="204"/>
      <c r="N28" s="204"/>
      <c r="O28" s="204"/>
      <c r="P28" s="204" t="s">
        <v>52</v>
      </c>
      <c r="Q28" s="204"/>
    </row>
    <row r="29" spans="1:17" ht="21.6" customHeight="1">
      <c r="A29" s="209">
        <v>3416</v>
      </c>
      <c r="B29" s="209" t="str">
        <f>VLOOKUP(A29,門市主檔!A:B,2,FALSE)</f>
        <v>板橋國慶店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 t="shared" si="3"/>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板橋區</v>
      </c>
      <c r="J29" s="217">
        <v>45742.590277777781</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"&gt;="&amp;$R$1, IM!$X:$X, "&lt;="&amp;$S$1)&gt;0), "V", "")</f>
        <v/>
      </c>
      <c r="E30" s="303" t="str">
        <f>IF(AND(C30&lt;&gt;"V",D30&lt;&gt;"V", COUNTIFS(IM!$F:$F, A30, IM!$AD:$AD, "O", IM!$X:$X, "&gt;="&amp;$R$1, IM!$X:$X, "&lt;="&amp;$S$1)&gt;0), "V", "")</f>
        <v/>
      </c>
      <c r="F30" s="209" t="str">
        <f t="shared" si="3"/>
        <v/>
      </c>
      <c r="G30" s="209" t="str">
        <f>IF(AND(VLOOKUP(A30,門市主檔!A:Y,25,FALSE)="STAR", VLOOKUP(A30,門市主檔!A:N,14,FALSE)=""), "未更換", IF(VLOOKUP(A30,門市主檔!A:Y,25,FALSE)&lt;&gt;"STAR", "無專案", "已更換"))</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"&gt;="&amp;$R$1, IM!$X:$X, "&lt;="&amp;$S$1)&gt;0), "V", "")</f>
        <v/>
      </c>
      <c r="E31" s="303" t="str">
        <f>IF(AND(C31&lt;&gt;"V",D31&lt;&gt;"V", COUNTIFS(IM!$F:$F, A31, IM!$AD:$AD, "O", IM!$X:$X, "&gt;="&amp;$R$1, IM!$X:$X, "&lt;="&amp;$S$1)&gt;0), "V", "")</f>
        <v/>
      </c>
      <c r="F31" s="209" t="str">
        <f t="shared" si="3"/>
        <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"&gt;="&amp;$R$1, IM!$X:$X, "&lt;="&amp;$S$1)&gt;0), "V", "")</f>
        <v/>
      </c>
      <c r="E32" s="303" t="str">
        <f>IF(AND(C32&lt;&gt;"V",D32&lt;&gt;"V", COUNTIFS(IM!$F:$F, A32, IM!$AD:$AD, "O", IM!$X:$X, "&gt;="&amp;$R$1, IM!$X:$X, "&lt;="&amp;$S$1)&gt;0), "V", "")</f>
        <v/>
      </c>
      <c r="F32" s="209" t="str">
        <f t="shared" si="3"/>
        <v/>
      </c>
      <c r="G32" s="209" t="str">
        <f>IF(AND(VLOOKUP(A32,門市主檔!A:Y,25,FALSE)="STAR", VLOOKUP(A32,門市主檔!A:N,14,FALSE)=""), "未更換", IF(VLOOKUP(A32,門市主檔!A:Y,25,FALSE)&lt;&gt;"STAR", "無專案", "已更換"))</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"&gt;="&amp;$R$1, IM!$X:$X, "&lt;="&amp;$S$1)&gt;0), "V", "")</f>
        <v/>
      </c>
      <c r="E33" s="303" t="str">
        <f>IF(AND(C33&lt;&gt;"V",D33&lt;&gt;"V", COUNTIFS(IM!$F:$F, A33, IM!$AD:$AD, "O", IM!$X:$X, "&gt;="&amp;$R$1, IM!$X:$X, "&lt;="&amp;$S$1)&gt;0), "V", "")</f>
        <v/>
      </c>
      <c r="F33" s="209" t="str">
        <f t="shared" si="3"/>
        <v/>
      </c>
      <c r="G33" s="209" t="str">
        <f>IF(AND(VLOOKUP(A33,門市主檔!A:Y,25,FALSE)="STAR", VLOOKUP(A33,門市主檔!A:N,14,FALSE)=""), "未更換", IF(VLOOKUP(A33,門市主檔!A:Y,25,FALSE)&lt;&gt;"STAR", "無專案", "已更換"))</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"&gt;="&amp;$R$1, IM!$X:$X, "&lt;="&amp;$S$1)&gt;0), "V", "")</f>
        <v/>
      </c>
      <c r="E34" s="303" t="str">
        <f>IF(AND(C34&lt;&gt;"V",D34&lt;&gt;"V", COUNTIFS(IM!$F:$F, A34, IM!$AD:$AD, "O", IM!$X:$X, "&gt;="&amp;$R$1, IM!$X:$X, "&lt;="&amp;$S$1)&gt;0), "V", "")</f>
        <v/>
      </c>
      <c r="F34" s="209" t="str">
        <f t="shared" si="3"/>
        <v/>
      </c>
      <c r="G34" s="209" t="str">
        <f>IF(AND(VLOOKUP(A34,門市主檔!A:Y,25,FALSE)="STAR", VLOOKUP(A34,門市主檔!A:N,14,FALSE)=""), "未更換", IF(VLOOKUP(A34,門市主檔!A:Y,25,FALSE)&lt;&gt;"STAR", "無專案", "已更換"))</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"&gt;="&amp;$R$1, IM!$X:$X, "&lt;="&amp;$S$1)&gt;0), "V", "")</f>
        <v/>
      </c>
      <c r="E35" s="303" t="str">
        <f>IF(AND(C35&lt;&gt;"V",D35&lt;&gt;"V", COUNTIFS(IM!$F:$F, A35, IM!$AD:$AD, "O", IM!$X:$X, "&gt;="&amp;$R$1, IM!$X:$X, "&lt;="&amp;$S$1)&gt;0), "V", "")</f>
        <v/>
      </c>
      <c r="F35" s="209" t="str">
        <f t="shared" si="3"/>
        <v/>
      </c>
      <c r="G35" s="209" t="str">
        <f>IF(AND(VLOOKUP(A35,門市主檔!A:Y,25,FALSE)="STAR", VLOOKUP(A35,門市主檔!A:N,14,FALSE)=""), "未更換", IF(VLOOKUP(A35,門市主檔!A:Y,25,FALSE)&lt;&gt;"STAR", "無專案", "已更換"))</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"&gt;="&amp;$R$1, IM!$X:$X, "&lt;="&amp;$S$1)&gt;0), "V", "")</f>
        <v/>
      </c>
      <c r="E36" s="303" t="str">
        <f>IF(AND(C36&lt;&gt;"V",D36&lt;&gt;"V", COUNTIFS(IM!$F:$F, A36, IM!$AD:$AD, "O", IM!$X:$X, "&gt;="&amp;$R$1, IM!$X:$X, "&lt;="&amp;$S$1)&gt;0), "V", "")</f>
        <v/>
      </c>
      <c r="F36" s="209" t="str">
        <f t="shared" si="3"/>
        <v/>
      </c>
      <c r="G36" s="209" t="str">
        <f>IF(AND(VLOOKUP(A36,門市主檔!A:Y,25,FALSE)="STAR", VLOOKUP(A36,門市主檔!A:N,14,FALSE)=""), "未更換", IF(VLOOKUP(A36,門市主檔!A:Y,25,FALSE)&lt;&gt;"STAR", "無專案", "已更換"))</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"&gt;="&amp;$R$1, IM!$X:$X, "&lt;="&amp;$S$1)&gt;0), "V", "")</f>
        <v/>
      </c>
      <c r="E37" s="303" t="str">
        <f>IF(AND(C37&lt;&gt;"V",D37&lt;&gt;"V", COUNTIFS(IM!$F:$F, A37, IM!$AD:$AD, "O", IM!$X:$X, "&gt;="&amp;$R$1, IM!$X:$X, "&lt;="&amp;$S$1)&gt;0), "V", "")</f>
        <v/>
      </c>
      <c r="F37" s="209" t="str">
        <f t="shared" si="3"/>
        <v/>
      </c>
      <c r="G37" s="209" t="str">
        <f>IF(AND(VLOOKUP(A37,門市主檔!A:Y,25,FALSE)="STAR", VLOOKUP(A37,門市主檔!A:N,14,FALSE)=""), "未更換", IF(VLOOKUP(A37,門市主檔!A:Y,25,FALSE)&lt;&gt;"STAR", "無專案", "已更換"))</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"&gt;="&amp;$R$1, IM!$X:$X, "&lt;="&amp;$S$1)&gt;0), "V", "")</f>
        <v/>
      </c>
      <c r="E38" s="303" t="str">
        <f>IF(AND(C38&lt;&gt;"V",D38&lt;&gt;"V", COUNTIFS(IM!$F:$F, A38, IM!$AD:$AD, "O", IM!$X:$X, "&gt;="&amp;$R$1, IM!$X:$X, "&lt;="&amp;$S$1)&gt;0), "V", "")</f>
        <v/>
      </c>
      <c r="F38" s="209" t="str">
        <f t="shared" si="3"/>
        <v/>
      </c>
      <c r="G38" s="209" t="str">
        <f>IF(AND(VLOOKUP(A38,門市主檔!A:Y,25,FALSE)="STAR", VLOOKUP(A38,門市主檔!A:N,14,FALSE)=""), "未更換", IF(VLOOKUP(A38,門市主檔!A:Y,25,FALSE)&lt;&gt;"STAR", "無專案", "已更換"))</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"&gt;="&amp;$R$1, IM!$X:$X, "&lt;="&amp;$S$1)&gt;0), "V", "")</f>
        <v/>
      </c>
      <c r="E39" s="303" t="str">
        <f>IF(AND(C39&lt;&gt;"V",D39&lt;&gt;"V", COUNTIFS(IM!$F:$F, A39, IM!$AD:$AD, "O", IM!$X:$X, "&gt;="&amp;$R$1, IM!$X:$X, "&lt;="&amp;$S$1)&gt;0), "V", "")</f>
        <v/>
      </c>
      <c r="F39" s="209" t="str">
        <f t="shared" si="3"/>
        <v/>
      </c>
      <c r="G39" s="209" t="str">
        <f>IF(AND(VLOOKUP(A39,門市主檔!A:Y,25,FALSE)="STAR", VLOOKUP(A39,門市主檔!A:N,14,FALSE)=""), "未更換", IF(VLOOKUP(A39,門市主檔!A:Y,25,FALSE)&lt;&gt;"STAR", "無專案", "已更換"))</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"&gt;="&amp;$R$1, IM!$X:$X, "&lt;="&amp;$S$1)&gt;0), "V", "")</f>
        <v/>
      </c>
      <c r="E40" s="303" t="str">
        <f>IF(AND(C40&lt;&gt;"V",D40&lt;&gt;"V", COUNTIFS(IM!$F:$F, A40, IM!$AD:$AD, "O", IM!$X:$X, "&gt;="&amp;$R$1, IM!$X:$X, "&lt;="&amp;$S$1)&gt;0), "V", "")</f>
        <v/>
      </c>
      <c r="F40" s="209" t="str">
        <f t="shared" si="3"/>
        <v/>
      </c>
      <c r="G40" s="209" t="str">
        <f>IF(AND(VLOOKUP(A40,門市主檔!A:Y,25,FALSE)="STAR", VLOOKUP(A40,門市主檔!A:N,14,FALSE)=""), "未更換", IF(VLOOKUP(A40,門市主檔!A:Y,25,FALSE)&lt;&gt;"STAR", "無專案", "已更換"))</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"&gt;="&amp;$R$1, IM!$X:$X, "&lt;="&amp;$S$1)&gt;0), "V", "")</f>
        <v/>
      </c>
      <c r="E41" s="303" t="str">
        <f>IF(AND(C41&lt;&gt;"V",D41&lt;&gt;"V", COUNTIFS(IM!$F:$F, A41, IM!$AD:$AD, "O", IM!$X:$X, "&gt;="&amp;$R$1, IM!$X:$X, "&lt;="&amp;$S$1)&gt;0), "V", "")</f>
        <v/>
      </c>
      <c r="F41" s="209" t="str">
        <f t="shared" si="3"/>
        <v/>
      </c>
      <c r="G41" s="209" t="str">
        <f>IF(AND(VLOOKUP(A41,門市主檔!A:Y,25,FALSE)="STAR", VLOOKUP(A41,門市主檔!A:N,14,FALSE)=""), "未更換", IF(VLOOKUP(A41,門市主檔!A:Y,25,FALSE)&lt;&gt;"STAR", "無專案", "已更換"))</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2025-04-29T03:41:09Z</dcterms:modified>
</cp:coreProperties>
</file>