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70DEB38-0813-4C8C-87A4-EBBB6DE7143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I2" i="3" l="1"/>
  <c r="I2" i="2"/>
  <c r="I2" i="4"/>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7" i="3"/>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7" i="2"/>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7" i="4"/>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15" i="1"/>
  <c r="AL576" i="12"/>
  <c r="AL577" i="12"/>
  <c r="AL578" i="12"/>
  <c r="AL579" i="12"/>
  <c r="AL580" i="12"/>
  <c r="AL581" i="12"/>
  <c r="AL582" i="12"/>
  <c r="AL583" i="12"/>
  <c r="AL584" i="12"/>
  <c r="AL585" i="12"/>
  <c r="AL570" i="12"/>
  <c r="AL571" i="12"/>
  <c r="AL572" i="12"/>
  <c r="AL573" i="12"/>
  <c r="AL574" i="12"/>
  <c r="AL575" i="12"/>
  <c r="AL566" i="12"/>
  <c r="AL567" i="12"/>
  <c r="AL568" i="12"/>
  <c r="AL569" i="12"/>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9" i="1"/>
  <c r="T143" i="1"/>
  <c r="T141" i="1"/>
  <c r="T150" i="1"/>
  <c r="T151" i="1"/>
  <c r="T152" i="1"/>
  <c r="T153" i="1"/>
  <c r="T154" i="1"/>
  <c r="T155" i="1"/>
  <c r="T156" i="1"/>
  <c r="T157" i="1"/>
  <c r="T158" i="1"/>
  <c r="T159" i="1"/>
  <c r="T160" i="1"/>
  <c r="T161" i="1"/>
  <c r="T162" i="1"/>
  <c r="T148" i="1"/>
  <c r="T163" i="1"/>
  <c r="T164" i="1"/>
  <c r="T165" i="1"/>
  <c r="T146" i="1"/>
  <c r="T144" i="1"/>
  <c r="T166" i="1"/>
  <c r="T167" i="1"/>
  <c r="T168" i="1"/>
  <c r="T142"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45" i="1"/>
  <c r="T198" i="1"/>
  <c r="T147" i="1"/>
  <c r="T199" i="1"/>
  <c r="T200" i="1"/>
  <c r="T201" i="1"/>
  <c r="T202" i="1"/>
  <c r="T203" i="1"/>
  <c r="T204" i="1"/>
  <c r="T140" i="1"/>
  <c r="T205" i="1"/>
  <c r="T206" i="1"/>
  <c r="T207" i="1"/>
  <c r="T208" i="1"/>
  <c r="T209" i="1"/>
  <c r="T210" i="1"/>
  <c r="T211" i="1"/>
  <c r="T212" i="1"/>
  <c r="T213" i="1"/>
  <c r="T21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29" i="2"/>
  <c r="D29" i="2" s="1"/>
  <c r="C14" i="2"/>
  <c r="D14" i="2" s="1"/>
  <c r="C15" i="2"/>
  <c r="D15" i="2" s="1"/>
  <c r="C16" i="2"/>
  <c r="D16" i="2" s="1"/>
  <c r="E16" i="2" s="1"/>
  <c r="C17" i="2"/>
  <c r="C30" i="2"/>
  <c r="D30" i="2" s="1"/>
  <c r="C18" i="2"/>
  <c r="D18" i="2" s="1"/>
  <c r="E18" i="2" s="1"/>
  <c r="C31" i="2"/>
  <c r="D31" i="2" s="1"/>
  <c r="E31" i="2" s="1"/>
  <c r="C19" i="2"/>
  <c r="D19" i="2" s="1"/>
  <c r="E19" i="2" s="1"/>
  <c r="C20" i="2"/>
  <c r="D20" i="2" s="1"/>
  <c r="C21" i="2"/>
  <c r="D21" i="2" s="1"/>
  <c r="E21" i="2" s="1"/>
  <c r="C22" i="2"/>
  <c r="D22" i="2" s="1"/>
  <c r="E22" i="2" s="1"/>
  <c r="C23" i="2"/>
  <c r="C33" i="2"/>
  <c r="D33" i="2" s="1"/>
  <c r="C24" i="2"/>
  <c r="D24" i="2" s="1"/>
  <c r="E24" i="2" s="1"/>
  <c r="C25" i="2"/>
  <c r="D25" i="2" s="1"/>
  <c r="E25" i="2" s="1"/>
  <c r="C26" i="2"/>
  <c r="D26" i="2" s="1"/>
  <c r="C32" i="2"/>
  <c r="D32" i="2" s="1"/>
  <c r="C27" i="2"/>
  <c r="D27" i="2" s="1"/>
  <c r="E27" i="2" s="1"/>
  <c r="C28" i="2"/>
  <c r="D28" i="2" s="1"/>
  <c r="E28"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27" i="3"/>
  <c r="D27" i="3" s="1"/>
  <c r="C13" i="3"/>
  <c r="D13" i="3" s="1"/>
  <c r="E13" i="3" s="1"/>
  <c r="C28" i="3"/>
  <c r="D28" i="3" s="1"/>
  <c r="E28" i="3" s="1"/>
  <c r="C14" i="3"/>
  <c r="D14" i="3" s="1"/>
  <c r="C15" i="3"/>
  <c r="D15" i="3" s="1"/>
  <c r="C16" i="3"/>
  <c r="D16" i="3" s="1"/>
  <c r="E16" i="3" s="1"/>
  <c r="C17" i="3"/>
  <c r="D17" i="3" s="1"/>
  <c r="E17" i="3" s="1"/>
  <c r="C18" i="3"/>
  <c r="D18" i="3" s="1"/>
  <c r="C19" i="3"/>
  <c r="D19" i="3" s="1"/>
  <c r="C20" i="3"/>
  <c r="D20" i="3" s="1"/>
  <c r="E20" i="3" s="1"/>
  <c r="C21" i="3"/>
  <c r="D21" i="3" s="1"/>
  <c r="E21" i="3" s="1"/>
  <c r="C22" i="3"/>
  <c r="D22" i="3" s="1"/>
  <c r="C23" i="3"/>
  <c r="D23" i="3" s="1"/>
  <c r="E23" i="3" s="1"/>
  <c r="C24" i="3"/>
  <c r="C25" i="3"/>
  <c r="D25" i="3" s="1"/>
  <c r="E25" i="3" s="1"/>
  <c r="C26" i="3"/>
  <c r="D26"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41" i="4"/>
  <c r="D41" i="4" s="1"/>
  <c r="E41" i="4" s="1"/>
  <c r="C48" i="4"/>
  <c r="D48" i="4" s="1"/>
  <c r="E48" i="4" s="1"/>
  <c r="C21" i="4"/>
  <c r="D21" i="4" s="1"/>
  <c r="E21" i="4" s="1"/>
  <c r="C42" i="4"/>
  <c r="D42" i="4" s="1"/>
  <c r="C22" i="4"/>
  <c r="D22" i="4" s="1"/>
  <c r="C52" i="4"/>
  <c r="D52" i="4" s="1"/>
  <c r="C23" i="4"/>
  <c r="D23" i="4" s="1"/>
  <c r="C24" i="4"/>
  <c r="D24" i="4" s="1"/>
  <c r="C25" i="4"/>
  <c r="D25" i="4" s="1"/>
  <c r="C26" i="4"/>
  <c r="D26" i="4" s="1"/>
  <c r="E26" i="4" s="1"/>
  <c r="C27" i="4"/>
  <c r="C28" i="4"/>
  <c r="D28" i="4" s="1"/>
  <c r="C29" i="4"/>
  <c r="D29" i="4" s="1"/>
  <c r="C30" i="4"/>
  <c r="D30" i="4" s="1"/>
  <c r="E30" i="4" s="1"/>
  <c r="C53" i="4"/>
  <c r="D53" i="4" s="1"/>
  <c r="C31" i="4"/>
  <c r="D31" i="4" s="1"/>
  <c r="C32" i="4"/>
  <c r="D32" i="4" s="1"/>
  <c r="C33" i="4"/>
  <c r="D33" i="4" s="1"/>
  <c r="E33" i="4" s="1"/>
  <c r="C34" i="4"/>
  <c r="D34" i="4" s="1"/>
  <c r="C35" i="4"/>
  <c r="D35" i="4" s="1"/>
  <c r="C36" i="4"/>
  <c r="D36" i="4" s="1"/>
  <c r="C37" i="4"/>
  <c r="D37" i="4" s="1"/>
  <c r="E37" i="4" s="1"/>
  <c r="C38" i="4"/>
  <c r="D38" i="4" s="1"/>
  <c r="C39" i="4"/>
  <c r="D39" i="4" s="1"/>
  <c r="C49" i="4"/>
  <c r="D49" i="4" s="1"/>
  <c r="C40" i="4"/>
  <c r="D40" i="4" s="1"/>
  <c r="E40"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9" i="1"/>
  <c r="N149" i="1" s="1" a="1"/>
  <c r="N149" i="1" s="1"/>
  <c r="W143" i="1"/>
  <c r="N143" i="1" s="1" a="1"/>
  <c r="N143" i="1" s="1"/>
  <c r="W137" i="1"/>
  <c r="W141" i="1"/>
  <c r="N141" i="1" s="1" a="1"/>
  <c r="N141" i="1" s="1"/>
  <c r="W150" i="1"/>
  <c r="N150" i="1" s="1" a="1"/>
  <c r="N150" i="1" s="1"/>
  <c r="W138" i="1"/>
  <c r="W151" i="1"/>
  <c r="N151" i="1" s="1" a="1"/>
  <c r="N151" i="1" s="1"/>
  <c r="W152" i="1"/>
  <c r="N152" i="1" s="1" a="1"/>
  <c r="N152" i="1" s="1"/>
  <c r="W153" i="1"/>
  <c r="N153" i="1" s="1" a="1"/>
  <c r="N153" i="1" s="1"/>
  <c r="W154" i="1"/>
  <c r="N154" i="1" s="1" a="1"/>
  <c r="N154" i="1" s="1"/>
  <c r="W134" i="1"/>
  <c r="W155" i="1"/>
  <c r="N155" i="1" s="1" a="1"/>
  <c r="N155" i="1" s="1"/>
  <c r="W156" i="1"/>
  <c r="N156" i="1" s="1" a="1"/>
  <c r="N156" i="1" s="1"/>
  <c r="W157" i="1"/>
  <c r="N157" i="1" s="1" a="1"/>
  <c r="N157" i="1" s="1"/>
  <c r="W158" i="1"/>
  <c r="N158" i="1" s="1" a="1"/>
  <c r="N158" i="1" s="1"/>
  <c r="W159" i="1"/>
  <c r="N159" i="1" s="1" a="1"/>
  <c r="N159" i="1" s="1"/>
  <c r="W160" i="1"/>
  <c r="N160" i="1" s="1" a="1"/>
  <c r="N160" i="1" s="1"/>
  <c r="W161" i="1"/>
  <c r="N161" i="1" s="1" a="1"/>
  <c r="N161" i="1" s="1"/>
  <c r="W162" i="1"/>
  <c r="N162" i="1" s="1" a="1"/>
  <c r="N162" i="1" s="1"/>
  <c r="W148" i="1"/>
  <c r="N148" i="1" s="1" a="1"/>
  <c r="N148" i="1" s="1"/>
  <c r="W163" i="1"/>
  <c r="N163" i="1" s="1" a="1"/>
  <c r="N163" i="1" s="1"/>
  <c r="W164" i="1"/>
  <c r="N164" i="1" s="1" a="1"/>
  <c r="N164" i="1" s="1"/>
  <c r="W131" i="1"/>
  <c r="W165" i="1"/>
  <c r="N165" i="1" s="1" a="1"/>
  <c r="N165" i="1" s="1"/>
  <c r="W146" i="1"/>
  <c r="N146" i="1" s="1" a="1"/>
  <c r="N146" i="1" s="1"/>
  <c r="W144" i="1"/>
  <c r="N144" i="1" s="1" a="1"/>
  <c r="N144" i="1" s="1"/>
  <c r="W136" i="1"/>
  <c r="W166" i="1"/>
  <c r="N166" i="1" s="1" a="1"/>
  <c r="N166" i="1" s="1"/>
  <c r="W167" i="1"/>
  <c r="N167" i="1" s="1" a="1"/>
  <c r="N167" i="1" s="1"/>
  <c r="W168" i="1"/>
  <c r="N168" i="1" s="1" a="1"/>
  <c r="N168" i="1" s="1"/>
  <c r="W142" i="1"/>
  <c r="N142" i="1" s="1" a="1"/>
  <c r="N142" i="1" s="1"/>
  <c r="W169" i="1"/>
  <c r="N169" i="1" s="1" a="1"/>
  <c r="N169" i="1" s="1"/>
  <c r="W132" i="1"/>
  <c r="W170" i="1"/>
  <c r="N170" i="1" s="1" a="1"/>
  <c r="N170" i="1" s="1"/>
  <c r="W171" i="1"/>
  <c r="N171" i="1" s="1" a="1"/>
  <c r="N171" i="1" s="1"/>
  <c r="W139" i="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80" i="1"/>
  <c r="N180" i="1" s="1" a="1"/>
  <c r="N180" i="1" s="1"/>
  <c r="W181" i="1"/>
  <c r="N181" i="1" s="1" a="1"/>
  <c r="N181" i="1" s="1"/>
  <c r="W135" i="1"/>
  <c r="W182" i="1"/>
  <c r="N182" i="1" s="1" a="1"/>
  <c r="N182" i="1" s="1"/>
  <c r="W183" i="1"/>
  <c r="N183" i="1" s="1" a="1"/>
  <c r="N183" i="1" s="1"/>
  <c r="W133" i="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45" i="1"/>
  <c r="N145" i="1" s="1" a="1"/>
  <c r="N145" i="1" s="1"/>
  <c r="W198" i="1"/>
  <c r="N198" i="1" s="1" a="1"/>
  <c r="N198" i="1" s="1"/>
  <c r="W147" i="1"/>
  <c r="N147" i="1" s="1" a="1"/>
  <c r="N147" i="1" s="1"/>
  <c r="W199" i="1"/>
  <c r="N199" i="1" s="1" a="1"/>
  <c r="N199" i="1" s="1"/>
  <c r="W200" i="1"/>
  <c r="N200" i="1" s="1" a="1"/>
  <c r="N200" i="1" s="1"/>
  <c r="W201" i="1"/>
  <c r="N201" i="1" s="1" a="1"/>
  <c r="N201" i="1" s="1"/>
  <c r="W202" i="1"/>
  <c r="N202" i="1" s="1" a="1"/>
  <c r="N202" i="1" s="1"/>
  <c r="W203" i="1"/>
  <c r="N203" i="1" s="1" a="1"/>
  <c r="N203" i="1" s="1"/>
  <c r="W204" i="1"/>
  <c r="N204" i="1" s="1" a="1"/>
  <c r="N204" i="1" s="1"/>
  <c r="W140" i="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9" i="1" a="1"/>
  <c r="Q149" i="1" s="1"/>
  <c r="Q143" i="1" a="1"/>
  <c r="Q143" i="1" s="1"/>
  <c r="Q137" i="1" a="1"/>
  <c r="Q137" i="1" s="1"/>
  <c r="Q141" i="1" a="1"/>
  <c r="Q141" i="1" s="1"/>
  <c r="Q150" i="1" a="1"/>
  <c r="Q150" i="1" s="1"/>
  <c r="Q138" i="1" a="1"/>
  <c r="Q138" i="1" s="1"/>
  <c r="Q151" i="1" a="1"/>
  <c r="Q151" i="1" s="1"/>
  <c r="Q152" i="1" a="1"/>
  <c r="Q152" i="1" s="1"/>
  <c r="Q128" i="1" a="1"/>
  <c r="Q128" i="1" s="1"/>
  <c r="Q126" i="1" a="1"/>
  <c r="Q126" i="1" s="1"/>
  <c r="Q153" i="1" a="1"/>
  <c r="Q153" i="1" s="1"/>
  <c r="Q154" i="1" a="1"/>
  <c r="Q154" i="1" s="1"/>
  <c r="Q134" i="1" a="1"/>
  <c r="Q134" i="1" s="1"/>
  <c r="Q155" i="1" a="1"/>
  <c r="Q155" i="1" s="1"/>
  <c r="Q156" i="1" a="1"/>
  <c r="Q156" i="1" s="1"/>
  <c r="Q157" i="1" a="1"/>
  <c r="Q157" i="1" s="1"/>
  <c r="Q158" i="1" a="1"/>
  <c r="Q158" i="1" s="1"/>
  <c r="Q159" i="1" a="1"/>
  <c r="Q159" i="1" s="1"/>
  <c r="Q160" i="1" a="1"/>
  <c r="Q160" i="1" s="1"/>
  <c r="Q161" i="1" a="1"/>
  <c r="Q161" i="1" s="1"/>
  <c r="Q162" i="1" a="1"/>
  <c r="Q162" i="1" s="1"/>
  <c r="Q148" i="1" a="1"/>
  <c r="Q148" i="1" s="1"/>
  <c r="Q163" i="1" a="1"/>
  <c r="Q163" i="1" s="1"/>
  <c r="Q124" i="1" a="1"/>
  <c r="Q124" i="1" s="1"/>
  <c r="Q125" i="1" a="1"/>
  <c r="Q125" i="1" s="1"/>
  <c r="Q127" i="1" a="1"/>
  <c r="Q127" i="1" s="1"/>
  <c r="Q164" i="1" a="1"/>
  <c r="Q164" i="1" s="1"/>
  <c r="Q131" i="1" a="1"/>
  <c r="Q131" i="1" s="1"/>
  <c r="Q165" i="1" a="1"/>
  <c r="Q165" i="1" s="1"/>
  <c r="Q146" i="1" a="1"/>
  <c r="Q146" i="1" s="1"/>
  <c r="Q121" i="1" a="1"/>
  <c r="Q121" i="1" s="1"/>
  <c r="Q144" i="1" a="1"/>
  <c r="Q144" i="1" s="1"/>
  <c r="Q119" i="1" a="1"/>
  <c r="Q119" i="1" s="1"/>
  <c r="Q136" i="1" a="1"/>
  <c r="Q136" i="1" s="1"/>
  <c r="Q118" i="1" a="1"/>
  <c r="Q118" i="1" s="1"/>
  <c r="Q166" i="1" a="1"/>
  <c r="Q166" i="1" s="1"/>
  <c r="Q167" i="1" a="1"/>
  <c r="Q167" i="1" s="1"/>
  <c r="Q168" i="1" a="1"/>
  <c r="Q168" i="1" s="1"/>
  <c r="Q142" i="1" a="1"/>
  <c r="Q142" i="1" s="1"/>
  <c r="Q169" i="1" a="1"/>
  <c r="Q169" i="1" s="1"/>
  <c r="Q132" i="1" a="1"/>
  <c r="Q132" i="1" s="1"/>
  <c r="Q170" i="1" a="1"/>
  <c r="Q170" i="1" s="1"/>
  <c r="Q171" i="1" a="1"/>
  <c r="Q171" i="1" s="1"/>
  <c r="Q139" i="1" a="1"/>
  <c r="Q139" i="1" s="1"/>
  <c r="Q172" i="1" a="1"/>
  <c r="Q172" i="1" s="1"/>
  <c r="Q122" i="1" a="1"/>
  <c r="Q122" i="1" s="1"/>
  <c r="Q120" i="1" a="1"/>
  <c r="Q120" i="1" s="1"/>
  <c r="Q117" i="1" a="1"/>
  <c r="Q117" i="1" s="1"/>
  <c r="Q173" i="1" a="1"/>
  <c r="Q173" i="1" s="1"/>
  <c r="Q174" i="1" a="1"/>
  <c r="Q174" i="1" s="1"/>
  <c r="Q175" i="1" a="1"/>
  <c r="Q175" i="1" s="1"/>
  <c r="Q176" i="1" a="1"/>
  <c r="Q176" i="1" s="1"/>
  <c r="Q177" i="1" a="1"/>
  <c r="Q177" i="1" s="1"/>
  <c r="Q178" i="1" a="1"/>
  <c r="Q178" i="1" s="1"/>
  <c r="Q179" i="1" a="1"/>
  <c r="Q179" i="1" s="1"/>
  <c r="Q180" i="1" a="1"/>
  <c r="Q180" i="1" s="1"/>
  <c r="Q181" i="1" a="1"/>
  <c r="Q181" i="1" s="1"/>
  <c r="Q135" i="1" a="1"/>
  <c r="Q135" i="1" s="1"/>
  <c r="Q182" i="1" a="1"/>
  <c r="Q182" i="1" s="1"/>
  <c r="Q116" i="1" a="1"/>
  <c r="Q116" i="1" s="1"/>
  <c r="Q183" i="1" a="1"/>
  <c r="Q183" i="1" s="1"/>
  <c r="Q133" i="1" a="1"/>
  <c r="Q13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30" i="1" a="1"/>
  <c r="Q130" i="1" s="1"/>
  <c r="Q129" i="1" a="1"/>
  <c r="Q129" i="1" s="1"/>
  <c r="Q195" i="1" a="1"/>
  <c r="Q195" i="1" s="1"/>
  <c r="Q196" i="1" a="1"/>
  <c r="Q196" i="1" s="1"/>
  <c r="Q197" i="1" a="1"/>
  <c r="Q197" i="1" s="1"/>
  <c r="Q145" i="1" a="1"/>
  <c r="Q145" i="1" s="1"/>
  <c r="Q198" i="1" a="1"/>
  <c r="Q198" i="1" s="1"/>
  <c r="Q147" i="1" a="1"/>
  <c r="Q147"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9" i="1" a="1"/>
  <c r="R149" i="1" s="1"/>
  <c r="V149" i="1" s="1"/>
  <c r="R143" i="1" a="1"/>
  <c r="R143" i="1" s="1"/>
  <c r="V143" i="1" s="1"/>
  <c r="R137" i="1" a="1"/>
  <c r="R137" i="1" s="1"/>
  <c r="V137" i="1" s="1"/>
  <c r="R141" i="1" a="1"/>
  <c r="R141" i="1" s="1"/>
  <c r="V141" i="1" s="1"/>
  <c r="R150" i="1" a="1"/>
  <c r="R150" i="1" s="1"/>
  <c r="V150" i="1" s="1"/>
  <c r="R138" i="1" a="1"/>
  <c r="R138" i="1" s="1"/>
  <c r="V138" i="1" s="1"/>
  <c r="R151" i="1" a="1"/>
  <c r="R151" i="1" s="1"/>
  <c r="V151" i="1" s="1"/>
  <c r="R152" i="1" a="1"/>
  <c r="R152" i="1" s="1"/>
  <c r="V152" i="1" s="1"/>
  <c r="R128" i="1" a="1"/>
  <c r="R128" i="1" s="1"/>
  <c r="V128" i="1" s="1"/>
  <c r="R126" i="1" a="1"/>
  <c r="R126" i="1" s="1"/>
  <c r="V126" i="1" s="1"/>
  <c r="R153" i="1" a="1"/>
  <c r="R153" i="1" s="1"/>
  <c r="V153" i="1" s="1"/>
  <c r="R154" i="1" a="1"/>
  <c r="R154" i="1" s="1"/>
  <c r="V154" i="1" s="1"/>
  <c r="R134" i="1" a="1"/>
  <c r="R134" i="1" s="1"/>
  <c r="V134" i="1" s="1"/>
  <c r="R155" i="1" a="1"/>
  <c r="R155" i="1" s="1"/>
  <c r="V155" i="1" s="1"/>
  <c r="R156" i="1" a="1"/>
  <c r="R156" i="1" s="1"/>
  <c r="V156" i="1" s="1"/>
  <c r="R157" i="1" a="1"/>
  <c r="R157" i="1" s="1"/>
  <c r="V157" i="1" s="1"/>
  <c r="R158" i="1" a="1"/>
  <c r="R158" i="1" s="1"/>
  <c r="V158" i="1" s="1"/>
  <c r="R159" i="1" a="1"/>
  <c r="R159" i="1" s="1"/>
  <c r="V159" i="1" s="1"/>
  <c r="R160" i="1" a="1"/>
  <c r="R160" i="1" s="1"/>
  <c r="V160" i="1" s="1"/>
  <c r="R161" i="1" a="1"/>
  <c r="R161" i="1" s="1"/>
  <c r="V161" i="1" s="1"/>
  <c r="R162" i="1" a="1"/>
  <c r="R162" i="1" s="1"/>
  <c r="V162" i="1" s="1"/>
  <c r="R148" i="1" a="1"/>
  <c r="R148" i="1" s="1"/>
  <c r="V148" i="1" s="1"/>
  <c r="R163" i="1" a="1"/>
  <c r="R163" i="1" s="1"/>
  <c r="V163" i="1" s="1"/>
  <c r="R124" i="1" a="1"/>
  <c r="R124" i="1" s="1"/>
  <c r="V124" i="1" s="1"/>
  <c r="R125" i="1" a="1"/>
  <c r="R125" i="1" s="1"/>
  <c r="V125" i="1" s="1"/>
  <c r="R127" i="1" a="1"/>
  <c r="R127" i="1" s="1"/>
  <c r="V127" i="1" s="1"/>
  <c r="R164" i="1" a="1"/>
  <c r="R164" i="1" s="1"/>
  <c r="V164" i="1" s="1"/>
  <c r="R131" i="1" a="1"/>
  <c r="R131" i="1" s="1"/>
  <c r="V131" i="1" s="1"/>
  <c r="R165" i="1" a="1"/>
  <c r="R165" i="1" s="1"/>
  <c r="V165" i="1" s="1"/>
  <c r="R146" i="1" a="1"/>
  <c r="R146" i="1" s="1"/>
  <c r="V146" i="1" s="1"/>
  <c r="R121" i="1" a="1"/>
  <c r="R121" i="1" s="1"/>
  <c r="V121" i="1" s="1"/>
  <c r="R144" i="1" a="1"/>
  <c r="R144" i="1" s="1"/>
  <c r="V144" i="1" s="1"/>
  <c r="R119" i="1" a="1"/>
  <c r="R119" i="1" s="1"/>
  <c r="V119" i="1" s="1"/>
  <c r="R136" i="1" a="1"/>
  <c r="R136" i="1" s="1"/>
  <c r="V136" i="1" s="1"/>
  <c r="R118" i="1" a="1"/>
  <c r="R118" i="1" s="1"/>
  <c r="V118" i="1" s="1"/>
  <c r="R166" i="1" a="1"/>
  <c r="R166" i="1" s="1"/>
  <c r="V166" i="1" s="1"/>
  <c r="R167" i="1" a="1"/>
  <c r="R167" i="1" s="1"/>
  <c r="V167" i="1" s="1"/>
  <c r="R168" i="1" a="1"/>
  <c r="R168" i="1" s="1"/>
  <c r="V168" i="1" s="1"/>
  <c r="R142" i="1" a="1"/>
  <c r="R142" i="1" s="1"/>
  <c r="V142" i="1" s="1"/>
  <c r="R169" i="1" a="1"/>
  <c r="R169" i="1" s="1"/>
  <c r="V169" i="1" s="1"/>
  <c r="R132" i="1" a="1"/>
  <c r="R132" i="1" s="1"/>
  <c r="V132" i="1" s="1"/>
  <c r="R170" i="1" a="1"/>
  <c r="R170" i="1" s="1"/>
  <c r="V170" i="1" s="1"/>
  <c r="R171" i="1" a="1"/>
  <c r="R171" i="1" s="1"/>
  <c r="V171" i="1" s="1"/>
  <c r="R139" i="1" a="1"/>
  <c r="R139" i="1" s="1"/>
  <c r="V139" i="1" s="1"/>
  <c r="R172" i="1" a="1"/>
  <c r="R172" i="1" s="1"/>
  <c r="V172" i="1" s="1"/>
  <c r="R122" i="1" a="1"/>
  <c r="R122" i="1" s="1"/>
  <c r="V122" i="1" s="1"/>
  <c r="R120" i="1" a="1"/>
  <c r="R120" i="1" s="1"/>
  <c r="V120" i="1" s="1"/>
  <c r="R117" i="1" a="1"/>
  <c r="R117" i="1" s="1"/>
  <c r="V117" i="1" s="1"/>
  <c r="R173" i="1" a="1"/>
  <c r="R173" i="1" s="1"/>
  <c r="V173" i="1" s="1"/>
  <c r="R174" i="1" a="1"/>
  <c r="R174" i="1" s="1"/>
  <c r="V174" i="1" s="1"/>
  <c r="R175" i="1" a="1"/>
  <c r="R175" i="1" s="1"/>
  <c r="V175" i="1" s="1"/>
  <c r="R176" i="1" a="1"/>
  <c r="R176" i="1" s="1"/>
  <c r="V176" i="1" s="1"/>
  <c r="R177" i="1" a="1"/>
  <c r="R177" i="1" s="1"/>
  <c r="V177" i="1" s="1"/>
  <c r="R178" i="1" a="1"/>
  <c r="R178" i="1" s="1"/>
  <c r="V178" i="1" s="1"/>
  <c r="R179" i="1" a="1"/>
  <c r="R179" i="1" s="1"/>
  <c r="V179" i="1" s="1"/>
  <c r="R180" i="1" a="1"/>
  <c r="R180" i="1" s="1"/>
  <c r="V180" i="1" s="1"/>
  <c r="R181" i="1" a="1"/>
  <c r="R181" i="1" s="1"/>
  <c r="V181" i="1" s="1"/>
  <c r="R135" i="1" a="1"/>
  <c r="R135" i="1" s="1"/>
  <c r="V135" i="1" s="1"/>
  <c r="R182" i="1" a="1"/>
  <c r="R182" i="1" s="1"/>
  <c r="V182" i="1" s="1"/>
  <c r="R116" i="1" a="1"/>
  <c r="R116" i="1" s="1"/>
  <c r="V116" i="1" s="1"/>
  <c r="R183" i="1" a="1"/>
  <c r="R183" i="1" s="1"/>
  <c r="V183" i="1" s="1"/>
  <c r="R133" i="1" a="1"/>
  <c r="R133" i="1" s="1"/>
  <c r="V133" i="1" s="1"/>
  <c r="R184" i="1" a="1"/>
  <c r="R184" i="1" s="1"/>
  <c r="V184" i="1" s="1"/>
  <c r="R185" i="1" a="1"/>
  <c r="R185" i="1" s="1"/>
  <c r="V185" i="1" s="1"/>
  <c r="R186" i="1" a="1"/>
  <c r="R186" i="1" s="1"/>
  <c r="V186" i="1" s="1"/>
  <c r="R187" i="1" a="1"/>
  <c r="R187" i="1" s="1"/>
  <c r="V187" i="1" s="1"/>
  <c r="R188" i="1" a="1"/>
  <c r="R188" i="1" s="1"/>
  <c r="V188" i="1" s="1"/>
  <c r="R189" i="1" a="1"/>
  <c r="R189" i="1" s="1"/>
  <c r="V189" i="1" s="1"/>
  <c r="R190" i="1" a="1"/>
  <c r="R190" i="1" s="1"/>
  <c r="V190" i="1" s="1"/>
  <c r="R191" i="1" a="1"/>
  <c r="R191" i="1" s="1"/>
  <c r="V191" i="1" s="1"/>
  <c r="R192" i="1" a="1"/>
  <c r="R192" i="1" s="1"/>
  <c r="V192" i="1" s="1"/>
  <c r="R193" i="1" a="1"/>
  <c r="R193" i="1" s="1"/>
  <c r="V193" i="1" s="1"/>
  <c r="R194" i="1" a="1"/>
  <c r="R194" i="1" s="1"/>
  <c r="V194" i="1" s="1"/>
  <c r="R130" i="1" a="1"/>
  <c r="R130" i="1" s="1"/>
  <c r="V130" i="1" s="1"/>
  <c r="R129" i="1" a="1"/>
  <c r="R129" i="1" s="1"/>
  <c r="V129" i="1" s="1"/>
  <c r="R195" i="1" a="1"/>
  <c r="R195" i="1" s="1"/>
  <c r="V195" i="1" s="1"/>
  <c r="R196" i="1" a="1"/>
  <c r="R196" i="1" s="1"/>
  <c r="V196" i="1" s="1"/>
  <c r="R197" i="1" a="1"/>
  <c r="R197" i="1" s="1"/>
  <c r="V197" i="1" s="1"/>
  <c r="R145" i="1" a="1"/>
  <c r="R145" i="1" s="1"/>
  <c r="V145" i="1" s="1"/>
  <c r="R198" i="1" a="1"/>
  <c r="R198" i="1" s="1"/>
  <c r="V198" i="1" s="1"/>
  <c r="R147" i="1" a="1"/>
  <c r="R147" i="1" s="1"/>
  <c r="V147" i="1" s="1"/>
  <c r="R199" i="1" a="1"/>
  <c r="R199" i="1" s="1"/>
  <c r="V199" i="1" s="1"/>
  <c r="R200" i="1" a="1"/>
  <c r="R200" i="1" s="1"/>
  <c r="V200" i="1" s="1"/>
  <c r="R201" i="1" a="1"/>
  <c r="R201" i="1" s="1"/>
  <c r="V201" i="1" s="1"/>
  <c r="R202" i="1" a="1"/>
  <c r="R202" i="1" s="1"/>
  <c r="V202" i="1" s="1"/>
  <c r="R203" i="1" a="1"/>
  <c r="R203" i="1" s="1"/>
  <c r="V203" i="1" s="1"/>
  <c r="R204" i="1" a="1"/>
  <c r="R204" i="1" s="1"/>
  <c r="V204" i="1" s="1"/>
  <c r="R140" i="1" a="1"/>
  <c r="R140" i="1" s="1"/>
  <c r="V140" i="1" s="1"/>
  <c r="R205" i="1" a="1"/>
  <c r="R205" i="1" s="1"/>
  <c r="V205" i="1" s="1"/>
  <c r="R206" i="1" a="1"/>
  <c r="R206" i="1" s="1"/>
  <c r="V206" i="1" s="1"/>
  <c r="R207" i="1" a="1"/>
  <c r="R207" i="1" s="1"/>
  <c r="V207" i="1" s="1"/>
  <c r="R208" i="1" a="1"/>
  <c r="R208" i="1" s="1"/>
  <c r="V208" i="1" s="1"/>
  <c r="R209" i="1" a="1"/>
  <c r="R209" i="1" s="1"/>
  <c r="V209" i="1" s="1"/>
  <c r="R210" i="1" a="1"/>
  <c r="R210" i="1" s="1"/>
  <c r="V210" i="1" s="1"/>
  <c r="R211" i="1" a="1"/>
  <c r="R211" i="1" s="1"/>
  <c r="V211" i="1" s="1"/>
  <c r="R212" i="1" a="1"/>
  <c r="R212" i="1" s="1"/>
  <c r="V212" i="1" s="1"/>
  <c r="R213" i="1" a="1"/>
  <c r="R213" i="1" s="1"/>
  <c r="V213" i="1" s="1"/>
  <c r="R214" i="1" a="1"/>
  <c r="R214" i="1" s="1"/>
  <c r="V21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54" i="1"/>
  <c r="M111" i="1"/>
  <c r="M95" i="1"/>
  <c r="M79" i="1"/>
  <c r="M63" i="1"/>
  <c r="M55" i="1"/>
  <c r="M47" i="1"/>
  <c r="M39" i="1"/>
  <c r="M31" i="1"/>
  <c r="M23" i="1"/>
  <c r="M195" i="1"/>
  <c r="M110" i="1"/>
  <c r="M102" i="1"/>
  <c r="M94" i="1"/>
  <c r="M86" i="1"/>
  <c r="M78" i="1"/>
  <c r="M70" i="1"/>
  <c r="M62" i="1"/>
  <c r="M54" i="1"/>
  <c r="M46" i="1"/>
  <c r="M38" i="1"/>
  <c r="M30" i="1"/>
  <c r="M22" i="1"/>
  <c r="M77" i="1"/>
  <c r="M69" i="1"/>
  <c r="M61" i="1"/>
  <c r="M53" i="1"/>
  <c r="M45" i="1"/>
  <c r="M37" i="1"/>
  <c r="M29" i="1"/>
  <c r="M21" i="1"/>
  <c r="M218" i="1"/>
  <c r="M210" i="1"/>
  <c r="M197" i="1"/>
  <c r="M191" i="1"/>
  <c r="M133" i="1"/>
  <c r="M178" i="1"/>
  <c r="M122" i="1"/>
  <c r="M168" i="1"/>
  <c r="M146" i="1"/>
  <c r="M148" i="1"/>
  <c r="M155" i="1"/>
  <c r="M138" i="1"/>
  <c r="M113" i="1"/>
  <c r="M105" i="1"/>
  <c r="M97" i="1"/>
  <c r="M89" i="1"/>
  <c r="M81" i="1"/>
  <c r="M73" i="1"/>
  <c r="M65" i="1"/>
  <c r="M57" i="1"/>
  <c r="M41" i="1"/>
  <c r="M33" i="1"/>
  <c r="E41" i="3"/>
  <c r="E30" i="3"/>
  <c r="E36" i="3"/>
  <c r="E26" i="3"/>
  <c r="E108" i="4"/>
  <c r="E38" i="3"/>
  <c r="E76" i="4"/>
  <c r="E92" i="4"/>
  <c r="E50" i="4"/>
  <c r="E39" i="3"/>
  <c r="E34" i="4"/>
  <c r="E12" i="4"/>
  <c r="E52" i="4"/>
  <c r="D27" i="4"/>
  <c r="E27" i="4" s="1"/>
  <c r="E29" i="2"/>
  <c r="E15" i="2"/>
  <c r="D13" i="4"/>
  <c r="E13" i="4" s="1"/>
  <c r="E122" i="4"/>
  <c r="E106" i="4"/>
  <c r="E90" i="4"/>
  <c r="E74" i="4"/>
  <c r="E44" i="4"/>
  <c r="E114" i="4"/>
  <c r="E98" i="4"/>
  <c r="E82" i="4"/>
  <c r="E66" i="4"/>
  <c r="E58" i="4"/>
  <c r="E49" i="4"/>
  <c r="E32" i="4"/>
  <c r="E25" i="4"/>
  <c r="D51" i="4"/>
  <c r="E51" i="4" s="1"/>
  <c r="E42" i="4"/>
  <c r="E47" i="4"/>
  <c r="E93" i="4"/>
  <c r="E15" i="4"/>
  <c r="E101" i="4"/>
  <c r="E77" i="4"/>
  <c r="E61" i="4"/>
  <c r="D43" i="4"/>
  <c r="E43" i="4" s="1"/>
  <c r="E117" i="4"/>
  <c r="E28" i="4"/>
  <c r="E111" i="4"/>
  <c r="E95" i="4"/>
  <c r="E79" i="4"/>
  <c r="E71" i="4"/>
  <c r="E55" i="4"/>
  <c r="E109" i="4"/>
  <c r="E85" i="4"/>
  <c r="E69" i="4"/>
  <c r="E35" i="4"/>
  <c r="E119" i="4"/>
  <c r="E103" i="4"/>
  <c r="E87" i="4"/>
  <c r="E63" i="4"/>
  <c r="D123" i="4"/>
  <c r="E123" i="4" s="1"/>
  <c r="E63" i="2"/>
  <c r="D58" i="2"/>
  <c r="E58" i="2" s="1"/>
  <c r="E55" i="2"/>
  <c r="D50" i="2"/>
  <c r="E50" i="2" s="1"/>
  <c r="E47" i="2"/>
  <c r="D42" i="2"/>
  <c r="E42" i="2" s="1"/>
  <c r="E39" i="2"/>
  <c r="D34" i="2"/>
  <c r="E34" i="2" s="1"/>
  <c r="E32" i="2"/>
  <c r="D23" i="2"/>
  <c r="E23" i="2" s="1"/>
  <c r="E20" i="2"/>
  <c r="D17" i="2"/>
  <c r="E17" i="2" s="1"/>
  <c r="E14" i="2"/>
  <c r="D10" i="2"/>
  <c r="E10" i="2" s="1"/>
  <c r="E62" i="2"/>
  <c r="E54" i="2"/>
  <c r="E46" i="2"/>
  <c r="E38" i="2"/>
  <c r="E26" i="2"/>
  <c r="E59" i="2"/>
  <c r="E51" i="2"/>
  <c r="E43" i="2"/>
  <c r="E35" i="2"/>
  <c r="E33" i="2"/>
  <c r="E30" i="2"/>
  <c r="E11" i="2"/>
  <c r="E8" i="2"/>
  <c r="E18" i="3"/>
  <c r="E12" i="3"/>
  <c r="E15" i="3"/>
  <c r="E9" i="3"/>
  <c r="D24" i="3"/>
  <c r="E24" i="3" s="1"/>
  <c r="D34" i="3"/>
  <c r="E34" i="3" s="1"/>
  <c r="E40" i="3"/>
  <c r="E32" i="3"/>
  <c r="E22" i="3"/>
  <c r="E14" i="3"/>
  <c r="E8" i="3"/>
  <c r="E37" i="3"/>
  <c r="E29" i="3"/>
  <c r="E19" i="3"/>
  <c r="E27" i="3"/>
  <c r="D7" i="3"/>
  <c r="E7" i="3" s="1"/>
  <c r="E7" i="2"/>
  <c r="E65" i="4"/>
  <c r="E57" i="4"/>
  <c r="E39" i="4"/>
  <c r="E31" i="4"/>
  <c r="E24" i="4"/>
  <c r="E20" i="4"/>
  <c r="E14" i="4"/>
  <c r="E8" i="4"/>
  <c r="E118" i="4"/>
  <c r="E110" i="4"/>
  <c r="E102" i="4"/>
  <c r="E94" i="4"/>
  <c r="E86" i="4"/>
  <c r="E78" i="4"/>
  <c r="E70" i="4"/>
  <c r="E62" i="4"/>
  <c r="E54" i="4"/>
  <c r="E36" i="4"/>
  <c r="E29" i="4"/>
  <c r="E22" i="4"/>
  <c r="E9" i="4"/>
  <c r="E112" i="4"/>
  <c r="E104" i="4"/>
  <c r="E96" i="4"/>
  <c r="E88" i="4"/>
  <c r="E80" i="4"/>
  <c r="E72" i="4"/>
  <c r="E64" i="4"/>
  <c r="E56" i="4"/>
  <c r="E38" i="4"/>
  <c r="E53" i="4"/>
  <c r="E23" i="4"/>
  <c r="E19" i="4"/>
  <c r="E45" i="4"/>
  <c r="E7" i="4"/>
  <c r="E120" i="4"/>
  <c r="E17" i="4"/>
  <c r="E11" i="4"/>
  <c r="M222" i="1"/>
  <c r="M214" i="1"/>
  <c r="M199" i="1"/>
  <c r="M130" i="1"/>
  <c r="M187" i="1"/>
  <c r="M174" i="1"/>
  <c r="M170" i="1"/>
  <c r="M136" i="1"/>
  <c r="M127" i="1"/>
  <c r="M159" i="1"/>
  <c r="M126" i="1"/>
  <c r="M143" i="1"/>
  <c r="M109" i="1"/>
  <c r="M101" i="1"/>
  <c r="M93" i="1"/>
  <c r="M85" i="1"/>
  <c r="M220" i="1"/>
  <c r="M140" i="1"/>
  <c r="M198" i="1"/>
  <c r="M193" i="1"/>
  <c r="M185" i="1"/>
  <c r="M180" i="1"/>
  <c r="M117" i="1"/>
  <c r="M169" i="1"/>
  <c r="M144" i="1"/>
  <c r="M124" i="1"/>
  <c r="M157" i="1"/>
  <c r="M152" i="1"/>
  <c r="M115" i="1"/>
  <c r="M107" i="1"/>
  <c r="M99" i="1"/>
  <c r="M91" i="1"/>
  <c r="M83" i="1"/>
  <c r="M75" i="1"/>
  <c r="M67" i="1"/>
  <c r="M59" i="1"/>
  <c r="M51" i="1"/>
  <c r="M43" i="1"/>
  <c r="M35" i="1"/>
  <c r="M27" i="1"/>
  <c r="M19" i="1"/>
  <c r="M203" i="1"/>
  <c r="M225" i="1"/>
  <c r="M129" i="1"/>
  <c r="M160" i="1"/>
  <c r="M189" i="1"/>
  <c r="M176" i="1"/>
  <c r="M223" i="1"/>
  <c r="M166" i="1"/>
  <c r="M49" i="1"/>
  <c r="M17" i="1"/>
  <c r="M161" i="1"/>
  <c r="M224" i="1"/>
  <c r="M141" i="1"/>
  <c r="M103" i="1"/>
  <c r="M87" i="1"/>
  <c r="M71" i="1"/>
  <c r="M216" i="1"/>
  <c r="M208" i="1"/>
  <c r="M201" i="1"/>
  <c r="M215" i="1"/>
  <c r="M207" i="1"/>
  <c r="M200" i="1"/>
  <c r="M188" i="1"/>
  <c r="M182" i="1"/>
  <c r="M175" i="1"/>
  <c r="M171" i="1"/>
  <c r="M118" i="1"/>
  <c r="M164" i="1"/>
  <c r="M153" i="1"/>
  <c r="M137" i="1"/>
  <c r="M206" i="1"/>
  <c r="M135" i="1"/>
  <c r="M212" i="1"/>
  <c r="M123" i="1"/>
  <c r="M217" i="1"/>
  <c r="M209" i="1"/>
  <c r="M202" i="1"/>
  <c r="M196" i="1"/>
  <c r="M190" i="1"/>
  <c r="M183" i="1"/>
  <c r="M177" i="1"/>
  <c r="M172" i="1"/>
  <c r="M167" i="1"/>
  <c r="M165" i="1"/>
  <c r="M162" i="1"/>
  <c r="M134" i="1"/>
  <c r="M150" i="1"/>
  <c r="M112" i="1"/>
  <c r="M104" i="1"/>
  <c r="M96" i="1"/>
  <c r="M88" i="1"/>
  <c r="M80" i="1"/>
  <c r="M72" i="1"/>
  <c r="M64" i="1"/>
  <c r="M56" i="1"/>
  <c r="M48" i="1"/>
  <c r="M40" i="1"/>
  <c r="M32" i="1"/>
  <c r="M24" i="1"/>
  <c r="M16" i="1"/>
  <c r="M221" i="1"/>
  <c r="M213" i="1"/>
  <c r="M205" i="1"/>
  <c r="M147" i="1"/>
  <c r="M194" i="1"/>
  <c r="M186" i="1"/>
  <c r="M181" i="1"/>
  <c r="M173" i="1"/>
  <c r="M132" i="1"/>
  <c r="M119" i="1"/>
  <c r="M125" i="1"/>
  <c r="M158" i="1"/>
  <c r="M128" i="1"/>
  <c r="M149" i="1"/>
  <c r="M108" i="1"/>
  <c r="M100" i="1"/>
  <c r="M92" i="1"/>
  <c r="M84" i="1"/>
  <c r="M76" i="1"/>
  <c r="M68" i="1"/>
  <c r="M60" i="1"/>
  <c r="M52" i="1"/>
  <c r="M44" i="1"/>
  <c r="M36" i="1"/>
  <c r="M28" i="1"/>
  <c r="M20" i="1"/>
  <c r="M226" i="1"/>
  <c r="M219" i="1"/>
  <c r="M211" i="1"/>
  <c r="M204" i="1"/>
  <c r="M145" i="1"/>
  <c r="M192" i="1"/>
  <c r="M184" i="1"/>
  <c r="M179" i="1"/>
  <c r="M120" i="1"/>
  <c r="M142" i="1"/>
  <c r="M121" i="1"/>
  <c r="M163" i="1"/>
  <c r="M156" i="1"/>
  <c r="M151"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9" i="1"/>
  <c r="B94" i="1"/>
  <c r="B103" i="1"/>
  <c r="B61" i="1"/>
  <c r="B143" i="1"/>
  <c r="B137" i="1"/>
  <c r="B92" i="1"/>
  <c r="B141" i="1"/>
  <c r="B150" i="1"/>
  <c r="B113" i="1"/>
  <c r="B138" i="1"/>
  <c r="B151" i="1"/>
  <c r="B152" i="1"/>
  <c r="B57" i="1"/>
  <c r="B97" i="1"/>
  <c r="B64" i="1"/>
  <c r="B63" i="1"/>
  <c r="B60" i="1"/>
  <c r="B56" i="1"/>
  <c r="B62" i="1"/>
  <c r="B66" i="1"/>
  <c r="B70" i="1"/>
  <c r="B107" i="1"/>
  <c r="B69" i="1"/>
  <c r="B77" i="1"/>
  <c r="B95" i="1"/>
  <c r="B74" i="1"/>
  <c r="B73" i="1"/>
  <c r="B128" i="1"/>
  <c r="B126" i="1"/>
  <c r="B153" i="1"/>
  <c r="B154" i="1"/>
  <c r="B134" i="1"/>
  <c r="B155" i="1"/>
  <c r="B156" i="1"/>
  <c r="B157" i="1"/>
  <c r="B158" i="1"/>
  <c r="B59" i="1"/>
  <c r="B58" i="1"/>
  <c r="B102" i="1"/>
  <c r="B115" i="1"/>
  <c r="B105" i="1"/>
  <c r="B159" i="1"/>
  <c r="B55" i="1"/>
  <c r="B160" i="1"/>
  <c r="B86" i="1"/>
  <c r="B161" i="1"/>
  <c r="B81" i="1"/>
  <c r="B75" i="1"/>
  <c r="B111" i="1"/>
  <c r="B93" i="1"/>
  <c r="B162" i="1"/>
  <c r="B84" i="1"/>
  <c r="B85" i="1"/>
  <c r="B148" i="1"/>
  <c r="B163" i="1"/>
  <c r="B124" i="1"/>
  <c r="B125" i="1"/>
  <c r="B127" i="1"/>
  <c r="B98" i="1"/>
  <c r="B164" i="1"/>
  <c r="B131" i="1"/>
  <c r="B165" i="1"/>
  <c r="B79" i="1"/>
  <c r="B146" i="1"/>
  <c r="B71" i="1"/>
  <c r="B67" i="1"/>
  <c r="B121" i="1"/>
  <c r="B144" i="1"/>
  <c r="B119" i="1"/>
  <c r="B136" i="1"/>
  <c r="B118" i="1"/>
  <c r="B166" i="1"/>
  <c r="B167" i="1"/>
  <c r="B168" i="1"/>
  <c r="B142" i="1"/>
  <c r="B89" i="1"/>
  <c r="B169" i="1"/>
  <c r="B72" i="1"/>
  <c r="B132" i="1"/>
  <c r="B100" i="1"/>
  <c r="B109" i="1"/>
  <c r="B110" i="1"/>
  <c r="B88" i="1"/>
  <c r="B170" i="1"/>
  <c r="B101" i="1"/>
  <c r="B104" i="1"/>
  <c r="B171" i="1"/>
  <c r="B139" i="1"/>
  <c r="B96" i="1"/>
  <c r="B172" i="1"/>
  <c r="B122" i="1"/>
  <c r="B120" i="1"/>
  <c r="B117" i="1"/>
  <c r="B114" i="1"/>
  <c r="B173" i="1"/>
  <c r="B174" i="1"/>
  <c r="B175" i="1"/>
  <c r="B176" i="1"/>
  <c r="B177" i="1"/>
  <c r="B178" i="1"/>
  <c r="B179" i="1"/>
  <c r="B180" i="1"/>
  <c r="B181" i="1"/>
  <c r="B108" i="1"/>
  <c r="B135" i="1"/>
  <c r="B182" i="1"/>
  <c r="B116" i="1"/>
  <c r="B183" i="1"/>
  <c r="B133" i="1"/>
  <c r="B184" i="1"/>
  <c r="B185" i="1"/>
  <c r="B112" i="1"/>
  <c r="B186" i="1"/>
  <c r="B187" i="1"/>
  <c r="B188" i="1"/>
  <c r="B189" i="1"/>
  <c r="B190" i="1"/>
  <c r="B191" i="1"/>
  <c r="B192" i="1"/>
  <c r="B193" i="1"/>
  <c r="B194" i="1"/>
  <c r="B130" i="1"/>
  <c r="B129" i="1"/>
  <c r="B195" i="1"/>
  <c r="B196" i="1"/>
  <c r="B197" i="1"/>
  <c r="B145" i="1"/>
  <c r="B198" i="1"/>
  <c r="B99" i="1"/>
  <c r="B147"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E4" i="3" l="1"/>
  <c r="G4" i="3" s="1"/>
  <c r="E4" i="2"/>
  <c r="G4" i="2" s="1"/>
  <c r="E4" i="4"/>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E5" i="2"/>
  <c r="G5" i="2" s="1"/>
  <c r="Z15" i="1"/>
  <c r="Z25" i="1"/>
  <c r="Z27" i="1" l="1"/>
  <c r="Z213" i="1"/>
  <c r="Z53" i="1"/>
  <c r="Z152" i="1"/>
  <c r="Z94" i="1"/>
  <c r="Z97" i="1"/>
  <c r="Z64" i="1"/>
  <c r="Z69" i="1"/>
  <c r="Z128" i="1"/>
  <c r="Z158" i="1"/>
  <c r="Z58" i="1"/>
  <c r="Z160" i="1"/>
  <c r="Z84" i="1"/>
  <c r="Z98" i="1"/>
  <c r="Z121" i="1"/>
  <c r="Z142" i="1"/>
  <c r="Z100" i="1"/>
  <c r="Z171" i="1"/>
  <c r="Z114" i="1"/>
  <c r="Z179" i="1"/>
  <c r="Z116" i="1"/>
  <c r="Z188" i="1"/>
  <c r="Z194" i="1"/>
  <c r="Z198" i="1"/>
  <c r="Z203" i="1"/>
  <c r="Z65" i="1"/>
  <c r="Z210" i="1"/>
  <c r="Z82" i="1"/>
  <c r="Z149" i="1"/>
  <c r="Z221" i="1"/>
  <c r="Z123" i="1"/>
  <c r="Z103" i="1"/>
  <c r="Z92" i="1"/>
  <c r="Z150" i="1"/>
  <c r="Z23" i="1"/>
  <c r="Z66" i="1"/>
  <c r="Z74" i="1"/>
  <c r="Z156" i="1"/>
  <c r="Z45" i="1"/>
  <c r="Z55" i="1"/>
  <c r="Z111" i="1"/>
  <c r="Z124" i="1"/>
  <c r="Z146" i="1"/>
  <c r="Z166" i="1"/>
  <c r="Z72" i="1"/>
  <c r="Z101" i="1"/>
  <c r="Z122" i="1"/>
  <c r="Z177" i="1"/>
  <c r="Z135" i="1"/>
  <c r="Z112" i="1"/>
  <c r="Z24" i="1"/>
  <c r="Z197" i="1"/>
  <c r="Z200" i="1"/>
  <c r="Z41" i="1"/>
  <c r="Z208" i="1"/>
  <c r="Z141" i="1"/>
  <c r="Z137" i="1"/>
  <c r="Z32" i="1"/>
  <c r="Z70" i="1"/>
  <c r="Z73" i="1"/>
  <c r="Z155" i="1"/>
  <c r="Z46" i="1"/>
  <c r="Z49" i="1"/>
  <c r="Z93" i="1"/>
  <c r="Z125" i="1"/>
  <c r="Z71" i="1"/>
  <c r="Z167" i="1"/>
  <c r="Z36" i="1"/>
  <c r="Z31" i="1"/>
  <c r="Z120" i="1"/>
  <c r="Z26" i="1"/>
  <c r="Z18" i="1"/>
  <c r="Z186" i="1"/>
  <c r="Z192" i="1"/>
  <c r="Z22" i="1"/>
  <c r="Z201" i="1"/>
  <c r="Z78" i="1"/>
  <c r="Z209" i="1"/>
  <c r="Z68" i="1"/>
  <c r="Z54" i="1"/>
  <c r="Z57" i="1"/>
  <c r="Z29" i="1"/>
  <c r="Z107" i="1"/>
  <c r="Z16" i="1"/>
  <c r="Z157" i="1"/>
  <c r="Z59" i="1"/>
  <c r="Z50" i="1"/>
  <c r="Z162" i="1"/>
  <c r="Z127" i="1"/>
  <c r="Z67" i="1"/>
  <c r="Z168" i="1"/>
  <c r="Z132" i="1"/>
  <c r="Z104" i="1"/>
  <c r="Z117" i="1"/>
  <c r="Z178" i="1"/>
  <c r="Z182" i="1"/>
  <c r="Z187" i="1"/>
  <c r="Z193" i="1"/>
  <c r="Z145" i="1"/>
  <c r="Z202" i="1"/>
  <c r="Z205" i="1"/>
  <c r="Z87" i="1"/>
  <c r="Z216" i="1"/>
  <c r="Z222" i="1"/>
  <c r="Z30" i="1"/>
  <c r="Z34" i="1"/>
  <c r="Z19" i="1"/>
  <c r="Z63" i="1"/>
  <c r="Z77" i="1"/>
  <c r="Z126" i="1"/>
  <c r="Z40" i="1"/>
  <c r="Z102" i="1"/>
  <c r="Z86" i="1"/>
  <c r="Z85" i="1"/>
  <c r="Z144" i="1"/>
  <c r="Z47" i="1"/>
  <c r="Z109" i="1"/>
  <c r="Z28" i="1"/>
  <c r="Z173" i="1"/>
  <c r="Z180" i="1"/>
  <c r="Z183" i="1"/>
  <c r="Z37" i="1"/>
  <c r="Z130" i="1"/>
  <c r="Z99" i="1"/>
  <c r="Z204" i="1"/>
  <c r="Z206" i="1"/>
  <c r="Z211" i="1"/>
  <c r="Z217" i="1"/>
  <c r="Z33" i="1"/>
  <c r="Z51" i="1"/>
  <c r="Z113" i="1"/>
  <c r="Z20" i="1"/>
  <c r="Z56" i="1"/>
  <c r="Z52" i="1"/>
  <c r="Z154" i="1"/>
  <c r="Z43" i="1"/>
  <c r="Z105" i="1"/>
  <c r="Z81" i="1"/>
  <c r="Z17" i="1"/>
  <c r="Z165" i="1"/>
  <c r="Z136" i="1"/>
  <c r="Z89" i="1"/>
  <c r="Z88" i="1"/>
  <c r="Z96" i="1"/>
  <c r="Z175" i="1"/>
  <c r="Z181" i="1"/>
  <c r="Z184" i="1"/>
  <c r="Z190" i="1"/>
  <c r="Z195" i="1"/>
  <c r="Z90" i="1"/>
  <c r="Z83" i="1"/>
  <c r="Z76" i="1"/>
  <c r="Z35" i="1"/>
  <c r="Z219" i="1"/>
  <c r="Z224" i="1"/>
  <c r="Z61" i="1"/>
  <c r="Z106" i="1"/>
  <c r="Z21" i="1"/>
  <c r="Z62" i="1"/>
  <c r="Z95" i="1"/>
  <c r="Z134" i="1"/>
  <c r="Z44" i="1"/>
  <c r="Z159" i="1"/>
  <c r="Z75" i="1"/>
  <c r="Z163" i="1"/>
  <c r="Z79" i="1"/>
  <c r="Z118" i="1"/>
  <c r="Z169" i="1"/>
  <c r="Z170" i="1"/>
  <c r="Z172" i="1"/>
  <c r="Z176" i="1"/>
  <c r="Z108" i="1"/>
  <c r="Z185" i="1"/>
  <c r="Z191" i="1"/>
  <c r="Z196" i="1"/>
  <c r="Z199" i="1"/>
  <c r="Z140" i="1"/>
  <c r="Z91" i="1"/>
  <c r="Z214" i="1"/>
  <c r="Z220" i="1"/>
  <c r="Z39" i="1"/>
  <c r="Z143" i="1"/>
  <c r="Z151" i="1"/>
  <c r="Z215" i="1"/>
  <c r="Z138" i="1"/>
  <c r="Z60" i="1"/>
  <c r="Z153" i="1"/>
  <c r="Z42" i="1"/>
  <c r="Z115" i="1"/>
  <c r="Z161" i="1"/>
  <c r="Z148" i="1"/>
  <c r="Z131" i="1"/>
  <c r="Z119" i="1"/>
  <c r="Z48" i="1"/>
  <c r="Z110" i="1"/>
  <c r="Z139" i="1"/>
  <c r="Z174" i="1"/>
  <c r="Z38" i="1"/>
  <c r="Z133" i="1"/>
  <c r="Z189" i="1"/>
  <c r="Z129" i="1"/>
  <c r="Z147" i="1"/>
  <c r="Z80" i="1"/>
  <c r="Z207" i="1"/>
  <c r="Z212" i="1"/>
  <c r="Z218" i="1"/>
  <c r="Z223" i="1"/>
  <c r="AL3" i="16"/>
  <c r="P39" i="1"/>
  <c r="S39" i="1" a="1"/>
  <c r="S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9" i="1" a="1"/>
  <c r="S149" i="1" s="1"/>
  <c r="S94" i="1" a="1"/>
  <c r="S94" i="1" s="1"/>
  <c r="S103" i="1" a="1"/>
  <c r="S103" i="1" s="1"/>
  <c r="S33" i="1" a="1"/>
  <c r="S33" i="1" s="1"/>
  <c r="S34" i="1" a="1"/>
  <c r="S34" i="1" s="1"/>
  <c r="S27" i="1" a="1"/>
  <c r="S27" i="1" s="1"/>
  <c r="S61" i="1" a="1"/>
  <c r="S61" i="1" s="1"/>
  <c r="S143" i="1" a="1"/>
  <c r="S143" i="1" s="1"/>
  <c r="S137" i="1" a="1"/>
  <c r="S137" i="1" s="1"/>
  <c r="S92" i="1" a="1"/>
  <c r="S92" i="1" s="1"/>
  <c r="S141" i="1" a="1"/>
  <c r="S141" i="1" s="1"/>
  <c r="S150" i="1" a="1"/>
  <c r="S150" i="1" s="1"/>
  <c r="S113" i="1" a="1"/>
  <c r="S113" i="1" s="1"/>
  <c r="S138" i="1" a="1"/>
  <c r="S138" i="1" s="1"/>
  <c r="S25" i="1" a="1"/>
  <c r="S25" i="1" s="1"/>
  <c r="S151" i="1" a="1"/>
  <c r="S151" i="1" s="1"/>
  <c r="S54" i="1" a="1"/>
  <c r="S54" i="1" s="1"/>
  <c r="S152" i="1" a="1"/>
  <c r="S152"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53" i="1" a="1"/>
  <c r="S153" i="1" s="1"/>
  <c r="S154" i="1" a="1"/>
  <c r="S154" i="1" s="1"/>
  <c r="S134" i="1" a="1"/>
  <c r="S134" i="1" s="1"/>
  <c r="S155" i="1" a="1"/>
  <c r="S155" i="1" s="1"/>
  <c r="S156" i="1" a="1"/>
  <c r="S156" i="1" s="1"/>
  <c r="S157" i="1" a="1"/>
  <c r="S157" i="1" s="1"/>
  <c r="S158" i="1" a="1"/>
  <c r="S158"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9" i="1" a="1"/>
  <c r="S159" i="1" s="1"/>
  <c r="S55" i="1" a="1"/>
  <c r="S55" i="1" s="1"/>
  <c r="S49" i="1" a="1"/>
  <c r="S49" i="1" s="1"/>
  <c r="S50" i="1" a="1"/>
  <c r="S50" i="1" s="1"/>
  <c r="S160" i="1" a="1"/>
  <c r="S160" i="1" s="1"/>
  <c r="S86" i="1" a="1"/>
  <c r="S86" i="1" s="1"/>
  <c r="S161" i="1" a="1"/>
  <c r="S161" i="1" s="1"/>
  <c r="S81" i="1" a="1"/>
  <c r="S81" i="1" s="1"/>
  <c r="S75" i="1" a="1"/>
  <c r="S75" i="1" s="1"/>
  <c r="S111" i="1" a="1"/>
  <c r="S111" i="1" s="1"/>
  <c r="S93" i="1" a="1"/>
  <c r="S93" i="1" s="1"/>
  <c r="S162" i="1" a="1"/>
  <c r="S162" i="1" s="1"/>
  <c r="S84" i="1" a="1"/>
  <c r="S84" i="1" s="1"/>
  <c r="S85" i="1" a="1"/>
  <c r="S85" i="1" s="1"/>
  <c r="S148" i="1" a="1"/>
  <c r="S148" i="1" s="1"/>
  <c r="S17" i="1" a="1"/>
  <c r="S17" i="1" s="1"/>
  <c r="S163" i="1" a="1"/>
  <c r="S163" i="1" s="1"/>
  <c r="S124" i="1" a="1"/>
  <c r="S124" i="1" s="1"/>
  <c r="S125" i="1" a="1"/>
  <c r="S125" i="1" s="1"/>
  <c r="S127" i="1" a="1"/>
  <c r="S127" i="1" s="1"/>
  <c r="S98" i="1" a="1"/>
  <c r="S98" i="1" s="1"/>
  <c r="S164" i="1" a="1"/>
  <c r="S164" i="1" s="1"/>
  <c r="S131" i="1" a="1"/>
  <c r="S131" i="1" s="1"/>
  <c r="S165" i="1" a="1"/>
  <c r="S165" i="1" s="1"/>
  <c r="S79" i="1" a="1"/>
  <c r="S79" i="1" s="1"/>
  <c r="S146" i="1" a="1"/>
  <c r="S146" i="1" s="1"/>
  <c r="S71" i="1" a="1"/>
  <c r="S71" i="1" s="1"/>
  <c r="S67" i="1" a="1"/>
  <c r="S67" i="1" s="1"/>
  <c r="S121" i="1" a="1"/>
  <c r="S121" i="1" s="1"/>
  <c r="S144" i="1" a="1"/>
  <c r="S144" i="1" s="1"/>
  <c r="S119" i="1" a="1"/>
  <c r="S119" i="1" s="1"/>
  <c r="S136" i="1" a="1"/>
  <c r="S136" i="1" s="1"/>
  <c r="S118" i="1" a="1"/>
  <c r="S118" i="1" s="1"/>
  <c r="S166" i="1" a="1"/>
  <c r="S166" i="1" s="1"/>
  <c r="S167" i="1" a="1"/>
  <c r="S167" i="1" s="1"/>
  <c r="S168" i="1" a="1"/>
  <c r="S168" i="1" s="1"/>
  <c r="S142" i="1" a="1"/>
  <c r="S142" i="1" s="1"/>
  <c r="S47" i="1" a="1"/>
  <c r="S47" i="1" s="1"/>
  <c r="S48" i="1" a="1"/>
  <c r="S48" i="1" s="1"/>
  <c r="S89" i="1" a="1"/>
  <c r="S89" i="1" s="1"/>
  <c r="S169" i="1" a="1"/>
  <c r="S169" i="1" s="1"/>
  <c r="S72" i="1" a="1"/>
  <c r="S72" i="1" s="1"/>
  <c r="S36" i="1" a="1"/>
  <c r="S36" i="1" s="1"/>
  <c r="S132" i="1" a="1"/>
  <c r="S132" i="1" s="1"/>
  <c r="S100" i="1" a="1"/>
  <c r="S100" i="1" s="1"/>
  <c r="S109" i="1" a="1"/>
  <c r="S109" i="1" s="1"/>
  <c r="S110" i="1" a="1"/>
  <c r="S110" i="1" s="1"/>
  <c r="S88" i="1" a="1"/>
  <c r="S88" i="1" s="1"/>
  <c r="S170" i="1" a="1"/>
  <c r="S170" i="1" s="1"/>
  <c r="S101" i="1" a="1"/>
  <c r="S101" i="1" s="1"/>
  <c r="S31" i="1" a="1"/>
  <c r="S31" i="1" s="1"/>
  <c r="S104" i="1" a="1"/>
  <c r="S104" i="1" s="1"/>
  <c r="S171" i="1" a="1"/>
  <c r="S171" i="1" s="1"/>
  <c r="S28" i="1" a="1"/>
  <c r="S28" i="1" s="1"/>
  <c r="S139" i="1" a="1"/>
  <c r="S139" i="1" s="1"/>
  <c r="S96" i="1" a="1"/>
  <c r="S96" i="1" s="1"/>
  <c r="S172" i="1" a="1"/>
  <c r="S172" i="1" s="1"/>
  <c r="S122" i="1" a="1"/>
  <c r="S122" i="1" s="1"/>
  <c r="S120" i="1" a="1"/>
  <c r="S120" i="1" s="1"/>
  <c r="S117" i="1" a="1"/>
  <c r="S117" i="1" s="1"/>
  <c r="S114" i="1" a="1"/>
  <c r="S114" i="1" s="1"/>
  <c r="S173" i="1" a="1"/>
  <c r="S173" i="1" s="1"/>
  <c r="S174" i="1" a="1"/>
  <c r="S174" i="1" s="1"/>
  <c r="S175" i="1" a="1"/>
  <c r="S175" i="1" s="1"/>
  <c r="S176" i="1" a="1"/>
  <c r="S176" i="1" s="1"/>
  <c r="S177" i="1" a="1"/>
  <c r="S177" i="1" s="1"/>
  <c r="S26" i="1" a="1"/>
  <c r="S26" i="1" s="1"/>
  <c r="S178" i="1" a="1"/>
  <c r="S178" i="1" s="1"/>
  <c r="S179" i="1" a="1"/>
  <c r="S179" i="1" s="1"/>
  <c r="S180" i="1" a="1"/>
  <c r="S180" i="1" s="1"/>
  <c r="S38" i="1" a="1"/>
  <c r="S38" i="1" s="1"/>
  <c r="S181" i="1" a="1"/>
  <c r="S181" i="1" s="1"/>
  <c r="S108" i="1" a="1"/>
  <c r="S108" i="1" s="1"/>
  <c r="S135" i="1" a="1"/>
  <c r="S135" i="1" s="1"/>
  <c r="S18" i="1" a="1"/>
  <c r="S18" i="1" s="1"/>
  <c r="S182" i="1" a="1"/>
  <c r="S182" i="1" s="1"/>
  <c r="S116" i="1" a="1"/>
  <c r="S116" i="1" s="1"/>
  <c r="S183" i="1" a="1"/>
  <c r="S183" i="1" s="1"/>
  <c r="S133" i="1" a="1"/>
  <c r="S133" i="1" s="1"/>
  <c r="S184" i="1" a="1"/>
  <c r="S184" i="1" s="1"/>
  <c r="S185" i="1" a="1"/>
  <c r="S185" i="1" s="1"/>
  <c r="S112" i="1" a="1"/>
  <c r="S112" i="1" s="1"/>
  <c r="S186" i="1" a="1"/>
  <c r="S186" i="1" s="1"/>
  <c r="S187" i="1" a="1"/>
  <c r="S187" i="1" s="1"/>
  <c r="S188" i="1" a="1"/>
  <c r="S188" i="1" s="1"/>
  <c r="S37" i="1" a="1"/>
  <c r="S37" i="1" s="1"/>
  <c r="S189" i="1" a="1"/>
  <c r="S189" i="1" s="1"/>
  <c r="S190" i="1" a="1"/>
  <c r="S190" i="1" s="1"/>
  <c r="S191" i="1" a="1"/>
  <c r="S191" i="1" s="1"/>
  <c r="S24" i="1" a="1"/>
  <c r="S24" i="1" s="1"/>
  <c r="S192" i="1" a="1"/>
  <c r="S192" i="1" s="1"/>
  <c r="S129" i="1" a="1"/>
  <c r="S129" i="1" s="1"/>
  <c r="S204" i="1" a="1"/>
  <c r="S204" i="1" s="1"/>
  <c r="S200" i="1" a="1"/>
  <c r="S200" i="1" s="1"/>
  <c r="S203" i="1" a="1"/>
  <c r="S203" i="1" s="1"/>
  <c r="S199" i="1" a="1"/>
  <c r="S199" i="1" s="1"/>
  <c r="S130" i="1" a="1"/>
  <c r="S130" i="1" s="1"/>
  <c r="S194" i="1" a="1"/>
  <c r="S194" i="1" s="1"/>
  <c r="S90" i="1" a="1"/>
  <c r="S90" i="1" s="1"/>
  <c r="S201" i="1" a="1"/>
  <c r="S201" i="1" s="1"/>
  <c r="S202" i="1" a="1"/>
  <c r="S202" i="1" s="1"/>
  <c r="S83" i="1" a="1"/>
  <c r="S83" i="1" s="1"/>
  <c r="S215" i="1" a="1"/>
  <c r="S215" i="1" s="1"/>
  <c r="S193" i="1" a="1"/>
  <c r="S193" i="1" s="1"/>
  <c r="S211" i="1" a="1"/>
  <c r="S211" i="1" s="1"/>
  <c r="S206" i="1" a="1"/>
  <c r="S206" i="1" s="1"/>
  <c r="S91" i="1" a="1"/>
  <c r="S91" i="1" s="1"/>
  <c r="S217" i="1" a="1"/>
  <c r="S217" i="1" s="1"/>
  <c r="S198" i="1" a="1"/>
  <c r="S198"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5" i="1" a="1"/>
  <c r="S195" i="1" s="1"/>
  <c r="S196" i="1" a="1"/>
  <c r="S196" i="1" s="1"/>
  <c r="S197" i="1" a="1"/>
  <c r="S197" i="1" s="1"/>
  <c r="S145" i="1" a="1"/>
  <c r="S145" i="1" s="1"/>
  <c r="S99" i="1" a="1"/>
  <c r="S99" i="1" s="1"/>
  <c r="S147" i="1" a="1"/>
  <c r="S147" i="1" s="1"/>
  <c r="S210" i="1" a="1"/>
  <c r="S210" i="1" s="1"/>
  <c r="S208" i="1" a="1"/>
  <c r="S208" i="1" s="1"/>
  <c r="S87" i="1" a="1"/>
  <c r="S87" i="1" s="1"/>
  <c r="S41" i="1" a="1"/>
  <c r="S41" i="1" s="1"/>
  <c r="S80" i="1" a="1"/>
  <c r="S80" i="1" s="1"/>
  <c r="S140" i="1" a="1"/>
  <c r="S140" i="1" s="1"/>
  <c r="S35" i="1" a="1"/>
  <c r="S35" i="1" s="1"/>
  <c r="S76" i="1" a="1"/>
  <c r="S76" i="1" s="1"/>
  <c r="S213" i="1" a="1"/>
  <c r="S213" i="1" s="1"/>
  <c r="S214" i="1" a="1"/>
  <c r="S214" i="1" s="1"/>
  <c r="S212" i="1" a="1"/>
  <c r="S212" i="1" s="1"/>
  <c r="S106" i="1" a="1"/>
  <c r="S106" i="1" s="1"/>
  <c r="J192" i="1" a="1"/>
  <c r="J192" i="1" s="1"/>
  <c r="I36" i="2" l="1"/>
  <c r="X210" i="10"/>
  <c r="A2" i="1"/>
  <c r="H15" i="4" l="1"/>
  <c r="H42" i="4"/>
  <c r="H29" i="4"/>
  <c r="H37" i="4"/>
  <c r="H47" i="4"/>
  <c r="H55" i="4"/>
  <c r="H63" i="4"/>
  <c r="H71" i="4"/>
  <c r="H79" i="4"/>
  <c r="H87" i="4"/>
  <c r="H95" i="4"/>
  <c r="H103" i="4"/>
  <c r="H111" i="4"/>
  <c r="H119" i="4"/>
  <c r="H10" i="3"/>
  <c r="H16" i="3"/>
  <c r="H24" i="3"/>
  <c r="H34" i="3"/>
  <c r="H7" i="3"/>
  <c r="H14" i="2"/>
  <c r="H20" i="2"/>
  <c r="H32" i="2"/>
  <c r="H39" i="2"/>
  <c r="H47" i="2"/>
  <c r="H55" i="2"/>
  <c r="H63" i="2"/>
  <c r="H27" i="4"/>
  <c r="H77" i="4"/>
  <c r="H22" i="3"/>
  <c r="H25" i="2"/>
  <c r="H36" i="4"/>
  <c r="H94" i="4"/>
  <c r="H33" i="3"/>
  <c r="H54" i="2"/>
  <c r="H8" i="4"/>
  <c r="H16" i="4"/>
  <c r="H22" i="4"/>
  <c r="H30" i="4"/>
  <c r="H38" i="4"/>
  <c r="H48" i="4"/>
  <c r="H56" i="4"/>
  <c r="H64" i="4"/>
  <c r="H72" i="4"/>
  <c r="H80" i="4"/>
  <c r="H88" i="4"/>
  <c r="H96" i="4"/>
  <c r="H104" i="4"/>
  <c r="H112" i="4"/>
  <c r="H120" i="4"/>
  <c r="H11" i="3"/>
  <c r="H17" i="3"/>
  <c r="H25" i="3"/>
  <c r="H35" i="3"/>
  <c r="H8" i="2"/>
  <c r="H15" i="2"/>
  <c r="H21" i="2"/>
  <c r="H27" i="2"/>
  <c r="H40" i="2"/>
  <c r="H48" i="2"/>
  <c r="H56" i="2"/>
  <c r="H64" i="2"/>
  <c r="H13" i="4"/>
  <c r="H61" i="4"/>
  <c r="H93" i="4"/>
  <c r="H14" i="3"/>
  <c r="H45" i="2"/>
  <c r="H21" i="4"/>
  <c r="H70" i="4"/>
  <c r="H118" i="4"/>
  <c r="H29" i="2"/>
  <c r="H62" i="2"/>
  <c r="H9" i="4"/>
  <c r="H17" i="4"/>
  <c r="H23" i="4"/>
  <c r="H31" i="4"/>
  <c r="H39" i="4"/>
  <c r="H49" i="4"/>
  <c r="H57" i="4"/>
  <c r="H65" i="4"/>
  <c r="H73" i="4"/>
  <c r="H81" i="4"/>
  <c r="H89" i="4"/>
  <c r="H97" i="4"/>
  <c r="H105" i="4"/>
  <c r="H113" i="4"/>
  <c r="H121" i="4"/>
  <c r="H12" i="3"/>
  <c r="H18" i="3"/>
  <c r="H26" i="3"/>
  <c r="H36" i="3"/>
  <c r="H9" i="2"/>
  <c r="H16" i="2"/>
  <c r="H22" i="2"/>
  <c r="H28" i="2"/>
  <c r="H41" i="2"/>
  <c r="H49" i="2"/>
  <c r="H57" i="2"/>
  <c r="H7" i="2"/>
  <c r="H41" i="4"/>
  <c r="H69" i="4"/>
  <c r="H117" i="4"/>
  <c r="H13" i="2"/>
  <c r="H61" i="2"/>
  <c r="H14" i="4"/>
  <c r="H62" i="4"/>
  <c r="H86" i="4"/>
  <c r="H15" i="3"/>
  <c r="H19" i="2"/>
  <c r="H10" i="4"/>
  <c r="H18" i="4"/>
  <c r="H24" i="4"/>
  <c r="H32" i="4"/>
  <c r="H40" i="4"/>
  <c r="H50" i="4"/>
  <c r="H58" i="4"/>
  <c r="H66" i="4"/>
  <c r="H74" i="4"/>
  <c r="H82" i="4"/>
  <c r="H90" i="4"/>
  <c r="H98" i="4"/>
  <c r="H106" i="4"/>
  <c r="H114" i="4"/>
  <c r="H122" i="4"/>
  <c r="H27" i="3"/>
  <c r="H19" i="3"/>
  <c r="H29" i="3"/>
  <c r="H37" i="3"/>
  <c r="H10" i="2"/>
  <c r="H17" i="2"/>
  <c r="H23" i="2"/>
  <c r="H34" i="2"/>
  <c r="H42" i="2"/>
  <c r="H50" i="2"/>
  <c r="H58" i="2"/>
  <c r="H35" i="4"/>
  <c r="H85" i="4"/>
  <c r="H8" i="3"/>
  <c r="H31" i="2"/>
  <c r="H46" i="4"/>
  <c r="H102" i="4"/>
  <c r="H41" i="3"/>
  <c r="H46" i="2"/>
  <c r="H11" i="4"/>
  <c r="H19" i="4"/>
  <c r="H25" i="4"/>
  <c r="H33" i="4"/>
  <c r="H43" i="4"/>
  <c r="H51" i="4"/>
  <c r="H59" i="4"/>
  <c r="H67" i="4"/>
  <c r="H75" i="4"/>
  <c r="H83" i="4"/>
  <c r="H91" i="4"/>
  <c r="H99" i="4"/>
  <c r="H107" i="4"/>
  <c r="H115" i="4"/>
  <c r="H123" i="4"/>
  <c r="H13" i="3"/>
  <c r="H20" i="3"/>
  <c r="H30" i="3"/>
  <c r="H38" i="3"/>
  <c r="H11" i="2"/>
  <c r="H30" i="2"/>
  <c r="H33" i="2"/>
  <c r="H35" i="2"/>
  <c r="H43" i="2"/>
  <c r="H51" i="2"/>
  <c r="H59" i="2"/>
  <c r="H53" i="4"/>
  <c r="H109" i="4"/>
  <c r="H40" i="3"/>
  <c r="H37" i="2"/>
  <c r="H54" i="4"/>
  <c r="H110" i="4"/>
  <c r="H23" i="3"/>
  <c r="H38" i="2"/>
  <c r="H12" i="4"/>
  <c r="H20" i="4"/>
  <c r="H26" i="4"/>
  <c r="H34" i="4"/>
  <c r="H44" i="4"/>
  <c r="H52" i="4"/>
  <c r="H60" i="4"/>
  <c r="H68" i="4"/>
  <c r="H76" i="4"/>
  <c r="H84" i="4"/>
  <c r="H92" i="4"/>
  <c r="H100" i="4"/>
  <c r="H108" i="4"/>
  <c r="H116" i="4"/>
  <c r="H7" i="4"/>
  <c r="H28" i="3"/>
  <c r="H21" i="3"/>
  <c r="H31" i="3"/>
  <c r="H39" i="3"/>
  <c r="H12" i="2"/>
  <c r="H18" i="2"/>
  <c r="H24" i="2"/>
  <c r="H36" i="2"/>
  <c r="H44" i="2"/>
  <c r="H52" i="2"/>
  <c r="H60" i="2"/>
  <c r="H45" i="4"/>
  <c r="H101" i="4"/>
  <c r="H32" i="3"/>
  <c r="H53" i="2"/>
  <c r="H28" i="4"/>
  <c r="H78" i="4"/>
  <c r="H9" i="3"/>
  <c r="H26" i="2"/>
  <c r="AB212" i="10"/>
  <c r="AB213" i="10"/>
  <c r="B2" i="1"/>
  <c r="B108" i="4"/>
  <c r="AB210" i="10"/>
  <c r="AB211" i="10"/>
  <c r="B36" i="2"/>
  <c r="F36" i="2"/>
  <c r="J149" i="1" a="1"/>
  <c r="J149" i="1" s="1"/>
  <c r="J94" i="1" a="1"/>
  <c r="J94" i="1" s="1"/>
  <c r="J103" i="1" a="1"/>
  <c r="J103" i="1" s="1"/>
  <c r="J33" i="1" a="1"/>
  <c r="J33" i="1" s="1"/>
  <c r="J34" i="1" a="1"/>
  <c r="J34" i="1" s="1"/>
  <c r="J27" i="1" a="1"/>
  <c r="J27" i="1" s="1"/>
  <c r="J61" i="1" a="1"/>
  <c r="J61" i="1" s="1"/>
  <c r="J143" i="1" a="1"/>
  <c r="J143" i="1" s="1"/>
  <c r="J137" i="1" a="1"/>
  <c r="J137" i="1" s="1"/>
  <c r="J92" i="1" a="1"/>
  <c r="J92" i="1" s="1"/>
  <c r="J141" i="1" a="1"/>
  <c r="J141" i="1" s="1"/>
  <c r="J150" i="1" a="1"/>
  <c r="J150" i="1" s="1"/>
  <c r="J113" i="1" a="1"/>
  <c r="J113" i="1" s="1"/>
  <c r="J138" i="1" a="1"/>
  <c r="J138" i="1" s="1"/>
  <c r="J25" i="1" a="1"/>
  <c r="J25" i="1" s="1"/>
  <c r="J151" i="1" a="1"/>
  <c r="J151" i="1" s="1"/>
  <c r="J54" i="1" a="1"/>
  <c r="J54" i="1" s="1"/>
  <c r="J152" i="1" a="1"/>
  <c r="J152"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53" i="1" a="1"/>
  <c r="J153" i="1" s="1"/>
  <c r="J154" i="1" a="1"/>
  <c r="J154" i="1" s="1"/>
  <c r="J134" i="1" a="1"/>
  <c r="J134" i="1" s="1"/>
  <c r="J155" i="1" a="1"/>
  <c r="J155" i="1" s="1"/>
  <c r="J156" i="1" a="1"/>
  <c r="J156" i="1" s="1"/>
  <c r="J157" i="1" a="1"/>
  <c r="J157" i="1" s="1"/>
  <c r="J158" i="1" a="1"/>
  <c r="J158"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9" i="1" a="1"/>
  <c r="J159" i="1" s="1"/>
  <c r="J55" i="1" a="1"/>
  <c r="J55" i="1" s="1"/>
  <c r="J49" i="1" a="1"/>
  <c r="J49" i="1" s="1"/>
  <c r="J50" i="1" a="1"/>
  <c r="J50" i="1" s="1"/>
  <c r="J160" i="1" a="1"/>
  <c r="J160" i="1" s="1"/>
  <c r="J86" i="1" a="1"/>
  <c r="J86" i="1" s="1"/>
  <c r="J161" i="1" a="1"/>
  <c r="J161" i="1" s="1"/>
  <c r="J81" i="1" a="1"/>
  <c r="J81" i="1" s="1"/>
  <c r="J75" i="1" a="1"/>
  <c r="J75" i="1" s="1"/>
  <c r="J48" i="1" a="1"/>
  <c r="J48" i="1" s="1"/>
  <c r="J47" i="1" a="1"/>
  <c r="J47" i="1" s="1"/>
  <c r="J129" i="1" a="1"/>
  <c r="J129" i="1" s="1"/>
  <c r="J131" i="1" a="1"/>
  <c r="J131" i="1" s="1"/>
  <c r="J127" i="1" a="1"/>
  <c r="J127" i="1" s="1"/>
  <c r="J167" i="1" a="1"/>
  <c r="J167" i="1" s="1"/>
  <c r="J144" i="1" a="1"/>
  <c r="J144" i="1" s="1"/>
  <c r="J109" i="1" a="1"/>
  <c r="J109" i="1" s="1"/>
  <c r="J88" i="1" a="1"/>
  <c r="J88" i="1" s="1"/>
  <c r="J36" i="1" a="1"/>
  <c r="J36" i="1" s="1"/>
  <c r="J100" i="1" a="1"/>
  <c r="J100" i="1" s="1"/>
  <c r="J187" i="1" a="1"/>
  <c r="J187" i="1" s="1"/>
  <c r="J111" i="1" a="1"/>
  <c r="J111" i="1" s="1"/>
  <c r="J132" i="1" a="1"/>
  <c r="J132" i="1" s="1"/>
  <c r="J183" i="1" a="1"/>
  <c r="J183" i="1" s="1"/>
  <c r="J96" i="1" a="1"/>
  <c r="J96" i="1" s="1"/>
  <c r="J179" i="1" a="1"/>
  <c r="J179" i="1" s="1"/>
  <c r="J170" i="1" a="1"/>
  <c r="J170"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48" i="1" a="1"/>
  <c r="J148" i="1" s="1"/>
  <c r="J136" i="1" a="1"/>
  <c r="J136" i="1" s="1"/>
  <c r="J180" i="1" a="1"/>
  <c r="J180" i="1" s="1"/>
  <c r="J186" i="1" a="1"/>
  <c r="J186" i="1" s="1"/>
  <c r="J93" i="1" a="1"/>
  <c r="J93" i="1" s="1"/>
  <c r="J184" i="1" a="1"/>
  <c r="J184" i="1" s="1"/>
  <c r="J185" i="1" a="1"/>
  <c r="J185" i="1" s="1"/>
  <c r="J182" i="1" a="1"/>
  <c r="J182" i="1" s="1"/>
  <c r="J117" i="1" a="1"/>
  <c r="J117" i="1" s="1"/>
  <c r="J172" i="1" a="1"/>
  <c r="J172" i="1" s="1"/>
  <c r="J18" i="1" a="1"/>
  <c r="J18" i="1" s="1"/>
  <c r="J135" i="1" a="1"/>
  <c r="J135" i="1" s="1"/>
  <c r="J108" i="1" a="1"/>
  <c r="J108" i="1" s="1"/>
  <c r="J181" i="1" a="1"/>
  <c r="J181" i="1" s="1"/>
  <c r="J163" i="1" a="1"/>
  <c r="J163" i="1" s="1"/>
  <c r="J204" i="1" a="1"/>
  <c r="J204" i="1" s="1"/>
  <c r="J200" i="1" a="1"/>
  <c r="J200" i="1" s="1"/>
  <c r="J203" i="1" a="1"/>
  <c r="J203" i="1" s="1"/>
  <c r="J199" i="1" a="1"/>
  <c r="J199" i="1" s="1"/>
  <c r="J89" i="1" a="1"/>
  <c r="J89" i="1" s="1"/>
  <c r="J124" i="1" a="1"/>
  <c r="J124" i="1" s="1"/>
  <c r="J125" i="1" a="1"/>
  <c r="J125" i="1" s="1"/>
  <c r="J130" i="1" a="1"/>
  <c r="J130" i="1" s="1"/>
  <c r="J194" i="1" a="1"/>
  <c r="J194" i="1" s="1"/>
  <c r="J191" i="1" a="1"/>
  <c r="J191" i="1" s="1"/>
  <c r="J90" i="1" a="1"/>
  <c r="J90" i="1" s="1"/>
  <c r="J201" i="1" a="1"/>
  <c r="J201" i="1" s="1"/>
  <c r="J202" i="1" a="1"/>
  <c r="J202" i="1" s="1"/>
  <c r="J83" i="1" a="1"/>
  <c r="J83" i="1" s="1"/>
  <c r="J188" i="1" a="1"/>
  <c r="J188" i="1" s="1"/>
  <c r="J190" i="1" a="1"/>
  <c r="J190" i="1" s="1"/>
  <c r="J175" i="1" a="1"/>
  <c r="J175" i="1" s="1"/>
  <c r="J171" i="1" a="1"/>
  <c r="J171" i="1" s="1"/>
  <c r="J139" i="1" a="1"/>
  <c r="J139" i="1" s="1"/>
  <c r="J173" i="1" a="1"/>
  <c r="J173" i="1" s="1"/>
  <c r="J174" i="1" a="1"/>
  <c r="J174" i="1" s="1"/>
  <c r="J189" i="1" a="1"/>
  <c r="J189" i="1" s="1"/>
  <c r="J114" i="1" a="1"/>
  <c r="J114" i="1" s="1"/>
  <c r="J112" i="1" a="1"/>
  <c r="J112" i="1" s="1"/>
  <c r="J215" i="1" a="1"/>
  <c r="J215" i="1" s="1"/>
  <c r="J193" i="1" a="1"/>
  <c r="J193" i="1" s="1"/>
  <c r="J17" i="1" a="1"/>
  <c r="J17" i="1" s="1"/>
  <c r="J211" i="1" a="1"/>
  <c r="J211" i="1" s="1"/>
  <c r="J24" i="1" a="1"/>
  <c r="J24" i="1" s="1"/>
  <c r="J142" i="1" a="1"/>
  <c r="J142" i="1" s="1"/>
  <c r="J206" i="1" a="1"/>
  <c r="J206" i="1" s="1"/>
  <c r="J91" i="1" a="1"/>
  <c r="J91" i="1" s="1"/>
  <c r="J217" i="1" a="1"/>
  <c r="J217" i="1" s="1"/>
  <c r="J168" i="1" a="1"/>
  <c r="J168" i="1" s="1"/>
  <c r="J198" i="1" a="1"/>
  <c r="J198" i="1" s="1"/>
  <c r="J68" i="1" a="1"/>
  <c r="J68" i="1" s="1"/>
  <c r="J82" i="1" a="1"/>
  <c r="J82" i="1" s="1"/>
  <c r="J22" i="1" a="1"/>
  <c r="J22" i="1" s="1"/>
  <c r="J216" i="1" a="1"/>
  <c r="J216" i="1" s="1"/>
  <c r="J205" i="1" a="1"/>
  <c r="J205" i="1" s="1"/>
  <c r="J178" i="1" a="1"/>
  <c r="J178"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64" i="1" a="1"/>
  <c r="J164" i="1" s="1"/>
  <c r="J98" i="1" a="1"/>
  <c r="J98" i="1" s="1"/>
  <c r="J224" i="1" a="1"/>
  <c r="J224" i="1" s="1"/>
  <c r="J28" i="1" a="1"/>
  <c r="J28" i="1" s="1"/>
  <c r="J101" i="1" a="1"/>
  <c r="J101" i="1" s="1"/>
  <c r="J31" i="1" a="1"/>
  <c r="J31" i="1" s="1"/>
  <c r="J104" i="1" a="1"/>
  <c r="J104" i="1" s="1"/>
  <c r="J195" i="1" a="1"/>
  <c r="J195" i="1" s="1"/>
  <c r="J165" i="1" a="1"/>
  <c r="J165" i="1" s="1"/>
  <c r="J79" i="1" a="1"/>
  <c r="J79" i="1" s="1"/>
  <c r="J196" i="1" a="1"/>
  <c r="J196" i="1" s="1"/>
  <c r="J197" i="1" a="1"/>
  <c r="J197" i="1" s="1"/>
  <c r="J145" i="1" a="1"/>
  <c r="J145" i="1" s="1"/>
  <c r="J99" i="1" a="1"/>
  <c r="J99" i="1" s="1"/>
  <c r="J146" i="1" a="1"/>
  <c r="J146" i="1" s="1"/>
  <c r="J147" i="1" a="1"/>
  <c r="J147" i="1" s="1"/>
  <c r="J67" i="1" a="1"/>
  <c r="J67" i="1" s="1"/>
  <c r="J162" i="1" a="1"/>
  <c r="J162" i="1" s="1"/>
  <c r="J210" i="1" a="1"/>
  <c r="J210" i="1" s="1"/>
  <c r="J208" i="1" a="1"/>
  <c r="J208" i="1" s="1"/>
  <c r="J118" i="1" a="1"/>
  <c r="J118" i="1" s="1"/>
  <c r="J121" i="1" a="1"/>
  <c r="J121" i="1" s="1"/>
  <c r="J119" i="1" a="1"/>
  <c r="J119" i="1" s="1"/>
  <c r="J177" i="1" a="1"/>
  <c r="J177" i="1" s="1"/>
  <c r="J87" i="1" a="1"/>
  <c r="J87" i="1" s="1"/>
  <c r="J41" i="1" a="1"/>
  <c r="J41" i="1" s="1"/>
  <c r="J80" i="1" a="1"/>
  <c r="J80" i="1" s="1"/>
  <c r="J140" i="1" a="1"/>
  <c r="J140" i="1" s="1"/>
  <c r="J166" i="1" a="1"/>
  <c r="J166" i="1" s="1"/>
  <c r="J35" i="1" a="1"/>
  <c r="J35" i="1" s="1"/>
  <c r="J76" i="1" a="1"/>
  <c r="J76" i="1" s="1"/>
  <c r="J176" i="1" a="1"/>
  <c r="J176" i="1" s="1"/>
  <c r="J26" i="1" a="1"/>
  <c r="J26" i="1" s="1"/>
  <c r="J213" i="1" a="1"/>
  <c r="J213" i="1" s="1"/>
  <c r="J214" i="1" a="1"/>
  <c r="J214" i="1" s="1"/>
  <c r="J169" i="1" a="1"/>
  <c r="J169" i="1" s="1"/>
  <c r="J212" i="1" a="1"/>
  <c r="J212" i="1" s="1"/>
  <c r="J106" i="1" a="1"/>
  <c r="J106" i="1" s="1"/>
  <c r="J2" i="2" l="1"/>
  <c r="J2" i="4"/>
  <c r="J2" i="3"/>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4" i="2"/>
  <c r="F12" i="2"/>
  <c r="F11" i="2"/>
  <c r="F10" i="2"/>
  <c r="F13" i="2"/>
  <c r="F35" i="2"/>
  <c r="F8" i="2"/>
  <c r="F40" i="2"/>
  <c r="F25" i="2"/>
  <c r="F52" i="2"/>
  <c r="F21" i="2"/>
  <c r="F26" i="2"/>
  <c r="F50" i="2"/>
  <c r="F224" i="1"/>
  <c r="F64" i="1"/>
  <c r="F197" i="1"/>
  <c r="F196" i="1"/>
  <c r="F112" i="1"/>
  <c r="F212" i="1"/>
  <c r="F221" i="1"/>
  <c r="F143" i="1"/>
  <c r="F56" i="1"/>
  <c r="F116" i="1"/>
  <c r="F209" i="1"/>
  <c r="F186" i="1"/>
  <c r="F219" i="1"/>
  <c r="F183" i="1"/>
  <c r="F179" i="1"/>
  <c r="F117" i="1"/>
  <c r="F150" i="1"/>
  <c r="F85" i="1"/>
  <c r="F61" i="1"/>
  <c r="F206" i="1"/>
  <c r="F63" i="1"/>
  <c r="F136" i="1"/>
  <c r="F218" i="1"/>
  <c r="F15" i="1"/>
  <c r="F172" i="1"/>
  <c r="F93" i="1"/>
  <c r="F27" i="1"/>
  <c r="F115" i="1"/>
  <c r="F194" i="1"/>
  <c r="F113" i="1"/>
  <c r="F129" i="1"/>
  <c r="F46" i="1"/>
  <c r="F83" i="1"/>
  <c r="F140" i="1"/>
  <c r="F58" i="1"/>
  <c r="F157" i="1"/>
  <c r="F148" i="1"/>
  <c r="F139" i="1"/>
  <c r="F68" i="1"/>
  <c r="F161" i="1"/>
  <c r="F97" i="1"/>
  <c r="F131" i="1"/>
  <c r="F153" i="1"/>
  <c r="F62" i="1"/>
  <c r="F201" i="1"/>
  <c r="F26" i="1"/>
  <c r="F130" i="1"/>
  <c r="F176" i="1"/>
  <c r="F158" i="1"/>
  <c r="F213" i="1"/>
  <c r="F191" i="1"/>
  <c r="F174" i="1"/>
  <c r="F95" i="1"/>
  <c r="F110" i="1"/>
  <c r="F69" i="1"/>
  <c r="F165" i="1"/>
  <c r="F146" i="1"/>
  <c r="F125" i="1"/>
  <c r="F145" i="1"/>
  <c r="F222" i="1"/>
  <c r="F75" i="1"/>
  <c r="F134" i="1"/>
  <c r="F170" i="1"/>
  <c r="F135" i="1"/>
  <c r="F164" i="1"/>
  <c r="F74" i="1"/>
  <c r="F202" i="1"/>
  <c r="F21" i="1"/>
  <c r="F18" i="1"/>
  <c r="F214" i="1"/>
  <c r="F189" i="1"/>
  <c r="F120" i="1"/>
  <c r="F119" i="1"/>
  <c r="F122" i="1"/>
  <c r="F169" i="1"/>
  <c r="F142" i="1"/>
  <c r="F77" i="1"/>
  <c r="F207" i="1"/>
  <c r="F32" i="1"/>
  <c r="F173" i="1"/>
  <c r="F111" i="1"/>
  <c r="F184" i="1"/>
  <c r="F20" i="1"/>
  <c r="F71" i="1"/>
  <c r="F160" i="1"/>
  <c r="F65" i="1"/>
  <c r="F137" i="1"/>
  <c r="F76" i="1"/>
  <c r="F55" i="1"/>
  <c r="F177" i="1"/>
  <c r="F60" i="1"/>
  <c r="F54" i="1"/>
  <c r="F187" i="1"/>
  <c r="F98" i="1"/>
  <c r="F114" i="1"/>
  <c r="F149" i="1"/>
  <c r="F79" i="1"/>
  <c r="F41" i="1"/>
  <c r="F108" i="1"/>
  <c r="F16" i="1"/>
  <c r="F185" i="1"/>
  <c r="F182" i="1"/>
  <c r="F166" i="1"/>
  <c r="F38" i="1"/>
  <c r="F53" i="1"/>
  <c r="F80" i="1"/>
  <c r="F181" i="1"/>
  <c r="F217" i="1"/>
  <c r="F220" i="1"/>
  <c r="F216" i="1"/>
  <c r="F141" i="1"/>
  <c r="F106" i="1"/>
  <c r="F84" i="1"/>
  <c r="F87" i="1"/>
  <c r="F99" i="1"/>
  <c r="F59" i="1"/>
  <c r="F168" i="1"/>
  <c r="F147" i="1"/>
  <c r="F92" i="1"/>
  <c r="F78" i="1"/>
  <c r="F72" i="1"/>
  <c r="F90" i="1"/>
  <c r="F124" i="1"/>
  <c r="F198" i="1"/>
  <c r="F118" i="1"/>
  <c r="F128" i="1"/>
  <c r="F73" i="1"/>
  <c r="F70" i="1"/>
  <c r="F223" i="1"/>
  <c r="F30" i="1"/>
  <c r="F91" i="1"/>
  <c r="F105" i="1"/>
  <c r="F126" i="1"/>
  <c r="F35" i="1"/>
  <c r="F96" i="1"/>
  <c r="F23" i="1"/>
  <c r="F133" i="1"/>
  <c r="F37" i="1"/>
  <c r="F138" i="1"/>
  <c r="F86" i="1"/>
  <c r="F127" i="1"/>
  <c r="F205" i="1"/>
  <c r="F180" i="1"/>
  <c r="F22" i="1"/>
  <c r="F107" i="1"/>
  <c r="F82" i="1"/>
  <c r="F121" i="1"/>
  <c r="F178" i="1"/>
  <c r="F132" i="1"/>
  <c r="F171" i="1"/>
  <c r="F175" i="1"/>
  <c r="F208" i="1"/>
  <c r="F190" i="1"/>
  <c r="F50" i="1"/>
  <c r="F49" i="1"/>
  <c r="F195" i="1"/>
  <c r="F210" i="1"/>
  <c r="F81" i="1"/>
  <c r="F89" i="1"/>
  <c r="F100" i="1"/>
  <c r="F36" i="1"/>
  <c r="F24" i="1"/>
  <c r="F211" i="1"/>
  <c r="F159" i="1"/>
  <c r="F17" i="1"/>
  <c r="F199" i="1"/>
  <c r="F203" i="1"/>
  <c r="F200" i="1"/>
  <c r="F204" i="1"/>
  <c r="F192" i="1"/>
  <c r="F34" i="1"/>
  <c r="F52" i="1"/>
  <c r="F51" i="1"/>
  <c r="F57" i="1"/>
  <c r="F102" i="1"/>
  <c r="F152" i="1"/>
  <c r="F25" i="1"/>
  <c r="F162" i="1"/>
  <c r="F66" i="1"/>
  <c r="F104" i="1"/>
  <c r="F31" i="1"/>
  <c r="F101" i="1"/>
  <c r="F193" i="1"/>
  <c r="F215" i="1"/>
  <c r="F45" i="1"/>
  <c r="F44" i="1"/>
  <c r="F40" i="1"/>
  <c r="F42" i="1"/>
  <c r="F43" i="1"/>
  <c r="F151" i="1"/>
  <c r="F67" i="1"/>
  <c r="F94" i="1"/>
  <c r="F19" i="1"/>
  <c r="F156" i="1"/>
  <c r="F155" i="1"/>
  <c r="F154" i="1"/>
  <c r="F28" i="1"/>
  <c r="F47" i="1"/>
  <c r="F48" i="1"/>
  <c r="F88" i="1"/>
  <c r="F163" i="1"/>
  <c r="F188" i="1"/>
  <c r="F29" i="1"/>
  <c r="F109" i="1"/>
  <c r="F33" i="1"/>
  <c r="F144" i="1"/>
  <c r="P132" i="1"/>
  <c r="P127" i="1"/>
  <c r="P156" i="1"/>
  <c r="P223" i="1"/>
  <c r="P171" i="1"/>
  <c r="P168" i="1"/>
  <c r="P220" i="1"/>
  <c r="P185" i="1"/>
  <c r="P98" i="1"/>
  <c r="P177" i="1"/>
  <c r="P200" i="1"/>
  <c r="P195" i="1"/>
  <c r="P119" i="1"/>
  <c r="P31" i="1"/>
  <c r="P134" i="1"/>
  <c r="P165" i="1"/>
  <c r="P49" i="1"/>
  <c r="P44" i="1"/>
  <c r="P81" i="1"/>
  <c r="P58" i="1"/>
  <c r="P27" i="1"/>
  <c r="P136" i="1"/>
  <c r="P183" i="1"/>
  <c r="P221" i="1"/>
  <c r="K188" i="1"/>
  <c r="L188" i="1" s="1" a="1"/>
  <c r="L188" i="1" s="1"/>
  <c r="K144" i="1"/>
  <c r="L144" i="1" s="1" a="1"/>
  <c r="L144" i="1" s="1"/>
  <c r="K33" i="1"/>
  <c r="L33" i="1" s="1" a="1"/>
  <c r="L33" i="1" s="1"/>
  <c r="K109" i="1"/>
  <c r="L109" i="1" s="1" a="1"/>
  <c r="L109" i="1" s="1"/>
  <c r="K29" i="1"/>
  <c r="L29" i="1" s="1" a="1"/>
  <c r="L29" i="1" s="1"/>
  <c r="K57" i="1"/>
  <c r="L57" i="1" s="1" a="1"/>
  <c r="L57" i="1" s="1"/>
  <c r="K132" i="1"/>
  <c r="L132" i="1" s="1" a="1"/>
  <c r="L132" i="1" s="1"/>
  <c r="K178" i="1"/>
  <c r="L178" i="1" s="1" a="1"/>
  <c r="L178" i="1" s="1"/>
  <c r="K121" i="1"/>
  <c r="L121" i="1" s="1" a="1"/>
  <c r="L121" i="1" s="1"/>
  <c r="K82" i="1"/>
  <c r="L82" i="1" s="1" a="1"/>
  <c r="L82" i="1" s="1"/>
  <c r="K107" i="1"/>
  <c r="L107" i="1" s="1" a="1"/>
  <c r="L107" i="1" s="1"/>
  <c r="K22" i="1"/>
  <c r="L22" i="1" s="1" a="1"/>
  <c r="L22" i="1" s="1"/>
  <c r="K180" i="1"/>
  <c r="L180" i="1" s="1" a="1"/>
  <c r="L180"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6" i="1"/>
  <c r="L156" i="1" s="1" a="1"/>
  <c r="L156"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8" i="1"/>
  <c r="L198" i="1" s="1" a="1"/>
  <c r="L198" i="1" s="1"/>
  <c r="K124" i="1"/>
  <c r="L124" i="1" s="1" a="1"/>
  <c r="L124" i="1" s="1"/>
  <c r="K34" i="1"/>
  <c r="L34" i="1" s="1" a="1"/>
  <c r="L34" i="1" s="1"/>
  <c r="K171" i="1"/>
  <c r="L171" i="1" s="1" a="1"/>
  <c r="L171" i="1" s="1"/>
  <c r="K90" i="1"/>
  <c r="L90" i="1" s="1" a="1"/>
  <c r="L90" i="1" s="1"/>
  <c r="K72" i="1"/>
  <c r="L72" i="1" s="1" a="1"/>
  <c r="L72" i="1" s="1"/>
  <c r="K175" i="1"/>
  <c r="L175" i="1" s="1" a="1"/>
  <c r="L175" i="1" s="1"/>
  <c r="K78" i="1"/>
  <c r="L78" i="1" s="1" a="1"/>
  <c r="L78" i="1" s="1"/>
  <c r="K92" i="1"/>
  <c r="L92" i="1" s="1" a="1"/>
  <c r="L92" i="1" s="1"/>
  <c r="K147" i="1"/>
  <c r="L147" i="1" s="1" a="1"/>
  <c r="L147" i="1" s="1"/>
  <c r="K17" i="1"/>
  <c r="L17" i="1" s="1" a="1"/>
  <c r="L17" i="1" s="1"/>
  <c r="K168" i="1"/>
  <c r="L168" i="1" s="1" a="1"/>
  <c r="L168"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81" i="1"/>
  <c r="L181" i="1" s="1" a="1"/>
  <c r="L181" i="1" s="1"/>
  <c r="K50" i="1"/>
  <c r="L50" i="1" s="1" a="1"/>
  <c r="L50" i="1" s="1"/>
  <c r="K88" i="1"/>
  <c r="L88" i="1" s="1" a="1"/>
  <c r="L88" i="1" s="1"/>
  <c r="K19" i="1"/>
  <c r="L19" i="1" s="1" a="1"/>
  <c r="L19" i="1" s="1"/>
  <c r="K80" i="1"/>
  <c r="L80" i="1" s="1" a="1"/>
  <c r="L80" i="1" s="1"/>
  <c r="K52" i="1"/>
  <c r="L52" i="1" s="1" a="1"/>
  <c r="L52" i="1" s="1"/>
  <c r="K36" i="1"/>
  <c r="L36" i="1" s="1" a="1"/>
  <c r="L36" i="1" s="1"/>
  <c r="K192" i="1"/>
  <c r="L192" i="1" s="1" a="1"/>
  <c r="L192" i="1" s="1"/>
  <c r="K53" i="1"/>
  <c r="L53" i="1" s="1" a="1"/>
  <c r="L53" i="1" s="1"/>
  <c r="K155" i="1"/>
  <c r="L155" i="1" s="1" a="1"/>
  <c r="L155" i="1" s="1"/>
  <c r="K38" i="1"/>
  <c r="L38" i="1" s="1" a="1"/>
  <c r="L38" i="1" s="1"/>
  <c r="K166" i="1"/>
  <c r="L166" i="1" s="1" a="1"/>
  <c r="L166" i="1" s="1"/>
  <c r="K182" i="1"/>
  <c r="L182" i="1" s="1" a="1"/>
  <c r="L182" i="1" s="1"/>
  <c r="K185" i="1"/>
  <c r="L185" i="1" s="1" a="1"/>
  <c r="L185" i="1" s="1"/>
  <c r="K16" i="1"/>
  <c r="L16" i="1" s="1" a="1"/>
  <c r="L16" i="1" s="1"/>
  <c r="K108" i="1"/>
  <c r="L108" i="1" s="1" a="1"/>
  <c r="L108" i="1" s="1"/>
  <c r="K41" i="1"/>
  <c r="L41" i="1" s="1" a="1"/>
  <c r="L41" i="1" s="1"/>
  <c r="K159" i="1"/>
  <c r="L159" i="1" s="1" a="1"/>
  <c r="L159" i="1" s="1"/>
  <c r="K79" i="1"/>
  <c r="L79" i="1" s="1" a="1"/>
  <c r="L79" i="1" s="1"/>
  <c r="K149" i="1"/>
  <c r="L149" i="1" s="1" a="1"/>
  <c r="L149" i="1" s="1"/>
  <c r="K114" i="1"/>
  <c r="L114" i="1" s="1" a="1"/>
  <c r="L114" i="1" s="1"/>
  <c r="K98" i="1"/>
  <c r="L98" i="1" s="1" a="1"/>
  <c r="L98" i="1" s="1"/>
  <c r="K190" i="1"/>
  <c r="L190" i="1" s="1" a="1"/>
  <c r="L190" i="1" s="1"/>
  <c r="K211" i="1"/>
  <c r="L211" i="1" s="1" a="1"/>
  <c r="L211" i="1" s="1"/>
  <c r="K187" i="1"/>
  <c r="L187" i="1" s="1" a="1"/>
  <c r="L187" i="1" s="1"/>
  <c r="K215" i="1"/>
  <c r="L215" i="1" s="1" a="1"/>
  <c r="L215" i="1" s="1"/>
  <c r="K193" i="1"/>
  <c r="L193" i="1" s="1" a="1"/>
  <c r="L193" i="1" s="1"/>
  <c r="K54" i="1"/>
  <c r="L54" i="1" s="1" a="1"/>
  <c r="L54" i="1" s="1"/>
  <c r="K60" i="1"/>
  <c r="L60" i="1" s="1" a="1"/>
  <c r="L60" i="1" s="1"/>
  <c r="K177" i="1"/>
  <c r="L177" i="1" s="1" a="1"/>
  <c r="L177" i="1" s="1"/>
  <c r="K55" i="1"/>
  <c r="L55" i="1" s="1" a="1"/>
  <c r="L55" i="1" s="1"/>
  <c r="K76" i="1"/>
  <c r="L76" i="1" s="1" a="1"/>
  <c r="L76" i="1" s="1"/>
  <c r="K137" i="1"/>
  <c r="L137" i="1" s="1" a="1"/>
  <c r="L137" i="1" s="1"/>
  <c r="K65" i="1"/>
  <c r="L65" i="1" s="1" a="1"/>
  <c r="L65" i="1" s="1"/>
  <c r="K160" i="1"/>
  <c r="L160" i="1" s="1" a="1"/>
  <c r="L160" i="1" s="1"/>
  <c r="K71" i="1"/>
  <c r="L71" i="1" s="1" a="1"/>
  <c r="L71" i="1" s="1"/>
  <c r="K20" i="1"/>
  <c r="L20" i="1" s="1" a="1"/>
  <c r="L20" i="1" s="1"/>
  <c r="K200" i="1"/>
  <c r="L200" i="1" s="1" a="1"/>
  <c r="L200" i="1" s="1"/>
  <c r="K184" i="1"/>
  <c r="L184" i="1" s="1" a="1"/>
  <c r="L184" i="1" s="1"/>
  <c r="K111" i="1"/>
  <c r="L111" i="1" s="1" a="1"/>
  <c r="L111" i="1" s="1"/>
  <c r="K173" i="1"/>
  <c r="L173" i="1" s="1" a="1"/>
  <c r="L173" i="1" s="1"/>
  <c r="K32" i="1"/>
  <c r="L32" i="1" s="1" a="1"/>
  <c r="L32" i="1" s="1"/>
  <c r="K162" i="1"/>
  <c r="L162" i="1" s="1" a="1"/>
  <c r="L162" i="1" s="1"/>
  <c r="K207" i="1"/>
  <c r="L207" i="1" s="1" a="1"/>
  <c r="L207" i="1" s="1"/>
  <c r="K199" i="1"/>
  <c r="L199" i="1" s="1" a="1"/>
  <c r="L199" i="1" s="1"/>
  <c r="K195" i="1"/>
  <c r="L195" i="1" s="1" a="1"/>
  <c r="L195" i="1" s="1"/>
  <c r="K25" i="1"/>
  <c r="L25" i="1" s="1" a="1"/>
  <c r="L25" i="1" s="1"/>
  <c r="K77" i="1"/>
  <c r="L77" i="1" s="1" a="1"/>
  <c r="L77" i="1" s="1"/>
  <c r="K142" i="1"/>
  <c r="L142" i="1" s="1" a="1"/>
  <c r="L142" i="1" s="1"/>
  <c r="K66" i="1"/>
  <c r="L66" i="1" s="1" a="1"/>
  <c r="L66" i="1" s="1"/>
  <c r="K94" i="1"/>
  <c r="L94" i="1" s="1" a="1"/>
  <c r="L94" i="1" s="1"/>
  <c r="K169" i="1"/>
  <c r="L169" i="1" s="1" a="1"/>
  <c r="L169" i="1" s="1"/>
  <c r="K122" i="1"/>
  <c r="L122" i="1" s="1" a="1"/>
  <c r="L122" i="1" s="1"/>
  <c r="K119" i="1"/>
  <c r="L119" i="1" s="1" a="1"/>
  <c r="L119" i="1" s="1"/>
  <c r="K120" i="1"/>
  <c r="L120" i="1" s="1" a="1"/>
  <c r="L120" i="1" s="1"/>
  <c r="K189" i="1"/>
  <c r="L189" i="1" s="1" a="1"/>
  <c r="L189"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64" i="1"/>
  <c r="L164" i="1" s="1" a="1"/>
  <c r="L164" i="1" s="1"/>
  <c r="K28" i="1"/>
  <c r="L28" i="1" s="1" a="1"/>
  <c r="L28" i="1" s="1"/>
  <c r="K208" i="1"/>
  <c r="L208" i="1" s="1" a="1"/>
  <c r="L208" i="1" s="1"/>
  <c r="K135" i="1"/>
  <c r="L135" i="1" s="1" a="1"/>
  <c r="L135" i="1" s="1"/>
  <c r="K170" i="1"/>
  <c r="L170" i="1" s="1" a="1"/>
  <c r="L170" i="1" s="1"/>
  <c r="K134" i="1"/>
  <c r="L134" i="1" s="1" a="1"/>
  <c r="L134" i="1" s="1"/>
  <c r="K75" i="1"/>
  <c r="L75" i="1" s="1" a="1"/>
  <c r="L75" i="1" s="1"/>
  <c r="K222" i="1"/>
  <c r="L222" i="1" s="1" a="1"/>
  <c r="L222" i="1" s="1"/>
  <c r="K145" i="1"/>
  <c r="L145" i="1" s="1" a="1"/>
  <c r="L145" i="1" s="1"/>
  <c r="K125" i="1"/>
  <c r="L125" i="1" s="1" a="1"/>
  <c r="L125" i="1" s="1"/>
  <c r="K146" i="1"/>
  <c r="L146" i="1" s="1" a="1"/>
  <c r="L146" i="1" s="1"/>
  <c r="K40" i="1"/>
  <c r="L40" i="1" s="1" a="1"/>
  <c r="L40" i="1" s="1"/>
  <c r="K163" i="1"/>
  <c r="L163" i="1" s="1" a="1"/>
  <c r="L163" i="1" s="1"/>
  <c r="K165" i="1"/>
  <c r="L165" i="1" s="1" a="1"/>
  <c r="L165" i="1" s="1"/>
  <c r="K69" i="1"/>
  <c r="L69" i="1" s="1" a="1"/>
  <c r="L69" i="1" s="1"/>
  <c r="K203" i="1"/>
  <c r="L203" i="1" s="1" a="1"/>
  <c r="L203" i="1" s="1"/>
  <c r="K210" i="1"/>
  <c r="L210" i="1" s="1" a="1"/>
  <c r="L210" i="1" s="1"/>
  <c r="K110" i="1"/>
  <c r="L110" i="1" s="1" a="1"/>
  <c r="L110" i="1" s="1"/>
  <c r="K95" i="1"/>
  <c r="L95" i="1" s="1" a="1"/>
  <c r="L95" i="1" s="1"/>
  <c r="K174" i="1"/>
  <c r="L174" i="1" s="1" a="1"/>
  <c r="L174" i="1" s="1"/>
  <c r="K102" i="1"/>
  <c r="L102" i="1" s="1" a="1"/>
  <c r="L102" i="1" s="1"/>
  <c r="K49" i="1"/>
  <c r="L49" i="1" s="1" a="1"/>
  <c r="L49" i="1" s="1"/>
  <c r="K191" i="1"/>
  <c r="L191" i="1" s="1" a="1"/>
  <c r="L191" i="1" s="1"/>
  <c r="K213" i="1"/>
  <c r="L213" i="1" s="1" a="1"/>
  <c r="L213" i="1" s="1"/>
  <c r="K158" i="1"/>
  <c r="L158" i="1" s="1" a="1"/>
  <c r="L158" i="1" s="1"/>
  <c r="K176" i="1"/>
  <c r="L176" i="1" s="1" a="1"/>
  <c r="L176" i="1" s="1"/>
  <c r="K101" i="1"/>
  <c r="L101" i="1" s="1" a="1"/>
  <c r="L101" i="1" s="1"/>
  <c r="K130" i="1"/>
  <c r="L130" i="1" s="1" a="1"/>
  <c r="L130" i="1" s="1"/>
  <c r="K26" i="1"/>
  <c r="L26" i="1" s="1" a="1"/>
  <c r="L26" i="1" s="1"/>
  <c r="K44" i="1"/>
  <c r="L44" i="1" s="1" a="1"/>
  <c r="L44" i="1" s="1"/>
  <c r="K201" i="1"/>
  <c r="L201" i="1" s="1" a="1"/>
  <c r="L201" i="1" s="1"/>
  <c r="K154" i="1"/>
  <c r="L154" i="1" s="1" a="1"/>
  <c r="L154" i="1" s="1"/>
  <c r="K204" i="1"/>
  <c r="L204" i="1" s="1" a="1"/>
  <c r="L204" i="1" s="1"/>
  <c r="K62" i="1"/>
  <c r="L62" i="1" s="1" a="1"/>
  <c r="L62" i="1" s="1"/>
  <c r="K153" i="1"/>
  <c r="L153" i="1" s="1" a="1"/>
  <c r="L153" i="1" s="1"/>
  <c r="K104" i="1"/>
  <c r="L104" i="1" s="1" a="1"/>
  <c r="L104" i="1" s="1"/>
  <c r="K131" i="1"/>
  <c r="L131" i="1" s="1" a="1"/>
  <c r="L131" i="1" s="1"/>
  <c r="K81" i="1"/>
  <c r="L81" i="1" s="1" a="1"/>
  <c r="L81" i="1" s="1"/>
  <c r="K97" i="1"/>
  <c r="L97" i="1" s="1" a="1"/>
  <c r="L97" i="1" s="1"/>
  <c r="K161" i="1"/>
  <c r="L161" i="1" s="1" a="1"/>
  <c r="L161" i="1" s="1"/>
  <c r="K68" i="1"/>
  <c r="L68" i="1" s="1" a="1"/>
  <c r="L68" i="1" s="1"/>
  <c r="K139" i="1"/>
  <c r="L139" i="1" s="1" a="1"/>
  <c r="L139" i="1" s="1"/>
  <c r="K152" i="1"/>
  <c r="L152" i="1" s="1" a="1"/>
  <c r="L152" i="1" s="1"/>
  <c r="K148" i="1"/>
  <c r="L148" i="1" s="1" a="1"/>
  <c r="L148" i="1" s="1"/>
  <c r="K157" i="1"/>
  <c r="L157" i="1" s="1" a="1"/>
  <c r="L157" i="1" s="1"/>
  <c r="K58" i="1"/>
  <c r="L58" i="1" s="1" a="1"/>
  <c r="L58" i="1" s="1"/>
  <c r="K140" i="1"/>
  <c r="L140" i="1" s="1" a="1"/>
  <c r="L140" i="1" s="1"/>
  <c r="K83" i="1"/>
  <c r="L83" i="1" s="1" a="1"/>
  <c r="L83" i="1" s="1"/>
  <c r="K46" i="1"/>
  <c r="L46" i="1" s="1" a="1"/>
  <c r="L46" i="1" s="1"/>
  <c r="K129" i="1"/>
  <c r="L129" i="1" s="1" a="1"/>
  <c r="L129" i="1" s="1"/>
  <c r="K113" i="1"/>
  <c r="L113" i="1" s="1" a="1"/>
  <c r="L113" i="1" s="1"/>
  <c r="K194" i="1"/>
  <c r="L194" i="1" s="1" a="1"/>
  <c r="L194" i="1" s="1"/>
  <c r="K115" i="1"/>
  <c r="L115" i="1" s="1" a="1"/>
  <c r="L115" i="1" s="1"/>
  <c r="K27" i="1"/>
  <c r="L27" i="1" s="1" a="1"/>
  <c r="L27" i="1" s="1"/>
  <c r="K93" i="1"/>
  <c r="L93" i="1" s="1" a="1"/>
  <c r="L93" i="1" s="1"/>
  <c r="K51" i="1"/>
  <c r="L51" i="1" s="1" a="1"/>
  <c r="L51" i="1" s="1"/>
  <c r="K100" i="1"/>
  <c r="L100" i="1" s="1" a="1"/>
  <c r="L100" i="1" s="1"/>
  <c r="K172" i="1"/>
  <c r="L172" i="1" s="1" a="1"/>
  <c r="L172"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50" i="1"/>
  <c r="L150" i="1" s="1" a="1"/>
  <c r="L150" i="1" s="1"/>
  <c r="K117" i="1"/>
  <c r="L117" i="1" s="1" a="1"/>
  <c r="L117" i="1" s="1"/>
  <c r="K179" i="1"/>
  <c r="L179" i="1" s="1" a="1"/>
  <c r="L179" i="1" s="1"/>
  <c r="K183" i="1"/>
  <c r="L183" i="1" s="1" a="1"/>
  <c r="L183" i="1" s="1"/>
  <c r="K219" i="1"/>
  <c r="L219" i="1" s="1" a="1"/>
  <c r="L219" i="1" s="1"/>
  <c r="K186" i="1"/>
  <c r="L186" i="1" s="1" a="1"/>
  <c r="L186" i="1" s="1"/>
  <c r="K151" i="1"/>
  <c r="L151" i="1" s="1" a="1"/>
  <c r="L151" i="1" s="1"/>
  <c r="K209" i="1"/>
  <c r="L209" i="1" s="1" a="1"/>
  <c r="L209" i="1" s="1"/>
  <c r="K116" i="1"/>
  <c r="L116" i="1" s="1" a="1"/>
  <c r="L116" i="1" s="1"/>
  <c r="K56" i="1"/>
  <c r="L56" i="1" s="1" a="1"/>
  <c r="L56" i="1" s="1"/>
  <c r="K143" i="1"/>
  <c r="L143" i="1" s="1" a="1"/>
  <c r="L143" i="1" s="1"/>
  <c r="K221" i="1"/>
  <c r="L221" i="1" s="1" a="1"/>
  <c r="L221" i="1" s="1"/>
  <c r="K212" i="1"/>
  <c r="L212" i="1" s="1" a="1"/>
  <c r="L212" i="1" s="1"/>
  <c r="K112" i="1"/>
  <c r="L112" i="1" s="1" a="1"/>
  <c r="L112" i="1" s="1"/>
  <c r="K196" i="1"/>
  <c r="L196" i="1" s="1" a="1"/>
  <c r="L196" i="1" s="1"/>
  <c r="K67" i="1"/>
  <c r="L67" i="1" s="1" a="1"/>
  <c r="L67" i="1" s="1"/>
  <c r="K197" i="1"/>
  <c r="L197" i="1" s="1" a="1"/>
  <c r="L197" i="1" s="1"/>
  <c r="K64" i="1"/>
  <c r="L64" i="1" s="1" a="1"/>
  <c r="L64" i="1" s="1"/>
  <c r="K224" i="1"/>
  <c r="L224" i="1" s="1" a="1"/>
  <c r="L224" i="1" s="1"/>
  <c r="K167" i="1"/>
  <c r="L167" i="1" s="1" a="1"/>
  <c r="L167" i="1" s="1"/>
  <c r="H168" i="1"/>
  <c r="H217" i="1"/>
  <c r="H132" i="1"/>
  <c r="H72" i="1"/>
  <c r="H183" i="1"/>
  <c r="H79" i="1"/>
  <c r="H160" i="1"/>
  <c r="H195" i="1"/>
  <c r="H25" i="1"/>
  <c r="H165" i="1"/>
  <c r="H102" i="1"/>
  <c r="H167" i="1"/>
  <c r="H152" i="1"/>
  <c r="H218" i="1"/>
  <c r="H151" i="1"/>
  <c r="H216" i="1"/>
  <c r="H22" i="1"/>
  <c r="H198" i="1"/>
  <c r="H155" i="1"/>
  <c r="H95" i="1"/>
  <c r="H158" i="1"/>
  <c r="H181" i="1"/>
  <c r="H178" i="1"/>
  <c r="H134" i="1"/>
  <c r="H170" i="1"/>
  <c r="H23" i="1"/>
  <c r="H36" i="1"/>
  <c r="H120" i="1"/>
  <c r="H18" i="1"/>
  <c r="H116" i="1"/>
  <c r="H64" i="1"/>
  <c r="H73" i="1"/>
  <c r="H55" i="1"/>
  <c r="H63" i="1"/>
  <c r="H61" i="1"/>
  <c r="H133" i="1"/>
  <c r="H16" i="1"/>
  <c r="H211" i="1"/>
  <c r="H215" i="1"/>
  <c r="H193" i="1"/>
  <c r="H32" i="1"/>
  <c r="H62" i="1"/>
  <c r="H74" i="1"/>
  <c r="H214" i="1"/>
  <c r="H60" i="1"/>
  <c r="H118" i="1"/>
  <c r="H87" i="1"/>
  <c r="H115" i="1"/>
  <c r="H184" i="1"/>
  <c r="H43" i="1"/>
  <c r="H100" i="1"/>
  <c r="H15" i="1"/>
  <c r="H136" i="1"/>
  <c r="H67" i="1"/>
  <c r="H121" i="1"/>
  <c r="H20" i="1"/>
  <c r="H119" i="1"/>
  <c r="H101" i="1"/>
  <c r="H71" i="1"/>
  <c r="H185" i="1"/>
  <c r="H117" i="1"/>
  <c r="H126" i="1"/>
  <c r="H223" i="1"/>
  <c r="H128" i="1"/>
  <c r="H78" i="1"/>
  <c r="H41" i="1"/>
  <c r="H65" i="1"/>
  <c r="H75" i="1"/>
  <c r="H148" i="1"/>
  <c r="H188" i="1"/>
  <c r="H190" i="1"/>
  <c r="H107" i="1"/>
  <c r="H96" i="1"/>
  <c r="H175" i="1"/>
  <c r="H88" i="1"/>
  <c r="H114" i="1"/>
  <c r="H174" i="1"/>
  <c r="H83" i="1"/>
  <c r="H57" i="1"/>
  <c r="H19" i="1"/>
  <c r="H111" i="1"/>
  <c r="H45" i="1"/>
  <c r="H84" i="1"/>
  <c r="H44" i="1"/>
  <c r="H46" i="1"/>
  <c r="H50" i="1"/>
  <c r="H163" i="1"/>
  <c r="H49" i="1"/>
  <c r="H24" i="1"/>
  <c r="H91" i="1"/>
  <c r="H157" i="1"/>
  <c r="H209" i="1"/>
  <c r="H200" i="1"/>
  <c r="H199" i="1"/>
  <c r="H202" i="1"/>
  <c r="H203" i="1"/>
  <c r="H201" i="1"/>
  <c r="H204" i="1"/>
  <c r="H143" i="1"/>
  <c r="H82" i="1"/>
  <c r="H68" i="1"/>
  <c r="H33" i="1"/>
  <c r="H105" i="1"/>
  <c r="H139" i="1"/>
  <c r="H173" i="1"/>
  <c r="H138" i="1"/>
  <c r="H92" i="1"/>
  <c r="H220" i="1"/>
  <c r="H80" i="1"/>
  <c r="H140" i="1"/>
  <c r="H219" i="1"/>
  <c r="H166" i="1"/>
  <c r="H69" i="1"/>
  <c r="H86" i="1"/>
  <c r="H108" i="1"/>
  <c r="H145" i="1"/>
  <c r="H146" i="1"/>
  <c r="H81" i="1"/>
  <c r="H161" i="1"/>
  <c r="H124" i="1"/>
  <c r="H125" i="1"/>
  <c r="H31" i="1"/>
  <c r="H28" i="1"/>
  <c r="H154" i="1"/>
  <c r="H153" i="1"/>
  <c r="H104" i="1"/>
  <c r="H90" i="1"/>
  <c r="H194" i="1"/>
  <c r="H27" i="1"/>
  <c r="H89" i="1"/>
  <c r="H191" i="1"/>
  <c r="H141" i="1"/>
  <c r="H109" i="1"/>
  <c r="H21" i="1"/>
  <c r="H210" i="1"/>
  <c r="H110" i="1"/>
  <c r="H189" i="1"/>
  <c r="H150" i="1"/>
  <c r="H186" i="1"/>
  <c r="H144" i="1"/>
  <c r="H85" i="1"/>
  <c r="H162" i="1"/>
  <c r="H187" i="1"/>
  <c r="H94" i="1"/>
  <c r="H159" i="1"/>
  <c r="H17" i="1"/>
  <c r="H222" i="1"/>
  <c r="H156" i="1"/>
  <c r="H48" i="1"/>
  <c r="H98" i="1"/>
  <c r="H47" i="1"/>
  <c r="H164" i="1"/>
  <c r="H149" i="1"/>
  <c r="H37" i="1"/>
  <c r="H53" i="1"/>
  <c r="H54" i="1"/>
  <c r="H113" i="1"/>
  <c r="H147" i="1"/>
  <c r="H66" i="1"/>
  <c r="H42" i="1"/>
  <c r="H40" i="1"/>
  <c r="H99" i="1"/>
  <c r="H56" i="1"/>
  <c r="H70" i="1"/>
  <c r="H35" i="1"/>
  <c r="H127" i="1"/>
  <c r="H130" i="1"/>
  <c r="H131" i="1"/>
  <c r="H129" i="1"/>
  <c r="H34" i="1"/>
  <c r="H52" i="1"/>
  <c r="H59" i="1"/>
  <c r="H58" i="1"/>
  <c r="H51" i="1"/>
  <c r="H171" i="1"/>
  <c r="H137" i="1"/>
  <c r="H93" i="1"/>
  <c r="H172" i="1"/>
  <c r="H179" i="1"/>
  <c r="H180" i="1"/>
  <c r="H196" i="1"/>
  <c r="H197" i="1"/>
  <c r="H207" i="1"/>
  <c r="H192" i="1"/>
  <c r="H182" i="1"/>
  <c r="H29" i="1"/>
  <c r="H38" i="1"/>
  <c r="H106" i="1"/>
  <c r="H122" i="1"/>
  <c r="H77" i="1"/>
  <c r="H208" i="1"/>
  <c r="H97" i="1"/>
  <c r="H112" i="1"/>
  <c r="H76" i="1"/>
  <c r="H169" i="1"/>
  <c r="H213" i="1"/>
  <c r="H26" i="1"/>
  <c r="H177" i="1"/>
  <c r="H176" i="1"/>
  <c r="H212" i="1"/>
  <c r="H142" i="1"/>
  <c r="H221" i="1"/>
  <c r="H224" i="1"/>
  <c r="H30" i="1"/>
  <c r="H206" i="1"/>
  <c r="H205" i="1"/>
  <c r="P205" i="1"/>
  <c r="P217" i="1"/>
  <c r="P72" i="1"/>
  <c r="P79" i="1"/>
  <c r="P160" i="1"/>
  <c r="P25" i="1"/>
  <c r="P102" i="1"/>
  <c r="P167" i="1"/>
  <c r="P152" i="1"/>
  <c r="P218" i="1"/>
  <c r="P151" i="1"/>
  <c r="P216" i="1"/>
  <c r="P22" i="1"/>
  <c r="P198" i="1"/>
  <c r="P155" i="1"/>
  <c r="P95" i="1"/>
  <c r="P158" i="1"/>
  <c r="P181" i="1"/>
  <c r="P178" i="1"/>
  <c r="P170" i="1"/>
  <c r="P23" i="1"/>
  <c r="P36" i="1"/>
  <c r="P120" i="1"/>
  <c r="P18" i="1"/>
  <c r="P116" i="1"/>
  <c r="P64" i="1"/>
  <c r="P73" i="1"/>
  <c r="P55" i="1"/>
  <c r="P63" i="1"/>
  <c r="P61" i="1"/>
  <c r="P133" i="1"/>
  <c r="P16" i="1"/>
  <c r="P211" i="1"/>
  <c r="P215" i="1"/>
  <c r="P193" i="1"/>
  <c r="P32" i="1"/>
  <c r="P62" i="1"/>
  <c r="P74" i="1"/>
  <c r="P214" i="1"/>
  <c r="P60" i="1"/>
  <c r="P118" i="1"/>
  <c r="P87" i="1"/>
  <c r="P115" i="1"/>
  <c r="P135" i="1"/>
  <c r="P184" i="1"/>
  <c r="P43" i="1"/>
  <c r="P100" i="1"/>
  <c r="P15" i="1"/>
  <c r="P67" i="1"/>
  <c r="P121" i="1"/>
  <c r="P20" i="1"/>
  <c r="P101" i="1"/>
  <c r="P71" i="1"/>
  <c r="P117" i="1"/>
  <c r="P126" i="1"/>
  <c r="P128" i="1"/>
  <c r="P78" i="1"/>
  <c r="P41" i="1"/>
  <c r="P65" i="1"/>
  <c r="P75" i="1"/>
  <c r="P148" i="1"/>
  <c r="P188" i="1"/>
  <c r="P190" i="1"/>
  <c r="P107" i="1"/>
  <c r="P96" i="1"/>
  <c r="P175" i="1"/>
  <c r="P88" i="1"/>
  <c r="P114" i="1"/>
  <c r="P174" i="1"/>
  <c r="P83" i="1"/>
  <c r="P57" i="1"/>
  <c r="P19" i="1"/>
  <c r="P111" i="1"/>
  <c r="P45" i="1"/>
  <c r="P84" i="1"/>
  <c r="P46" i="1"/>
  <c r="P50" i="1"/>
  <c r="P163" i="1"/>
  <c r="P24" i="1"/>
  <c r="P91" i="1"/>
  <c r="P157" i="1"/>
  <c r="P209" i="1"/>
  <c r="P199" i="1"/>
  <c r="P202" i="1"/>
  <c r="P203" i="1"/>
  <c r="P201" i="1"/>
  <c r="P204" i="1"/>
  <c r="P143" i="1"/>
  <c r="P82" i="1"/>
  <c r="P68" i="1"/>
  <c r="P33" i="1"/>
  <c r="P105" i="1"/>
  <c r="P139" i="1"/>
  <c r="P173" i="1"/>
  <c r="P138" i="1"/>
  <c r="P92" i="1"/>
  <c r="P80" i="1"/>
  <c r="P140" i="1"/>
  <c r="P219" i="1"/>
  <c r="P166" i="1"/>
  <c r="P69" i="1"/>
  <c r="P86" i="1"/>
  <c r="P108" i="1"/>
  <c r="P145" i="1"/>
  <c r="P146" i="1"/>
  <c r="P161" i="1"/>
  <c r="P124" i="1"/>
  <c r="P125" i="1"/>
  <c r="P28" i="1"/>
  <c r="P154" i="1"/>
  <c r="P153" i="1"/>
  <c r="P104" i="1"/>
  <c r="P90" i="1"/>
  <c r="P194" i="1"/>
  <c r="P89" i="1"/>
  <c r="P191" i="1"/>
  <c r="P141" i="1"/>
  <c r="P109" i="1"/>
  <c r="P21" i="1"/>
  <c r="P210" i="1"/>
  <c r="P110" i="1"/>
  <c r="P189" i="1"/>
  <c r="P150" i="1"/>
  <c r="P186" i="1"/>
  <c r="P144" i="1"/>
  <c r="P85" i="1"/>
  <c r="P162" i="1"/>
  <c r="P187" i="1"/>
  <c r="P94" i="1"/>
  <c r="P159" i="1"/>
  <c r="P17" i="1"/>
  <c r="P222" i="1"/>
  <c r="P48" i="1"/>
  <c r="P47" i="1"/>
  <c r="P164" i="1"/>
  <c r="P149" i="1"/>
  <c r="P37" i="1"/>
  <c r="P53" i="1"/>
  <c r="P54" i="1"/>
  <c r="P113" i="1"/>
  <c r="P147" i="1"/>
  <c r="P66" i="1"/>
  <c r="P42" i="1"/>
  <c r="P40" i="1"/>
  <c r="P99" i="1"/>
  <c r="P56" i="1"/>
  <c r="P70" i="1"/>
  <c r="P35" i="1"/>
  <c r="P130" i="1"/>
  <c r="P131" i="1"/>
  <c r="P129" i="1"/>
  <c r="P34" i="1"/>
  <c r="P52" i="1"/>
  <c r="P59" i="1"/>
  <c r="P51" i="1"/>
  <c r="P137" i="1"/>
  <c r="P93" i="1"/>
  <c r="P172" i="1"/>
  <c r="P179" i="1"/>
  <c r="P180" i="1"/>
  <c r="P196" i="1"/>
  <c r="P197" i="1"/>
  <c r="P207" i="1"/>
  <c r="P192" i="1"/>
  <c r="P182" i="1"/>
  <c r="P29" i="1"/>
  <c r="P38" i="1"/>
  <c r="P106" i="1"/>
  <c r="P122" i="1"/>
  <c r="P77" i="1"/>
  <c r="P208" i="1"/>
  <c r="P97" i="1"/>
  <c r="P112" i="1"/>
  <c r="P76" i="1"/>
  <c r="P169" i="1"/>
  <c r="P213" i="1"/>
  <c r="P26" i="1"/>
  <c r="P176" i="1"/>
  <c r="P212" i="1"/>
  <c r="P142" i="1"/>
  <c r="P224" i="1"/>
  <c r="P30" i="1"/>
  <c r="P206" i="1"/>
  <c r="F75" i="4" l="1"/>
  <c r="F95" i="4"/>
  <c r="F112" i="4"/>
  <c r="F53" i="4"/>
  <c r="F23" i="4"/>
  <c r="F39" i="4"/>
  <c r="F119" i="4"/>
  <c r="F68" i="4"/>
  <c r="F45" i="4"/>
  <c r="F26" i="4"/>
  <c r="F31" i="4"/>
  <c r="F51" i="4"/>
  <c r="F18" i="4"/>
  <c r="F115" i="4"/>
  <c r="F59" i="4"/>
  <c r="F70" i="4"/>
  <c r="F19" i="4"/>
  <c r="F80" i="4"/>
  <c r="F34" i="4"/>
  <c r="F79" i="4"/>
  <c r="F57" i="4"/>
  <c r="F123" i="4"/>
  <c r="F35" i="4"/>
  <c r="F78" i="4"/>
  <c r="F111" i="4"/>
  <c r="F11" i="4"/>
  <c r="F120" i="4"/>
  <c r="F82" i="4"/>
  <c r="F58" i="4"/>
  <c r="F36" i="4"/>
  <c r="F49" i="4"/>
  <c r="F12" i="4"/>
  <c r="F16" i="4"/>
  <c r="F32" i="4"/>
  <c r="F37" i="4"/>
  <c r="F40" i="4"/>
  <c r="F61" i="4"/>
  <c r="F25" i="4"/>
  <c r="F52" i="4"/>
  <c r="F38" i="4"/>
  <c r="F54" i="4"/>
  <c r="F121" i="4"/>
  <c r="F87" i="4"/>
  <c r="F33" i="4"/>
  <c r="F94" i="4"/>
  <c r="F118" i="4"/>
  <c r="F96" i="4"/>
  <c r="F91" i="4"/>
  <c r="F65" i="4"/>
  <c r="F20" i="4"/>
  <c r="F8" i="4"/>
  <c r="F88" i="4"/>
  <c r="F48" i="4"/>
  <c r="F84" i="4"/>
  <c r="F89" i="4"/>
  <c r="F17" i="4"/>
  <c r="F72" i="4"/>
  <c r="F113" i="4"/>
  <c r="F50" i="4"/>
  <c r="F21" i="4"/>
  <c r="F41" i="4"/>
  <c r="F66" i="4"/>
  <c r="F110" i="4"/>
  <c r="F122" i="4"/>
  <c r="F24" i="4"/>
  <c r="F55" i="4"/>
  <c r="F42" i="4"/>
  <c r="F117" i="4"/>
  <c r="F73" i="4"/>
  <c r="F64" i="4"/>
  <c r="F9" i="4"/>
  <c r="F27" i="4"/>
  <c r="F56" i="4"/>
  <c r="F99" i="4"/>
  <c r="F71" i="4"/>
  <c r="F93" i="4"/>
  <c r="F14" i="4"/>
  <c r="F29" i="4"/>
  <c r="F47" i="4"/>
  <c r="F67" i="4"/>
  <c r="F62" i="4"/>
  <c r="F109" i="4"/>
  <c r="F86" i="4"/>
  <c r="F43" i="4"/>
  <c r="F98" i="4"/>
  <c r="F15" i="4"/>
  <c r="F77" i="4"/>
  <c r="F10" i="4"/>
  <c r="F97" i="4"/>
  <c r="F28" i="4"/>
  <c r="F85" i="4"/>
  <c r="F60" i="4"/>
  <c r="F69" i="4"/>
  <c r="F90" i="4"/>
  <c r="F13" i="4"/>
  <c r="F22" i="4"/>
  <c r="F44" i="4"/>
  <c r="F63" i="4"/>
  <c r="F116" i="4"/>
  <c r="F114" i="4"/>
  <c r="F81" i="4"/>
  <c r="F92" i="4"/>
  <c r="F76" i="4"/>
  <c r="F7" i="4"/>
  <c r="F46" i="4"/>
  <c r="F30" i="4"/>
  <c r="F83" i="4"/>
  <c r="F8" i="3"/>
  <c r="F45" i="2"/>
  <c r="F48" i="2"/>
  <c r="F62" i="2"/>
  <c r="F42" i="2"/>
  <c r="F38" i="2"/>
  <c r="F22" i="2"/>
  <c r="F51" i="2"/>
  <c r="F46" i="2"/>
  <c r="F44" i="2"/>
  <c r="F17" i="2"/>
  <c r="F29" i="2"/>
  <c r="F32" i="2"/>
  <c r="F61" i="2"/>
  <c r="F37" i="2"/>
  <c r="F39" i="2"/>
  <c r="F54" i="2"/>
  <c r="F27" i="2"/>
  <c r="F23" i="2"/>
  <c r="F59" i="2"/>
  <c r="F43" i="2"/>
  <c r="F33" i="2"/>
  <c r="F31" i="2"/>
  <c r="F49" i="2"/>
  <c r="F15" i="2"/>
  <c r="F41" i="2"/>
  <c r="F18" i="2"/>
  <c r="F16" i="2"/>
  <c r="F14" i="2"/>
  <c r="F47" i="2"/>
  <c r="F30" i="2"/>
  <c r="F60" i="2"/>
  <c r="F19" i="2"/>
  <c r="F20" i="2"/>
  <c r="F28" i="2"/>
  <c r="F53" i="2"/>
  <c r="F57" i="2"/>
  <c r="F63" i="2"/>
  <c r="F58" i="2"/>
  <c r="F36" i="3"/>
  <c r="F38" i="3"/>
  <c r="F28" i="3"/>
  <c r="F22" i="3"/>
  <c r="F37" i="3"/>
  <c r="F30" i="3"/>
  <c r="F16" i="3"/>
  <c r="F41" i="3"/>
  <c r="F7" i="3"/>
  <c r="F35" i="3"/>
  <c r="F33" i="3"/>
  <c r="F25" i="3"/>
  <c r="F31" i="3"/>
  <c r="F27" i="3"/>
  <c r="F40" i="3"/>
  <c r="F10" i="3"/>
  <c r="F20" i="3"/>
  <c r="F9" i="3"/>
  <c r="F21" i="3"/>
  <c r="F24" i="3"/>
  <c r="F15" i="3"/>
  <c r="F14" i="3"/>
  <c r="F29" i="3"/>
  <c r="F39" i="3"/>
  <c r="F18" i="3"/>
  <c r="F19" i="3"/>
  <c r="F23" i="3"/>
  <c r="F11" i="3"/>
  <c r="F12" i="3"/>
  <c r="F17" i="3"/>
  <c r="F26" i="3"/>
  <c r="F32" i="3"/>
  <c r="F13"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1" i="4" s="1"/>
  <c r="W44" i="10"/>
  <c r="Z44" i="10"/>
  <c r="U45" i="10"/>
  <c r="V45" i="10"/>
  <c r="I41" i="4" s="1"/>
  <c r="W45" i="10"/>
  <c r="Z45" i="10"/>
  <c r="U46" i="10"/>
  <c r="V46" i="10"/>
  <c r="I42"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1"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3"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5" i="4" s="1"/>
  <c r="W124" i="10"/>
  <c r="U133" i="10"/>
  <c r="V133" i="10"/>
  <c r="I26" i="4" s="1"/>
  <c r="W133" i="10"/>
  <c r="Z133" i="10"/>
  <c r="U134" i="10"/>
  <c r="V134" i="10"/>
  <c r="W134" i="10"/>
  <c r="Z134" i="10"/>
  <c r="U135" i="10"/>
  <c r="V135" i="10"/>
  <c r="I28" i="4" s="1"/>
  <c r="W135" i="10"/>
  <c r="Z135" i="10"/>
  <c r="U136" i="10"/>
  <c r="V136" i="10"/>
  <c r="I31" i="4" s="1"/>
  <c r="W136" i="10"/>
  <c r="Z136" i="10"/>
  <c r="U137" i="10"/>
  <c r="V137" i="10"/>
  <c r="I24"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2" i="2" s="1"/>
  <c r="W192" i="10"/>
  <c r="Z192" i="10"/>
  <c r="U193" i="10"/>
  <c r="V193" i="10"/>
  <c r="W193" i="10"/>
  <c r="Z193" i="10"/>
  <c r="U194" i="10"/>
  <c r="V194" i="10"/>
  <c r="I26"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27" i="2" s="1"/>
  <c r="W200" i="10"/>
  <c r="Z200" i="10"/>
  <c r="U201" i="10"/>
  <c r="V201" i="10"/>
  <c r="I24" i="2" s="1"/>
  <c r="W201" i="10"/>
  <c r="Z201" i="10"/>
  <c r="U202" i="10"/>
  <c r="V202" i="10"/>
  <c r="I23" i="2" s="1"/>
  <c r="W202" i="10"/>
  <c r="Z202" i="10"/>
  <c r="U203" i="10"/>
  <c r="V203" i="10"/>
  <c r="I19" i="2" s="1"/>
  <c r="W203" i="10"/>
  <c r="Z203" i="10"/>
  <c r="U204" i="10"/>
  <c r="V204" i="10"/>
  <c r="I25" i="2" s="1"/>
  <c r="W204" i="10"/>
  <c r="Z204" i="10"/>
  <c r="U205" i="10"/>
  <c r="V205" i="10"/>
  <c r="W205" i="10"/>
  <c r="Z205" i="10"/>
  <c r="U206" i="10"/>
  <c r="V206" i="10"/>
  <c r="W206" i="10"/>
  <c r="Z206" i="10"/>
  <c r="U142" i="10"/>
  <c r="V142" i="10"/>
  <c r="I51" i="4" s="1"/>
  <c r="W142" i="10"/>
  <c r="Z142" i="10"/>
  <c r="U143" i="10"/>
  <c r="V143" i="10"/>
  <c r="I37" i="4" s="1"/>
  <c r="W143" i="10"/>
  <c r="Z143" i="10"/>
  <c r="U144" i="10"/>
  <c r="V144" i="10"/>
  <c r="I38" i="4" s="1"/>
  <c r="W144" i="10"/>
  <c r="Z144" i="10"/>
  <c r="U145" i="10"/>
  <c r="V145" i="10"/>
  <c r="W145" i="10"/>
  <c r="Z145" i="10"/>
  <c r="U146" i="10"/>
  <c r="V146" i="10"/>
  <c r="I39" i="4" s="1"/>
  <c r="W146" i="10"/>
  <c r="Z146" i="10"/>
  <c r="U147" i="10"/>
  <c r="V147" i="10"/>
  <c r="I33"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4" i="4" s="1"/>
  <c r="W153" i="10"/>
  <c r="Z153" i="10"/>
  <c r="U207" i="10"/>
  <c r="V207" i="10"/>
  <c r="I20" i="2" s="1"/>
  <c r="W207" i="10"/>
  <c r="Z207" i="10"/>
  <c r="U208" i="10"/>
  <c r="V208" i="10"/>
  <c r="I22" i="2" s="1"/>
  <c r="W208" i="10"/>
  <c r="Z208" i="10"/>
  <c r="U154" i="10"/>
  <c r="V154" i="10"/>
  <c r="I35" i="4" s="1"/>
  <c r="W154" i="10"/>
  <c r="Z154" i="10"/>
  <c r="U155" i="10"/>
  <c r="V155" i="10"/>
  <c r="I40" i="4" s="1"/>
  <c r="W155" i="10"/>
  <c r="Z155" i="10"/>
  <c r="U165" i="10"/>
  <c r="V165" i="10"/>
  <c r="I16" i="2" s="1"/>
  <c r="W165" i="10"/>
  <c r="Z165" i="10"/>
  <c r="U166" i="10"/>
  <c r="V166" i="10"/>
  <c r="I15" i="2" s="1"/>
  <c r="W166" i="10"/>
  <c r="Z166" i="10"/>
  <c r="U164" i="10"/>
  <c r="V164" i="10"/>
  <c r="I41" i="2" s="1"/>
  <c r="W164" i="10"/>
  <c r="U167" i="10"/>
  <c r="V167" i="10"/>
  <c r="I47" i="2" s="1"/>
  <c r="W167" i="10"/>
  <c r="Z167" i="10"/>
  <c r="U168" i="10"/>
  <c r="V168" i="10"/>
  <c r="I17" i="2" s="1"/>
  <c r="W168" i="10"/>
  <c r="Z168" i="10"/>
  <c r="U169" i="10"/>
  <c r="V169" i="10"/>
  <c r="I14" i="2" s="1"/>
  <c r="W169" i="10"/>
  <c r="Z169" i="10"/>
  <c r="U170" i="10"/>
  <c r="V170" i="10"/>
  <c r="I62" i="2" s="1"/>
  <c r="W170" i="10"/>
  <c r="Z170" i="10"/>
  <c r="U171" i="10"/>
  <c r="V171" i="10"/>
  <c r="I61" i="2" s="1"/>
  <c r="W171" i="10"/>
  <c r="Z171" i="10"/>
  <c r="U172" i="10"/>
  <c r="V172" i="10"/>
  <c r="I29" i="2" s="1"/>
  <c r="W172" i="10"/>
  <c r="Z172" i="10"/>
  <c r="U173" i="10"/>
  <c r="V173" i="10"/>
  <c r="I30" i="2" s="1"/>
  <c r="W173" i="10"/>
  <c r="Z173" i="10"/>
  <c r="U174" i="10"/>
  <c r="V174" i="10"/>
  <c r="I18"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6" i="4"/>
  <c r="I44" i="2"/>
  <c r="I56" i="2"/>
  <c r="I33" i="2"/>
  <c r="I54" i="4"/>
  <c r="I121" i="4"/>
  <c r="I96" i="4"/>
  <c r="I109" i="4"/>
  <c r="I45" i="4"/>
  <c r="I9" i="4"/>
  <c r="I49" i="4"/>
  <c r="I64" i="2"/>
  <c r="I28" i="2"/>
  <c r="I12" i="2"/>
  <c r="I86" i="4"/>
  <c r="I85" i="4"/>
  <c r="I102" i="4"/>
  <c r="I11" i="2"/>
  <c r="I113" i="4"/>
  <c r="I92" i="4"/>
  <c r="I53" i="4"/>
  <c r="I22" i="4"/>
  <c r="I43" i="4"/>
  <c r="I32" i="4"/>
  <c r="I120" i="4"/>
  <c r="I65" i="4"/>
  <c r="I20" i="4"/>
  <c r="I123" i="4"/>
  <c r="I29" i="4"/>
  <c r="I27" i="4"/>
  <c r="I31" i="2"/>
  <c r="I3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28" i="3"/>
  <c r="Y21" i="10"/>
  <c r="I37" i="3"/>
  <c r="Y19" i="10"/>
  <c r="I13" i="3"/>
  <c r="Y17" i="10"/>
  <c r="I27" i="3"/>
  <c r="Y15" i="10"/>
  <c r="I8" i="3"/>
  <c r="Y13" i="10"/>
  <c r="I23" i="3"/>
  <c r="Y9" i="10"/>
  <c r="I31" i="3"/>
  <c r="Y3" i="10"/>
  <c r="Y168" i="10"/>
  <c r="Y40" i="10"/>
  <c r="Y161" i="10"/>
  <c r="Y159" i="10"/>
  <c r="Y157" i="10"/>
  <c r="I20"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6" i="3"/>
  <c r="Y30" i="10"/>
  <c r="I41" i="3"/>
  <c r="Y28" i="10"/>
  <c r="I11" i="3"/>
  <c r="Y26" i="10"/>
  <c r="I25" i="3"/>
  <c r="Y24" i="10"/>
  <c r="I7" i="3"/>
  <c r="Y22" i="10"/>
  <c r="I9" i="3"/>
  <c r="Y20" i="10"/>
  <c r="I24" i="3"/>
  <c r="Y18" i="10"/>
  <c r="I38" i="3"/>
  <c r="Y16" i="10"/>
  <c r="I33" i="3"/>
  <c r="Y14" i="10"/>
  <c r="I15" i="3"/>
  <c r="Y12" i="10"/>
  <c r="I21" i="3"/>
  <c r="Y10" i="10"/>
  <c r="I16" i="3"/>
  <c r="Y8" i="10"/>
  <c r="I40" i="3"/>
  <c r="Y6" i="10"/>
  <c r="I14"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18" i="3"/>
  <c r="Y35" i="10"/>
  <c r="I19"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2" i="3"/>
  <c r="X7" i="10"/>
  <c r="I17"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D4" i="2" s="1"/>
  <c r="A2" i="3"/>
  <c r="D4" i="3" s="1"/>
  <c r="A2" i="4"/>
  <c r="D4" i="4" s="1"/>
  <c r="E224" i="1"/>
  <c r="D3" i="3" l="1"/>
  <c r="F4" i="3"/>
  <c r="D3" i="2"/>
  <c r="F4" i="2"/>
  <c r="D3" i="4"/>
  <c r="F4" i="4"/>
  <c r="G14" i="16"/>
  <c r="H14" i="16"/>
  <c r="F14" i="16"/>
  <c r="F3" i="3" l="1"/>
  <c r="F5" i="3" s="1"/>
  <c r="D5" i="3"/>
  <c r="D5" i="2"/>
  <c r="F3" i="2"/>
  <c r="F5" i="2" s="1"/>
  <c r="D5" i="4"/>
  <c r="F3" i="4"/>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7" i="1" l="1"/>
  <c r="D33" i="1" l="1"/>
  <c r="C64" i="1"/>
  <c r="D63" i="1"/>
  <c r="E63" i="1" s="1"/>
  <c r="D185" i="1"/>
  <c r="D182" i="1"/>
  <c r="D95" i="1"/>
  <c r="E95" i="1" s="1"/>
  <c r="C115" i="1"/>
  <c r="D180" i="1"/>
  <c r="D94" i="1"/>
  <c r="E94" i="1" s="1"/>
  <c r="D37" i="1"/>
  <c r="D70" i="1"/>
  <c r="D58" i="1"/>
  <c r="D153" i="1"/>
  <c r="D129" i="1"/>
  <c r="E129" i="1" s="1"/>
  <c r="D200" i="1"/>
  <c r="E200" i="1" s="1"/>
  <c r="D223" i="1"/>
  <c r="D67" i="1"/>
  <c r="E67" i="1" s="1"/>
  <c r="D198" i="1"/>
  <c r="E198" i="1" s="1"/>
  <c r="D30" i="1"/>
  <c r="E30" i="1" s="1"/>
  <c r="D143" i="1"/>
  <c r="E143" i="1" s="1"/>
  <c r="D16" i="1"/>
  <c r="E16" i="1" s="1"/>
  <c r="D221" i="1"/>
  <c r="E221" i="1" s="1"/>
  <c r="E223" i="1" l="1"/>
  <c r="E153" i="1"/>
  <c r="E58" i="1"/>
  <c r="E180" i="1"/>
  <c r="E182" i="1"/>
  <c r="E185" i="1"/>
  <c r="E70" i="1"/>
  <c r="E33" i="1"/>
  <c r="E37" i="1"/>
  <c r="D53" i="1"/>
  <c r="D18" i="1"/>
  <c r="E18" i="1" s="1"/>
  <c r="D22" i="1"/>
  <c r="E22" i="1" s="1"/>
  <c r="D85" i="1"/>
  <c r="D194" i="1"/>
  <c r="E194" i="1" s="1"/>
  <c r="D217" i="1"/>
  <c r="E217" i="1" s="1"/>
  <c r="D29" i="1"/>
  <c r="D132" i="1"/>
  <c r="D172" i="1"/>
  <c r="D158" i="1"/>
  <c r="E158" i="1" s="1"/>
  <c r="D193" i="1"/>
  <c r="E193" i="1" s="1"/>
  <c r="D215" i="1"/>
  <c r="E215" i="1" s="1"/>
  <c r="D206" i="1"/>
  <c r="E206" i="1" s="1"/>
  <c r="D196" i="1"/>
  <c r="E196" i="1" s="1"/>
  <c r="D114" i="1"/>
  <c r="E114" i="1" s="1"/>
  <c r="D186" i="1"/>
  <c r="E186" i="1" s="1"/>
  <c r="D100" i="1"/>
  <c r="D133" i="1"/>
  <c r="D102" i="1"/>
  <c r="E102" i="1" s="1"/>
  <c r="D199" i="1"/>
  <c r="E199" i="1" s="1"/>
  <c r="D218" i="1"/>
  <c r="E218" i="1" s="1"/>
  <c r="D219" i="1"/>
  <c r="E219" i="1" s="1"/>
  <c r="D34" i="1"/>
  <c r="D138" i="1"/>
  <c r="E138" i="1" s="1"/>
  <c r="D36" i="1"/>
  <c r="D68" i="1"/>
  <c r="D159" i="1"/>
  <c r="E159" i="1" s="1"/>
  <c r="D173" i="1"/>
  <c r="E173" i="1" s="1"/>
  <c r="D21" i="1"/>
  <c r="E21" i="1" s="1"/>
  <c r="D168" i="1"/>
  <c r="E168" i="1" s="1"/>
  <c r="D213" i="1"/>
  <c r="E213" i="1" s="1"/>
  <c r="D99" i="1"/>
  <c r="D19" i="1"/>
  <c r="D86" i="1"/>
  <c r="E86" i="1" s="1"/>
  <c r="D17" i="1"/>
  <c r="E17" i="1" s="1"/>
  <c r="D24" i="1"/>
  <c r="E24" i="1" s="1"/>
  <c r="D82" i="1"/>
  <c r="E82" i="1" s="1"/>
  <c r="D105" i="1"/>
  <c r="D188" i="1"/>
  <c r="E188" i="1" s="1"/>
  <c r="D74" i="1"/>
  <c r="E74" i="1" s="1"/>
  <c r="D184" i="1"/>
  <c r="E184" i="1" s="1"/>
  <c r="D183" i="1"/>
  <c r="D150" i="1"/>
  <c r="E150" i="1" s="1"/>
  <c r="D163" i="1"/>
  <c r="E163" i="1" s="1"/>
  <c r="D101" i="1"/>
  <c r="E101" i="1" s="1"/>
  <c r="D45" i="1"/>
  <c r="D71" i="1"/>
  <c r="E71" i="1" s="1"/>
  <c r="D137" i="1"/>
  <c r="E137" i="1" s="1"/>
  <c r="D149" i="1"/>
  <c r="E149" i="1" s="1"/>
  <c r="D125" i="1"/>
  <c r="E125" i="1" s="1"/>
  <c r="D46" i="1"/>
  <c r="D146" i="1"/>
  <c r="E146" i="1" s="1"/>
  <c r="D178" i="1"/>
  <c r="E178" i="1" s="1"/>
  <c r="D222" i="1"/>
  <c r="E222" i="1" s="1"/>
  <c r="D212" i="1"/>
  <c r="E212" i="1" s="1"/>
  <c r="D56" i="1"/>
  <c r="E56" i="1" s="1"/>
  <c r="D179" i="1"/>
  <c r="D139" i="1"/>
  <c r="E139" i="1" s="1"/>
  <c r="D111" i="1"/>
  <c r="E111" i="1" s="1"/>
  <c r="D144" i="1"/>
  <c r="D32" i="1"/>
  <c r="E32" i="1" s="1"/>
  <c r="D106" i="1"/>
  <c r="D90" i="1"/>
  <c r="E90" i="1" s="1"/>
  <c r="D127" i="1"/>
  <c r="E127" i="1" s="1"/>
  <c r="D201" i="1"/>
  <c r="E201" i="1" s="1"/>
  <c r="D48" i="1"/>
  <c r="D155" i="1"/>
  <c r="D55" i="1"/>
  <c r="E55" i="1" s="1"/>
  <c r="D79" i="1"/>
  <c r="E79" i="1" s="1"/>
  <c r="D208" i="1"/>
  <c r="E208" i="1" s="1"/>
  <c r="D121" i="1"/>
  <c r="E121" i="1" s="1"/>
  <c r="D169" i="1"/>
  <c r="E169" i="1" s="1"/>
  <c r="D122" i="1"/>
  <c r="E122" i="1" s="1"/>
  <c r="D119" i="1"/>
  <c r="E119" i="1" s="1"/>
  <c r="D80" i="1"/>
  <c r="E80" i="1" s="1"/>
  <c r="D152" i="1"/>
  <c r="E152" i="1" s="1"/>
  <c r="D130" i="1"/>
  <c r="E130" i="1" s="1"/>
  <c r="D75" i="1"/>
  <c r="E75" i="1" s="1"/>
  <c r="D126" i="1"/>
  <c r="D156" i="1"/>
  <c r="D93" i="1"/>
  <c r="D25" i="1"/>
  <c r="E25" i="1" s="1"/>
  <c r="D72" i="1"/>
  <c r="D51" i="1"/>
  <c r="D177" i="1"/>
  <c r="E177" i="1" s="1"/>
  <c r="D91" i="1"/>
  <c r="E91" i="1" s="1"/>
  <c r="D220" i="1"/>
  <c r="E220" i="1" s="1"/>
  <c r="D69" i="1"/>
  <c r="E69" i="1" s="1"/>
  <c r="D38" i="1"/>
  <c r="D117" i="1"/>
  <c r="D107" i="1"/>
  <c r="D134" i="1"/>
  <c r="E134" i="1" s="1"/>
  <c r="D176" i="1"/>
  <c r="E176" i="1" s="1"/>
  <c r="D41" i="1"/>
  <c r="D40" i="1"/>
  <c r="D54" i="1"/>
  <c r="E54" i="1" s="1"/>
  <c r="D62" i="1"/>
  <c r="E62" i="1" s="1"/>
  <c r="D81" i="1"/>
  <c r="E81" i="1" s="1"/>
  <c r="D181" i="1"/>
  <c r="D171" i="1"/>
  <c r="E171" i="1" s="1"/>
  <c r="D66" i="1"/>
  <c r="E66" i="1" s="1"/>
  <c r="D189" i="1"/>
  <c r="E189" i="1" s="1"/>
  <c r="D167" i="1"/>
  <c r="D109" i="1"/>
  <c r="E109" i="1" s="1"/>
  <c r="D23" i="1"/>
  <c r="D110" i="1"/>
  <c r="E110" i="1" s="1"/>
  <c r="D204" i="1"/>
  <c r="E204" i="1" s="1"/>
  <c r="D191" i="1"/>
  <c r="E191" i="1" s="1"/>
  <c r="D128" i="1"/>
  <c r="D26" i="1"/>
  <c r="E26" i="1" s="1"/>
  <c r="D165" i="1"/>
  <c r="E165" i="1" s="1"/>
  <c r="D76" i="1"/>
  <c r="E76" i="1" s="1"/>
  <c r="D50" i="1"/>
  <c r="E50" i="1" s="1"/>
  <c r="D28" i="1"/>
  <c r="E28" i="1" s="1"/>
  <c r="D142" i="1"/>
  <c r="E142" i="1" s="1"/>
  <c r="D205" i="1"/>
  <c r="D112" i="1"/>
  <c r="E112" i="1" s="1"/>
  <c r="D89" i="1"/>
  <c r="E89" i="1" s="1"/>
  <c r="D27" i="1"/>
  <c r="E27" i="1" s="1"/>
  <c r="D140" i="1"/>
  <c r="E140" i="1" s="1"/>
  <c r="D73" i="1"/>
  <c r="D113" i="1"/>
  <c r="E113" i="1" s="1"/>
  <c r="D136" i="1"/>
  <c r="D210" i="1"/>
  <c r="E210" i="1" s="1"/>
  <c r="D192" i="1"/>
  <c r="D131" i="1"/>
  <c r="E131" i="1" s="1"/>
  <c r="D47" i="1"/>
  <c r="D98" i="1"/>
  <c r="D160" i="1"/>
  <c r="E160" i="1" s="1"/>
  <c r="D92" i="1"/>
  <c r="E92" i="1" s="1"/>
  <c r="D64" i="1"/>
  <c r="D97" i="1"/>
  <c r="E97" i="1" s="1"/>
  <c r="D211" i="1"/>
  <c r="E211" i="1" s="1"/>
  <c r="D209" i="1"/>
  <c r="E209" i="1" s="1"/>
  <c r="D170" i="1"/>
  <c r="E170" i="1" s="1"/>
  <c r="D195" i="1"/>
  <c r="E195" i="1" s="1"/>
  <c r="D118" i="1"/>
  <c r="E118" i="1" s="1"/>
  <c r="D116" i="1"/>
  <c r="E116" i="1" s="1"/>
  <c r="D60" i="1"/>
  <c r="E60" i="1" s="1"/>
  <c r="D190" i="1"/>
  <c r="E190" i="1" s="1"/>
  <c r="D214" i="1"/>
  <c r="E214" i="1" s="1"/>
  <c r="D52" i="1"/>
  <c r="D151" i="1"/>
  <c r="E151" i="1" s="1"/>
  <c r="D135" i="1"/>
  <c r="E135" i="1" s="1"/>
  <c r="D203" i="1"/>
  <c r="E203" i="1" s="1"/>
  <c r="D44" i="1"/>
  <c r="D164" i="1"/>
  <c r="D61" i="1"/>
  <c r="E61" i="1" s="1"/>
  <c r="D145" i="1"/>
  <c r="E145" i="1" s="1"/>
  <c r="D166" i="1"/>
  <c r="E166" i="1" s="1"/>
  <c r="D147" i="1"/>
  <c r="D187" i="1"/>
  <c r="E187" i="1" s="1"/>
  <c r="D65" i="1"/>
  <c r="E65" i="1" s="1"/>
  <c r="D207" i="1"/>
  <c r="E207" i="1" s="1"/>
  <c r="D78" i="1"/>
  <c r="E78" i="1" s="1"/>
  <c r="D157" i="1"/>
  <c r="E157" i="1" s="1"/>
  <c r="D197" i="1"/>
  <c r="D15" i="1"/>
  <c r="D161" i="1"/>
  <c r="E161" i="1" s="1"/>
  <c r="D120" i="1"/>
  <c r="E120" i="1" s="1"/>
  <c r="D174" i="1"/>
  <c r="E174" i="1" s="1"/>
  <c r="D35" i="1"/>
  <c r="E35" i="1" s="1"/>
  <c r="D148" i="1"/>
  <c r="E148" i="1" s="1"/>
  <c r="D20" i="1"/>
  <c r="E20" i="1" s="1"/>
  <c r="D115" i="1"/>
  <c r="D96" i="1"/>
  <c r="D83" i="1"/>
  <c r="E83" i="1" s="1"/>
  <c r="D59" i="1"/>
  <c r="D154" i="1"/>
  <c r="D141" i="1"/>
  <c r="E141" i="1" s="1"/>
  <c r="D104" i="1"/>
  <c r="E104" i="1" s="1"/>
  <c r="D77" i="1"/>
  <c r="E77" i="1" s="1"/>
  <c r="D216" i="1"/>
  <c r="D88" i="1"/>
  <c r="D175" i="1"/>
  <c r="E175" i="1" s="1"/>
  <c r="D162" i="1"/>
  <c r="E162" i="1" s="1"/>
  <c r="D108" i="1"/>
  <c r="D202" i="1"/>
  <c r="E202" i="1" s="1"/>
  <c r="D124" i="1"/>
  <c r="E124" i="1" s="1"/>
  <c r="D42" i="1"/>
  <c r="D31" i="1"/>
  <c r="E31" i="1" s="1"/>
  <c r="D87" i="1"/>
  <c r="E87" i="1" s="1"/>
  <c r="D49" i="1"/>
  <c r="E49" i="1" s="1"/>
  <c r="D57" i="1"/>
  <c r="C206" i="1"/>
  <c r="C102" i="1"/>
  <c r="C119" i="1"/>
  <c r="C63" i="1"/>
  <c r="C28" i="1"/>
  <c r="C153" i="1"/>
  <c r="C66" i="1"/>
  <c r="C99" i="1"/>
  <c r="C219" i="1"/>
  <c r="C140" i="1"/>
  <c r="C73" i="1"/>
  <c r="C136" i="1"/>
  <c r="C210" i="1"/>
  <c r="C36" i="1"/>
  <c r="C192" i="1"/>
  <c r="C47" i="1"/>
  <c r="C98" i="1"/>
  <c r="C160" i="1"/>
  <c r="C97" i="1"/>
  <c r="C215" i="1"/>
  <c r="C168" i="1"/>
  <c r="C21" i="1"/>
  <c r="C223" i="1"/>
  <c r="C85" i="1"/>
  <c r="C122" i="1"/>
  <c r="C199" i="1"/>
  <c r="C142" i="1"/>
  <c r="C68" i="1"/>
  <c r="C54" i="1"/>
  <c r="C33" i="1"/>
  <c r="C62" i="1"/>
  <c r="C81" i="1"/>
  <c r="C23" i="1"/>
  <c r="C110" i="1"/>
  <c r="C165" i="1"/>
  <c r="C76" i="1"/>
  <c r="C50" i="1"/>
  <c r="C143" i="1"/>
  <c r="C112" i="1"/>
  <c r="C89" i="1"/>
  <c r="C138" i="1"/>
  <c r="C113" i="1"/>
  <c r="C94" i="1"/>
  <c r="C19" i="1"/>
  <c r="C86" i="1"/>
  <c r="C131" i="1"/>
  <c r="C92" i="1"/>
  <c r="C221" i="1"/>
  <c r="C211" i="1"/>
  <c r="C193" i="1"/>
  <c r="C209" i="1"/>
  <c r="C170" i="1"/>
  <c r="C200" i="1"/>
  <c r="C195" i="1"/>
  <c r="C118" i="1"/>
  <c r="C116" i="1"/>
  <c r="C152" i="1"/>
  <c r="C60" i="1"/>
  <c r="C190" i="1"/>
  <c r="C180" i="1"/>
  <c r="C172" i="1"/>
  <c r="C214" i="1"/>
  <c r="C52" i="1"/>
  <c r="C151" i="1"/>
  <c r="C135" i="1"/>
  <c r="C203" i="1"/>
  <c r="C44" i="1"/>
  <c r="C164" i="1"/>
  <c r="C61" i="1"/>
  <c r="C145" i="1"/>
  <c r="C166" i="1"/>
  <c r="C147" i="1"/>
  <c r="C121" i="1"/>
  <c r="C53" i="1"/>
  <c r="C67" i="1"/>
  <c r="C181" i="1"/>
  <c r="C171" i="1"/>
  <c r="C189" i="1"/>
  <c r="C204" i="1"/>
  <c r="C191" i="1"/>
  <c r="C205" i="1"/>
  <c r="C16" i="1"/>
  <c r="C194" i="1"/>
  <c r="C34" i="1"/>
  <c r="C27" i="1"/>
  <c r="C173" i="1"/>
  <c r="C65" i="1"/>
  <c r="C17" i="1"/>
  <c r="C24" i="1"/>
  <c r="C207" i="1"/>
  <c r="C78" i="1"/>
  <c r="C82" i="1"/>
  <c r="C157" i="1"/>
  <c r="C197" i="1"/>
  <c r="C105" i="1"/>
  <c r="C15" i="1"/>
  <c r="C161" i="1"/>
  <c r="C120" i="1"/>
  <c r="C188" i="1"/>
  <c r="C37" i="1"/>
  <c r="C74" i="1"/>
  <c r="C174" i="1"/>
  <c r="C184" i="1"/>
  <c r="C35" i="1"/>
  <c r="C148" i="1"/>
  <c r="C20" i="1"/>
  <c r="C96" i="1"/>
  <c r="C183" i="1"/>
  <c r="C83" i="1"/>
  <c r="C130" i="1"/>
  <c r="C59" i="1"/>
  <c r="C154" i="1"/>
  <c r="C141" i="1"/>
  <c r="C104" i="1"/>
  <c r="C77" i="1"/>
  <c r="C93" i="1"/>
  <c r="C162" i="1"/>
  <c r="C57" i="1"/>
  <c r="C42" i="1"/>
  <c r="C177" i="1"/>
  <c r="C49" i="1"/>
  <c r="C216" i="1"/>
  <c r="C75" i="1"/>
  <c r="C30" i="1"/>
  <c r="C198" i="1"/>
  <c r="C88" i="1"/>
  <c r="C126" i="1"/>
  <c r="C156" i="1"/>
  <c r="C72" i="1"/>
  <c r="C175" i="1"/>
  <c r="C95" i="1"/>
  <c r="C108" i="1"/>
  <c r="C202" i="1"/>
  <c r="C124" i="1"/>
  <c r="C31" i="1"/>
  <c r="C158" i="1"/>
  <c r="C91" i="1"/>
  <c r="C220" i="1"/>
  <c r="C69" i="1"/>
  <c r="C163" i="1"/>
  <c r="C101" i="1"/>
  <c r="C45" i="1"/>
  <c r="C58" i="1"/>
  <c r="C71" i="1"/>
  <c r="C137" i="1"/>
  <c r="C38" i="1"/>
  <c r="C117" i="1"/>
  <c r="C213" i="1"/>
  <c r="C149" i="1"/>
  <c r="C107" i="1"/>
  <c r="C134" i="1"/>
  <c r="C125" i="1"/>
  <c r="C46" i="1"/>
  <c r="C176" i="1"/>
  <c r="C146" i="1"/>
  <c r="C41" i="1"/>
  <c r="C159" i="1"/>
  <c r="C25" i="1"/>
  <c r="C150" i="1"/>
  <c r="C51" i="1"/>
  <c r="C87" i="1"/>
  <c r="C178" i="1"/>
  <c r="C217" i="1"/>
  <c r="C218" i="1"/>
  <c r="C222" i="1"/>
  <c r="C22" i="1"/>
  <c r="C212" i="1"/>
  <c r="C29" i="1"/>
  <c r="C56" i="1"/>
  <c r="C129" i="1"/>
  <c r="C18" i="1"/>
  <c r="C185" i="1"/>
  <c r="C70" i="1"/>
  <c r="C179" i="1"/>
  <c r="C139" i="1"/>
  <c r="C111" i="1"/>
  <c r="C43" i="1"/>
  <c r="C84" i="1"/>
  <c r="C144" i="1"/>
  <c r="C32" i="1"/>
  <c r="C106" i="1"/>
  <c r="C90" i="1"/>
  <c r="C127" i="1"/>
  <c r="C201" i="1"/>
  <c r="C48" i="1"/>
  <c r="C155" i="1"/>
  <c r="C55" i="1"/>
  <c r="C79" i="1"/>
  <c r="C208" i="1"/>
  <c r="C196" i="1"/>
  <c r="C187" i="1"/>
  <c r="C100" i="1"/>
  <c r="C40" i="1"/>
  <c r="C80" i="1"/>
  <c r="C114" i="1"/>
  <c r="C186" i="1"/>
  <c r="D43" i="1"/>
  <c r="D84" i="1"/>
  <c r="C169" i="1"/>
  <c r="C133" i="1"/>
  <c r="C132" i="1"/>
  <c r="C182" i="1"/>
  <c r="C167"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64" i="1"/>
  <c r="E155" i="1"/>
  <c r="E154" i="1"/>
  <c r="E59" i="1"/>
  <c r="E98" i="1"/>
  <c r="E156" i="1"/>
  <c r="E126" i="1"/>
  <c r="E128" i="1"/>
  <c r="E167" i="1"/>
  <c r="E147" i="1"/>
  <c r="E47" i="1"/>
  <c r="E40" i="1"/>
  <c r="E99" i="1"/>
  <c r="E132" i="1"/>
  <c r="E88" i="1"/>
  <c r="E96" i="1"/>
  <c r="E52" i="1"/>
  <c r="E41" i="1"/>
  <c r="E34" i="1"/>
  <c r="E29" i="1"/>
  <c r="E216" i="1"/>
  <c r="E115" i="1"/>
  <c r="E197" i="1"/>
  <c r="E192" i="1"/>
  <c r="E106" i="1"/>
  <c r="E45" i="1"/>
  <c r="E105" i="1"/>
  <c r="E42" i="1"/>
  <c r="E205" i="1"/>
  <c r="E51" i="1"/>
  <c r="E84" i="1"/>
  <c r="E64" i="1"/>
  <c r="E136" i="1"/>
  <c r="E181" i="1"/>
  <c r="E107" i="1"/>
  <c r="E72" i="1"/>
  <c r="E144" i="1"/>
  <c r="E85" i="1"/>
  <c r="E43" i="1"/>
  <c r="E44" i="1"/>
  <c r="E117" i="1"/>
  <c r="E46" i="1"/>
  <c r="E108" i="1"/>
  <c r="E73" i="1"/>
  <c r="E23" i="1"/>
  <c r="E38" i="1"/>
  <c r="E93" i="1"/>
  <c r="E48" i="1"/>
  <c r="E183" i="1"/>
  <c r="E133" i="1"/>
  <c r="E57" i="1"/>
  <c r="E179" i="1"/>
  <c r="E19" i="1"/>
  <c r="E36" i="1"/>
  <c r="E100" i="1"/>
  <c r="E172"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5" i="4"/>
  <c r="AB149" i="10"/>
  <c r="B47" i="2"/>
  <c r="B44" i="13"/>
  <c r="AB162" i="10"/>
  <c r="B12" i="3"/>
  <c r="B27" i="2"/>
  <c r="B62" i="2"/>
  <c r="AB123" i="10"/>
  <c r="B47" i="4"/>
  <c r="AB108" i="10"/>
  <c r="B41" i="2"/>
  <c r="AB131" i="10"/>
  <c r="B31" i="2"/>
  <c r="AB165" i="10"/>
  <c r="B21" i="3"/>
  <c r="B68" i="4"/>
  <c r="AB110" i="10"/>
  <c r="B46" i="2"/>
  <c r="AB29" i="10"/>
  <c r="B15" i="13"/>
  <c r="AB79" i="10"/>
  <c r="B79" i="4"/>
  <c r="AB93" i="10"/>
  <c r="AB161" i="10"/>
  <c r="B38" i="2"/>
  <c r="B33" i="3"/>
  <c r="B17" i="2"/>
  <c r="B75" i="4"/>
  <c r="AB107" i="10"/>
  <c r="B19" i="2"/>
  <c r="B14" i="3"/>
  <c r="B22" i="4"/>
  <c r="B13" i="13"/>
  <c r="B27" i="4"/>
  <c r="AB83" i="10"/>
  <c r="AB66" i="10"/>
  <c r="B13" i="3"/>
  <c r="AB179" i="10"/>
  <c r="B13" i="4"/>
  <c r="AB91" i="10"/>
  <c r="B10" i="13"/>
  <c r="B109" i="4"/>
  <c r="B14" i="2"/>
  <c r="AB115" i="10"/>
  <c r="B3" i="13"/>
  <c r="AB130" i="10"/>
  <c r="B34" i="3"/>
  <c r="B35" i="3"/>
  <c r="AB64" i="10"/>
  <c r="AB190" i="10"/>
  <c r="B120" i="4"/>
  <c r="B8" i="3"/>
  <c r="B26" i="4"/>
  <c r="AB155" i="10"/>
  <c r="AB78" i="10"/>
  <c r="B44" i="4"/>
  <c r="AB22" i="10"/>
  <c r="AB205" i="10"/>
  <c r="AB23" i="10"/>
  <c r="B25" i="3"/>
  <c r="B16" i="4"/>
  <c r="AB117" i="10"/>
  <c r="B26" i="3"/>
  <c r="B90" i="4"/>
  <c r="AB90" i="10"/>
  <c r="B27" i="3"/>
  <c r="AB89" i="10"/>
  <c r="AB14" i="10"/>
  <c r="B37" i="3"/>
  <c r="B94" i="4"/>
  <c r="B32" i="13"/>
  <c r="AB49" i="10"/>
  <c r="AB61" i="10"/>
  <c r="B119" i="4"/>
  <c r="AB178" i="10"/>
  <c r="AB96" i="10"/>
  <c r="AB201" i="10"/>
  <c r="B116" i="4"/>
  <c r="B41" i="4"/>
  <c r="B40" i="3"/>
  <c r="AB202" i="10"/>
  <c r="AB192" i="10"/>
  <c r="AB80" i="10"/>
  <c r="AB141" i="10"/>
  <c r="AB76" i="10"/>
  <c r="AB17" i="10"/>
  <c r="B122" i="4"/>
  <c r="B10" i="3"/>
  <c r="B62" i="4"/>
  <c r="B15" i="3"/>
  <c r="B41" i="13"/>
  <c r="B43" i="2"/>
  <c r="B84" i="4"/>
  <c r="B20" i="4"/>
  <c r="AB60" i="10"/>
  <c r="AB99" i="10"/>
  <c r="B55" i="4"/>
  <c r="B20" i="3"/>
  <c r="B82" i="4"/>
  <c r="B59" i="4"/>
  <c r="B7" i="3"/>
  <c r="AB156" i="10"/>
  <c r="AB85" i="10"/>
  <c r="B66" i="4"/>
  <c r="B98" i="4"/>
  <c r="AB102" i="10"/>
  <c r="AB138" i="10"/>
  <c r="B42" i="4"/>
  <c r="B9" i="13"/>
  <c r="B42" i="2"/>
  <c r="AB81" i="10"/>
  <c r="B96" i="4"/>
  <c r="B21" i="2"/>
  <c r="AB119" i="10"/>
  <c r="B38" i="3"/>
  <c r="B28" i="3"/>
  <c r="B5" i="13"/>
  <c r="AB122" i="10"/>
  <c r="B16" i="2"/>
  <c r="B14" i="4"/>
  <c r="AB111" i="10"/>
  <c r="AB112" i="10"/>
  <c r="B56" i="4"/>
  <c r="AB184" i="10"/>
  <c r="B59" i="13"/>
  <c r="B64" i="4"/>
  <c r="AB16" i="10"/>
  <c r="AB68" i="10"/>
  <c r="B8" i="13"/>
  <c r="B57" i="13"/>
  <c r="AB196" i="10"/>
  <c r="AB41" i="10"/>
  <c r="AB55" i="10"/>
  <c r="B39" i="4"/>
  <c r="B39" i="13"/>
  <c r="B37" i="4"/>
  <c r="B48" i="2"/>
  <c r="B30" i="4"/>
  <c r="AB176" i="10"/>
  <c r="B23" i="4"/>
  <c r="AB53" i="10"/>
  <c r="AB25" i="10"/>
  <c r="B63" i="2"/>
  <c r="B38" i="4"/>
  <c r="AB44" i="10"/>
  <c r="B45" i="2"/>
  <c r="AB175" i="10"/>
  <c r="B40" i="13"/>
  <c r="AB172" i="10"/>
  <c r="B17" i="4"/>
  <c r="B54" i="4"/>
  <c r="B121" i="4"/>
  <c r="B51" i="13"/>
  <c r="B71" i="4"/>
  <c r="B23" i="2"/>
  <c r="B39" i="3"/>
  <c r="AB207" i="10"/>
  <c r="B7" i="4"/>
  <c r="B51" i="4"/>
  <c r="AB154" i="10"/>
  <c r="AB84" i="10"/>
  <c r="AB82" i="10"/>
  <c r="B32" i="4"/>
  <c r="B60" i="13"/>
  <c r="AB92" i="10"/>
  <c r="AB28" i="10"/>
  <c r="B76" i="4"/>
  <c r="B115" i="4"/>
  <c r="B28" i="4"/>
  <c r="B81" i="4"/>
  <c r="B29" i="4"/>
  <c r="AB71" i="10"/>
  <c r="B42" i="13"/>
  <c r="B32" i="3"/>
  <c r="AB106" i="10"/>
  <c r="B46" i="13"/>
  <c r="AB21" i="10"/>
  <c r="AB43" i="10"/>
  <c r="AB121" i="10"/>
  <c r="AB204" i="10"/>
  <c r="B50" i="4"/>
  <c r="B70" i="4"/>
  <c r="B16" i="3"/>
  <c r="AB109" i="10"/>
  <c r="B112" i="4"/>
  <c r="B60" i="4"/>
  <c r="B29" i="2"/>
  <c r="AB195" i="10"/>
  <c r="AB47" i="10"/>
  <c r="AB206" i="10"/>
  <c r="AB169" i="10"/>
  <c r="AB62" i="10"/>
  <c r="B50" i="13"/>
  <c r="B43" i="4"/>
  <c r="B41" i="3"/>
  <c r="B123" i="4"/>
  <c r="B15" i="2"/>
  <c r="AB32" i="10"/>
  <c r="B18" i="2"/>
  <c r="B27" i="13"/>
  <c r="AB153" i="10"/>
  <c r="B32"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18" i="3"/>
  <c r="AB198" i="10"/>
  <c r="B20" i="2"/>
  <c r="AB167" i="10"/>
  <c r="AB40" i="10"/>
  <c r="B67" i="4"/>
  <c r="AB145" i="10"/>
  <c r="B53" i="13"/>
  <c r="AB42" i="10"/>
  <c r="AB74" i="10"/>
  <c r="AB200" i="10"/>
  <c r="B50" i="2"/>
  <c r="AB87" i="10"/>
  <c r="AB127" i="10"/>
  <c r="AB46" i="10"/>
  <c r="B49" i="13"/>
  <c r="AB86" i="10"/>
  <c r="B18" i="4"/>
  <c r="B24" i="3"/>
  <c r="B88" i="4"/>
  <c r="AB24" i="10"/>
  <c r="AB150" i="10"/>
  <c r="AB65" i="10"/>
  <c r="B30" i="2"/>
  <c r="AB95" i="10"/>
  <c r="AB126" i="10"/>
  <c r="AB38" i="10"/>
  <c r="AB173" i="10"/>
  <c r="B113" i="4"/>
  <c r="AB50" i="10"/>
  <c r="B22" i="3"/>
  <c r="B87" i="4"/>
  <c r="AB177" i="10"/>
  <c r="AB135" i="10"/>
  <c r="AB45" i="10"/>
  <c r="AB5" i="10"/>
  <c r="B43" i="13"/>
  <c r="AB171" i="10"/>
  <c r="AB18" i="10"/>
  <c r="B64" i="2"/>
  <c r="AB34" i="10"/>
  <c r="B80" i="4"/>
  <c r="B58" i="13"/>
  <c r="AB97" i="10"/>
  <c r="AB30" i="10"/>
  <c r="B51" i="2"/>
  <c r="B110" i="4"/>
  <c r="AB197" i="10"/>
  <c r="AB166" i="10"/>
  <c r="AB199" i="10"/>
  <c r="B48" i="4"/>
  <c r="B22" i="2"/>
  <c r="AB39" i="10"/>
  <c r="AB33" i="10"/>
  <c r="AB15" i="10"/>
  <c r="B37" i="13"/>
  <c r="B33" i="13"/>
  <c r="AB168" i="10"/>
  <c r="B36" i="3"/>
  <c r="AB125" i="10"/>
  <c r="B38" i="13"/>
  <c r="B69" i="4"/>
  <c r="AB8" i="10"/>
  <c r="B57" i="4"/>
  <c r="AB26" i="10"/>
  <c r="B28" i="2"/>
  <c r="AB101" i="10"/>
  <c r="AB120" i="10"/>
  <c r="AB183" i="10"/>
  <c r="B4" i="13"/>
  <c r="AB181" i="10"/>
  <c r="AB11" i="10"/>
  <c r="B34" i="4"/>
  <c r="AB128" i="10"/>
  <c r="B33" i="4"/>
  <c r="AB129" i="10"/>
  <c r="B48" i="13"/>
  <c r="B31" i="4"/>
  <c r="B45" i="13"/>
  <c r="AB100" i="10"/>
  <c r="B99" i="4"/>
  <c r="B59" i="2"/>
  <c r="B61" i="2"/>
  <c r="B91" i="4"/>
  <c r="B25"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3" i="3"/>
  <c r="AB13" i="10"/>
  <c r="AB151" i="10"/>
  <c r="AB4" i="10"/>
  <c r="AB133" i="10"/>
  <c r="AB185" i="10"/>
  <c r="B89" i="4"/>
  <c r="B52" i="2"/>
  <c r="AB180" i="10"/>
  <c r="AB158" i="10"/>
  <c r="AB186" i="10"/>
  <c r="B37" i="2"/>
  <c r="B10" i="4"/>
  <c r="AB27" i="10"/>
  <c r="B54" i="13"/>
  <c r="AB124" i="10"/>
  <c r="B19" i="3"/>
  <c r="AB193" i="10"/>
  <c r="AB160" i="10"/>
  <c r="B29" i="3"/>
  <c r="B35" i="13"/>
  <c r="AB132" i="10"/>
  <c r="B83" i="4"/>
  <c r="B58" i="2"/>
  <c r="AB31" i="10"/>
  <c r="B11" i="3"/>
  <c r="B49" i="2"/>
  <c r="AB113" i="10"/>
  <c r="AB182" i="10"/>
  <c r="AB72" i="10"/>
  <c r="AB187" i="10"/>
  <c r="B24" i="4"/>
  <c r="AB59" i="10"/>
  <c r="B36" i="4"/>
  <c r="B49" i="4"/>
  <c r="B31" i="3"/>
  <c r="B65" i="4"/>
  <c r="B53" i="4"/>
  <c r="AB36" i="10"/>
  <c r="B52" i="13"/>
  <c r="AB191" i="10"/>
  <c r="B11" i="13"/>
  <c r="AB116" i="10"/>
  <c r="AB73" i="10"/>
  <c r="B118" i="4"/>
  <c r="AB114" i="10"/>
  <c r="AB48" i="10"/>
  <c r="AB147" i="10"/>
  <c r="B11" i="4"/>
  <c r="B95" i="4"/>
  <c r="AB188" i="10"/>
  <c r="B8" i="4"/>
  <c r="B56" i="13"/>
  <c r="B24" i="2"/>
  <c r="B114" i="4"/>
  <c r="B78" i="4"/>
  <c r="B26" i="2"/>
  <c r="AB146" i="10"/>
  <c r="AB37" i="10"/>
  <c r="B35" i="4"/>
  <c r="B17" i="3"/>
  <c r="AB88" i="10"/>
  <c r="AB136" i="10"/>
  <c r="AB134" i="10"/>
  <c r="AB140" i="10"/>
  <c r="B77" i="4"/>
  <c r="B39" i="2"/>
  <c r="AB103" i="10"/>
  <c r="AB203" i="10"/>
  <c r="AB57" i="10"/>
  <c r="AB10" i="10"/>
  <c r="AB20" i="10"/>
  <c r="B58" i="4"/>
  <c r="B33" i="2"/>
  <c r="AB9" i="10"/>
  <c r="B86" i="4"/>
  <c r="AB70" i="10"/>
  <c r="B12" i="4"/>
  <c r="B40" i="4"/>
  <c r="AB19" i="10"/>
  <c r="AB118" i="10"/>
  <c r="B52" i="4"/>
  <c r="AB12" i="10"/>
  <c r="B53" i="2"/>
  <c r="B9" i="4"/>
  <c r="B111" i="4"/>
  <c r="AB189" i="10"/>
  <c r="B73" i="4"/>
  <c r="AB54" i="10"/>
  <c r="AB148" i="10"/>
  <c r="B15" i="4"/>
  <c r="AB174" i="10"/>
  <c r="B21"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<sst xmlns="http://schemas.openxmlformats.org/spreadsheetml/2006/main" count="24185" uniqueCount="7517">
  <si>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</si>
  <si>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</si>
  <si>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</si>
  <si>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</si>
  <si>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</si>
  <si>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</si>
  <si>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</si>
  <si>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</si>
  <si>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</si>
  <si>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</si>
  <si>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</si>
  <si>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</si>
  <si>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</si>
  <si>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</si>
  <si>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</si>
  <si>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</si>
  <si>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</si>
  <si>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</si>
  <si>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</si>
  <si>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</si>
  <si>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</si>
  <si>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</si>
  <si>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</si>
  <si>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</si>
  <si>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</si>
  <si>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</si>
  <si>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</si>
  <si>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</si>
  <si>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</si>
  <si>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</si>
  <si>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</si>
  <si>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</si>
  <si>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</si>
  <si>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</si>
  <si>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</si>
  <si>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</si>
  <si>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</si>
  <si>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</si>
  <si>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</si>
  <si>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</si>
  <si>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</si>
  <si>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</si>
  <si>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</si>
  <si>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</si>
  <si>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</si>
  <si>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</si>
  <si>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</si>
  <si>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</si>
  <si>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</si>
  <si>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</si>
  <si>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</si>
  <si>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</si>
  <si>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</si>
  <si>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</si>
  <si>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</si>
  <si>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</si>
  <si>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</si>
  <si>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</si>
  <si>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</si>
  <si>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</si>
  <si>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</si>
  <si>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</si>
  <si>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</si>
  <si>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</si>
  <si>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</si>
  <si>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</si>
  <si>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</si>
  <si>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</si>
  <si>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</si>
  <si>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</si>
  <si>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</si>
  <si>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</si>
  <si>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</si>
  <si>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</si>
  <si>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</si>
  <si>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</si>
  <si>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</si>
  <si>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</si>
  <si>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</si>
  <si>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</si>
  <si>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</si>
  <si>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</si>
  <si>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</si>
  <si>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</si>
  <si>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</si>
  <si>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</si>
  <si>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</si>
  <si>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</si>
  <si>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</si>
  <si>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</si>
  <si>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</si>
  <si>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</si>
  <si>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</si>
  <si>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</si>
  <si>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</si>
  <si>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</si>
  <si>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</si>
  <si>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</si>
  <si>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</si>
  <si>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</si>
  <si>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</si>
  <si>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</si>
  <si>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</si>
  <si>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</si>
  <si>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</si>
  <si>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</si>
  <si>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</si>
  <si>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</si>
  <si>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</si>
  <si>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</si>
  <si>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</si>
  <si>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</si>
  <si>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</si>
  <si>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</si>
  <si>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</si>
  <si>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</si>
  <si>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</si>
  <si>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</si>
  <si>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</si>
  <si>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</si>
  <si>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</si>
  <si>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</si>
  <si>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</si>
  <si>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</si>
  <si>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</si>
  <si>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</si>
  <si>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</si>
  <si>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</si>
  <si>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</si>
  <si>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</si>
  <si>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</si>
  <si>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</si>
  <si>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</si>
  <si>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</si>
  <si>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</si>
  <si>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</si>
  <si>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</si>
  <si>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</si>
  <si>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</si>
  <si>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</si>
  <si>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</si>
  <si>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</si>
  <si>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</si>
  <si>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</si>
  <si>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</si>
  <si>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</si>
  <si>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</si>
  <si>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</si>
  <si>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</si>
  <si>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</si>
  <si>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</si>
  <si>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</si>
  <si>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</si>
  <si>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</si>
  <si>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</si>
  <si>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</si>
  <si>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</si>
  <si>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</si>
  <si>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</si>
  <si>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</si>
  <si>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</si>
  <si>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</si>
  <si>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</si>
  <si>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</si>
  <si>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</si>
  <si>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</si>
  <si>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</si>
  <si>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</si>
  <si>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</si>
  <si>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</si>
  <si>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</si>
  <si>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</si>
  <si>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</si>
  <si>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</si>
  <si>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</si>
  <si>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</si>
  <si>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</si>
  <si>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</si>
  <si>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</si>
  <si>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</si>
  <si>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</si>
  <si>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</si>
  <si>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</si>
  <si>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</si>
  <si>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</si>
  <si>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</si>
  <si>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</si>
  <si>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</si>
  <si>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</si>
  <si>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</si>
  <si>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</si>
  <si>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</si>
  <si>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</si>
  <si>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</si>
  <si>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</si>
  <si>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</si>
  <si>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</si>
  <si>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</si>
  <si>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</si>
  <si>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</si>
  <si>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</si>
  <si>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</si>
  <si>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</si>
  <si>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</si>
  <si>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</si>
  <si>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</si>
  <si>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</si>
  <si>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</si>
  <si>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</si>
  <si>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</si>
  <si>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</si>
  <si>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</si>
  <si>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</si>
  <si>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</si>
  <si>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</si>
  <si>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</si>
  <si>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</si>
  <si>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</si>
  <si>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</si>
  <si>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</si>
  <si>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</si>
  <si>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</si>
  <si>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</si>
  <si>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</si>
  <si>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</si>
  <si>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</si>
  <si>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</si>
  <si>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</si>
  <si>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</si>
  <si>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</si>
  <si>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</si>
  <si>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</si>
  <si>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</si>
  <si>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</si>
  <si>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</si>
  <si>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</si>
  <si>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</si>
  <si>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</si>
  <si>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</si>
  <si>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</si>
  <si>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</si>
  <si>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</si>
  <si>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</si>
  <si>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</si>
  <si>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</si>
  <si>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</si>
  <si>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</si>
  <si>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</si>
  <si>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</si>
  <si>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</si>
  <si>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</si>
  <si>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</si>
  <si>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</si>
  <si>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</si>
  <si>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</si>
  <si>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</si>
  <si>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</si>
  <si>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</si>
  <si>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</si>
  <si>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</si>
  <si>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</si>
  <si>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</si>
  <si>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</si>
  <si>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</si>
  <si>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</si>
  <si>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</si>
  <si>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</si>
  <si>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</si>
  <si>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</si>
  <si>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</si>
  <si>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</si>
  <si>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</si>
  <si>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</si>
  <si>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</si>
  <si>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</si>
  <si>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</si>
  <si>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</si>
  <si>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</si>
  <si>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</si>
  <si>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</si>
  <si>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</si>
  <si>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</si>
  <si>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</si>
  <si>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</si>
  <si>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</si>
  <si>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</si>
  <si>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</si>
  <si>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</si>
  <si>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</si>
  <si>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</si>
  <si>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</si>
  <si>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</si>
  <si>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</si>
  <si>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</si>
  <si>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</si>
  <si>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</si>
  <si>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</si>
  <si>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</si>
  <si>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</si>
  <si>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</si>
  <si>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</si>
  <si>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</si>
  <si>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</si>
  <si>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</si>
  <si>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</si>
  <si>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</si>
  <si>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</si>
  <si>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</si>
  <si>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</si>
  <si>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</si>
  <si>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</si>
  <si>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</si>
  <si>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</si>
  <si>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</si>
  <si>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</si>
  <si>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</si>
  <si>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</si>
  <si>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</si>
  <si>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</si>
  <si>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</si>
  <si>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</si>
  <si>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</si>
  <si>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</si>
  <si>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</si>
  <si>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</si>
  <si>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</si>
  <si>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</si>
  <si>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</si>
  <si>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</si>
  <si>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</si>
  <si>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</si>
  <si>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</si>
  <si>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</si>
  <si>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</si>
  <si>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</si>
  <si>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</si>
  <si>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</si>
  <si>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</si>
  <si>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</si>
  <si>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</si>
  <si>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</si>
  <si>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</si>
  <si>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</si>
  <si>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</si>
  <si>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</si>
  <si>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</si>
  <si>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</si>
  <si>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</si>
  <si>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</si>
  <si>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</si>
  <si>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</si>
  <si>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</si>
  <si>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</si>
  <si>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</si>
  <si>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</si>
  <si>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</si>
  <si>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</si>
  <si>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</si>
  <si>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</si>
  <si>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</si>
  <si>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</si>
  <si>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</si>
  <si>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</si>
  <si>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</si>
  <si>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</si>
  <si>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</si>
  <si>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</si>
  <si>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</si>
  <si>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</si>
  <si>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</si>
  <si>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</si>
  <si>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</si>
  <si>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</si>
  <si>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</si>
  <si>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</si>
  <si>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</si>
  <si>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</si>
  <si>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</si>
  <si>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</si>
  <si>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</si>
  <si>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</si>
  <si>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</si>
  <si>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</si>
  <si>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</si>
  <si>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</si>
  <si>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</si>
  <si>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</si>
  <si>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</si>
  <si>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</si>
  <si>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</si>
  <si>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</si>
  <si>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</si>
  <si>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</si>
  <si>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</si>
  <si>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</si>
  <si>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</si>
  <si>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</si>
  <si>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</si>
  <si>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</si>
  <si>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</si>
  <si>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</si>
  <si>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</si>
  <si>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</si>
  <si>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</si>
  <si>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</si>
  <si>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</si>
  <si>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</si>
  <si>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</si>
  <si>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</si>
  <si>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</si>
  <si>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</si>
  <si>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</si>
  <si>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</si>
  <si>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</si>
  <si>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</si>
  <si>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</si>
  <si>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</si>
  <si>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</si>
  <si>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</si>
  <si>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</si>
  <si>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</si>
  <si>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</si>
  <si>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</si>
  <si>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</si>
  <si>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</si>
  <si>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</si>
  <si>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</si>
  <si>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</si>
  <si>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</si>
  <si>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</si>
  <si>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</si>
  <si>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</si>
  <si>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</si>
  <si>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</si>
  <si>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</si>
  <si>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</si>
  <si>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</si>
  <si>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</si>
  <si>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</si>
  <si>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</si>
  <si>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</si>
  <si>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</si>
  <si>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</si>
  <si>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</si>
  <si>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</si>
  <si>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</si>
  <si>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</si>
  <si>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</si>
  <si>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</si>
  <si>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</si>
  <si>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</si>
  <si>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</si>
  <si>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</si>
  <si>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</si>
  <si>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</si>
  <si>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</si>
  <si>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</si>
  <si>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</si>
  <si>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</si>
  <si>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</si>
  <si>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</si>
  <si>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</si>
  <si>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</si>
  <si>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</si>
  <si>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</si>
  <si>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</si>
  <si>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</si>
  <si>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</si>
  <si>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</si>
  <si>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</si>
  <si>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</si>
  <si>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</si>
  <si>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</si>
  <si>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</si>
  <si>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</si>
  <si>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</si>
  <si>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</si>
  <si>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</si>
  <si>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</si>
  <si>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</si>
  <si>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</si>
  <si>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</si>
  <si>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</si>
  <si>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</si>
  <si>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</si>
  <si>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</si>
  <si>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</si>
  <si>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</si>
  <si>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</si>
  <si>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</si>
  <si>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</si>
  <si>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</si>
  <si>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</si>
  <si>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</si>
  <si>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</si>
  <si>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</si>
  <si>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</si>
  <si>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</si>
  <si>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</si>
  <si>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</si>
  <si>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</si>
  <si>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</si>
  <si>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</si>
  <si>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</si>
  <si>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</si>
  <si>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</si>
  <si>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</si>
  <si>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</si>
  <si>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</si>
  <si>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</si>
  <si>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</si>
  <si>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</si>
  <si>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</si>
  <si>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</si>
  <si>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</si>
  <si>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</si>
  <si>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</si>
  <si>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</si>
  <si>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</si>
  <si>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</si>
  <si>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</si>
  <si>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</si>
  <si>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</si>
  <si>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</si>
  <si>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</si>
  <si>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</si>
  <si>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</si>
  <si>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</si>
  <si>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</si>
  <si>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</si>
  <si>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</si>
  <si>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</si>
  <si>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</si>
  <si>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</si>
  <si>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</si>
  <si>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</si>
  <si>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</si>
  <si>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</si>
  <si>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</si>
  <si>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</si>
  <si>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</si>
  <si>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</si>
  <si>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</si>
  <si>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</si>
  <si>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</si>
  <si>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</si>
  <si>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</si>
  <si>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</si>
  <si>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</si>
  <si>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</si>
  <si>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</si>
  <si>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</si>
  <si>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</si>
  <si>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</si>
  <si>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</si>
  <si>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</si>
  <si>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</si>
  <si>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</si>
  <si>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</si>
  <si>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</si>
  <si>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</si>
  <si>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</si>
  <si>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</si>
  <si>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</si>
  <si>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</si>
  <si>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</si>
  <si>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</si>
  <si>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</si>
  <si>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</si>
  <si>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</si>
  <si>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</si>
  <si>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</si>
  <si>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</si>
  <si>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</si>
  <si>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</si>
  <si>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</si>
  <si>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</si>
  <si>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</si>
  <si>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</si>
  <si>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</si>
  <si>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</si>
  <si>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</si>
  <si>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</si>
  <si>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</si>
  <si>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</si>
  <si>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</si>
  <si>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</si>
  <si>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</si>
  <si>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</si>
  <si>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</si>
  <si>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</si>
  <si>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</si>
  <si>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</si>
  <si>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</si>
  <si>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</si>
  <si>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</si>
  <si>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</si>
  <si>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</si>
  <si>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</si>
  <si>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</si>
  <si>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</si>
  <si>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</si>
  <si>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</si>
  <si>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</si>
  <si>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</si>
  <si>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</si>
  <si>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</si>
  <si>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</si>
  <si>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</si>
  <si>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</si>
  <si>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</si>
  <si>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</si>
  <si>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</si>
  <si>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</si>
  <si>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</si>
  <si>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</si>
  <si>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</si>
  <si>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</si>
  <si>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</si>
  <si>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</si>
  <si>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</si>
  <si>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</si>
  <si>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</si>
  <si>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</si>
  <si>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</si>
  <si>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</si>
  <si>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</si>
  <si>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</si>
  <si>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</si>
  <si>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</si>
  <si>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</si>
  <si>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</si>
  <si>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</si>
  <si>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</si>
  <si>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</si>
  <si>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</si>
  <si>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</si>
  <si>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</si>
  <si>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</si>
  <si>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</si>
  <si>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</si>
  <si>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</si>
  <si>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</si>
  <si>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</si>
  <si>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</si>
  <si>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</si>
  <si>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</si>
  <si>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</si>
  <si>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</si>
  <si>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</si>
  <si>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</si>
  <si>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</si>
  <si>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</si>
  <si>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</si>
  <si>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</si>
  <si>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</si>
  <si>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</si>
  <si>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</si>
  <si>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</si>
  <si>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</si>
  <si>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</si>
  <si>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</si>
  <si>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</si>
  <si>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</si>
  <si>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</si>
  <si>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</si>
  <si>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</si>
  <si>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</si>
  <si>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</si>
  <si>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</si>
  <si>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</si>
  <si>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</si>
  <si>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</si>
  <si>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</si>
  <si>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</si>
  <si>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</si>
  <si>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</si>
  <si>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</si>
  <si>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</si>
  <si>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</si>
  <si>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</si>
  <si>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</si>
  <si>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</si>
  <si>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</si>
  <si>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</si>
  <si>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</si>
  <si>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</si>
  <si>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</si>
  <si>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</si>
  <si>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</si>
  <si>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</si>
  <si>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</si>
  <si>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</si>
  <si>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</si>
  <si>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</si>
  <si>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</si>
  <si>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</si>
  <si>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</si>
  <si>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</si>
  <si>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</si>
  <si>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</si>
  <si>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</si>
  <si>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</si>
  <si>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</si>
  <si>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</si>
  <si>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</si>
  <si>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</si>
  <si>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</si>
  <si>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</si>
  <si>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</si>
  <si>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</si>
  <si>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</si>
  <si>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</si>
  <si>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</si>
  <si>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</si>
  <si>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</si>
  <si>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</si>
  <si>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</si>
  <si>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</si>
  <si>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</si>
  <si>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</si>
  <si>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</si>
  <si>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</si>
  <si>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</si>
  <si>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</si>
  <si>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</si>
  <si>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</si>
  <si>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</si>
  <si>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</si>
  <si>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</si>
  <si>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</si>
  <si>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</si>
  <si>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</si>
  <si>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</si>
  <si>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</si>
  <si>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</si>
  <si>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</si>
  <si>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</si>
  <si>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</si>
  <si>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</si>
  <si>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</si>
  <si>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</si>
  <si>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</si>
  <si>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</si>
  <si>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</si>
  <si>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</si>
  <si>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</si>
  <si>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</si>
  <si>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</si>
  <si>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</si>
  <si>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</si>
  <si>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</si>
  <si>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</si>
  <si>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</si>
  <si>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</si>
  <si>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</si>
  <si>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</si>
  <si>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</si>
  <si>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</si>
  <si>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</si>
  <si>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</si>
  <si>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</si>
  <si>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</si>
  <si>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</si>
  <si>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</si>
  <si>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</si>
  <si>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</si>
  <si>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</si>
  <si>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</si>
  <si>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</si>
  <si>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</si>
  <si>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</si>
  <si>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</si>
  <si>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</si>
  <si>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</si>
  <si>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</si>
  <si>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</si>
  <si>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</si>
  <si>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</si>
  <si>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</si>
  <si>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</si>
  <si>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</si>
  <si>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</si>
  <si>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</si>
  <si>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</si>
  <si>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</si>
  <si>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</si>
  <si>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</si>
  <si>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</si>
  <si>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</si>
  <si>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</si>
  <si>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</si>
  <si>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</si>
  <si>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</si>
  <si>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</si>
  <si>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</si>
  <si>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</si>
  <si>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</si>
  <si>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</si>
  <si>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</si>
  <si>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</si>
  <si>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</si>
  <si>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</si>
  <si>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</si>
  <si>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</si>
  <si>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</si>
  <si>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</si>
  <si>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</si>
  <si>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</si>
  <si>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</si>
  <si>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</si>
  <si>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</si>
  <si>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</si>
  <si>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</si>
  <si>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</si>
  <si>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</si>
  <si>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</si>
  <si>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</si>
  <si>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</si>
  <si>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</si>
  <si>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</si>
  <si>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</si>
  <si>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</si>
  <si>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</si>
  <si>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</si>
  <si>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</si>
  <si>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</si>
  <si>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</si>
  <si>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</si>
  <si>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</si>
  <si>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</si>
  <si>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</si>
  <si>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</si>
  <si>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</si>
  <si>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</si>
  <si>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</si>
  <si>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</si>
  <si>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</si>
  <si>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</si>
  <si>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</si>
  <si>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</si>
  <si>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</si>
  <si>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</si>
  <si>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</si>
  <si>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</si>
  <si>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</si>
  <si>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</si>
  <si>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</si>
  <si>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</si>
  <si>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</si>
  <si>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</si>
  <si>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</si>
  <si>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</si>
  <si>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</si>
  <si>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</si>
  <si>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</si>
  <si>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</si>
  <si>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</si>
  <si>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</si>
  <si>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</si>
  <si>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</si>
  <si>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</si>
  <si>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</si>
  <si>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</si>
  <si>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</si>
  <si>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</si>
  <si>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</si>
  <si>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</si>
  <si>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</si>
  <si>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</si>
  <si>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</si>
  <si>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</si>
  <si>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</si>
  <si>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</si>
  <si>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</si>
  <si>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</si>
  <si>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</si>
  <si>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</si>
  <si>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</si>
  <si>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</si>
  <si>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</si>
  <si>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</si>
  <si>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</si>
  <si>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</si>
  <si>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</si>
  <si>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</si>
  <si>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</si>
  <si>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</si>
  <si>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</si>
  <si>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</si>
  <si>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</si>
  <si>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</si>
  <si>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</si>
  <si>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</si>
  <si>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</si>
  <si>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</si>
  <si>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</si>
  <si>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</si>
  <si>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</si>
  <si>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</si>
  <si>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</si>
  <si>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</si>
  <si>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</si>
  <si>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</si>
  <si>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</si>
  <si>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</si>
  <si>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</si>
  <si>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</si>
  <si>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</si>
  <si>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</si>
  <si>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</si>
  <si>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</si>
  <si>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</si>
  <si>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</si>
  <si>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</si>
  <si>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</si>
  <si>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</si>
  <si>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</si>
  <si>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</si>
  <si>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</si>
  <si>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</si>
  <si>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</si>
  <si>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</si>
  <si>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</si>
  <si>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</si>
  <si>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</si>
  <si>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</si>
  <si>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</si>
  <si>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</si>
  <si>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</si>
  <si>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</si>
  <si>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</si>
  <si>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</si>
  <si>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</si>
  <si>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</si>
  <si>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</si>
  <si>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</si>
  <si>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</si>
  <si>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</si>
  <si>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</si>
  <si>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</si>
  <si>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</si>
  <si>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</si>
  <si>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</si>
  <si>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</si>
  <si>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</si>
  <si>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</si>
  <si>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</si>
  <si>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</si>
  <si>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</si>
  <si>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</si>
  <si>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</si>
  <si>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</si>
  <si>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</si>
  <si>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</si>
  <si>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</si>
  <si>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</si>
  <si>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</si>
  <si>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</si>
  <si>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</si>
  <si>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</si>
  <si>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</si>
  <si>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</si>
  <si>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</si>
  <si>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</si>
  <si>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</si>
  <si>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</si>
  <si>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</si>
  <si>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</si>
  <si>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</si>
  <si>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</si>
  <si>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</si>
  <si>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</si>
  <si>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</si>
  <si>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</si>
  <si>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</si>
  <si>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</si>
  <si>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</si>
  <si>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</si>
  <si>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</si>
  <si>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</si>
  <si>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</si>
  <si>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</si>
  <si>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</si>
  <si>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</si>
  <si>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</si>
  <si>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</si>
  <si>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</si>
  <si>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</si>
  <si>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</si>
  <si>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</si>
  <si>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</si>
  <si>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</si>
  <si>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</si>
  <si>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</si>
  <si>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</si>
  <si>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</si>
  <si>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</si>
  <si>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</si>
  <si>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</si>
  <si>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</si>
  <si>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</si>
  <si>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</si>
  <si>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</si>
  <si>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</si>
  <si>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</si>
  <si>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</si>
  <si>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</si>
  <si>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</si>
  <si>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</si>
  <si>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</si>
  <si>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</si>
  <si>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</si>
  <si>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</si>
  <si>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</si>
  <si>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</si>
  <si>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</si>
  <si>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</si>
  <si>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</si>
  <si>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</si>
  <si>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</si>
  <si>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</si>
  <si>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</si>
  <si>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</si>
  <si>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</si>
  <si>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</si>
  <si>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</si>
  <si>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</si>
  <si>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</si>
  <si>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</si>
  <si>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</si>
  <si>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</si>
  <si>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</si>
  <si>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</si>
  <si>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</si>
  <si>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</si>
  <si>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</si>
  <si>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</si>
  <si>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</si>
  <si>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</si>
  <si>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</si>
  <si>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</si>
  <si>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</si>
  <si>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</si>
  <si>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</si>
  <si>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</si>
  <si>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</si>
  <si>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</si>
  <si>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</si>
  <si>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</si>
  <si>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</si>
  <si>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</si>
  <si>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</si>
  <si>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</si>
  <si>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</si>
  <si>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</si>
  <si>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</si>
  <si>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</si>
  <si>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</si>
  <si>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</si>
  <si>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</si>
  <si>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</si>
  <si>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</si>
  <si>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</si>
  <si>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</si>
  <si>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</si>
  <si>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</si>
  <si>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</si>
  <si>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</si>
  <si>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</si>
  <si>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</si>
  <si>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</si>
  <si>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</si>
  <si>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</si>
  <si>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</si>
  <si>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</si>
  <si>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</si>
  <si>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</si>
  <si>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</si>
  <si>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</si>
  <si>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</si>
  <si>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</si>
  <si>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</si>
  <si>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</si>
  <si>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</si>
  <si>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</si>
  <si>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</si>
  <si>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</si>
  <si>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</si>
  <si>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</si>
  <si>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</si>
  <si>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</si>
  <si>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</si>
  <si>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</si>
  <si>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</si>
  <si>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</si>
  <si>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</si>
  <si>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</si>
  <si>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</si>
  <si>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</si>
  <si>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</si>
  <si>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</si>
  <si>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</si>
  <si>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</si>
  <si>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</si>
  <si>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</si>
  <si>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</si>
  <si>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</si>
  <si>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</si>
  <si>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</si>
  <si>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</si>
  <si>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</si>
  <si>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</si>
  <si>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</si>
  <si>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</si>
  <si>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</si>
  <si>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</si>
  <si>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</si>
  <si>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</si>
  <si>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</si>
  <si>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</si>
  <si>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</si>
  <si>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</si>
  <si>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</si>
  <si>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</si>
  <si>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</si>
  <si>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</si>
  <si>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</si>
  <si>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</si>
  <si>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</si>
  <si>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</si>
  <si>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</si>
  <si>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</si>
  <si>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</si>
  <si>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</si>
  <si>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</si>
  <si>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</si>
  <si>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</si>
  <si>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</si>
  <si>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</si>
  <si>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</si>
  <si>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</si>
  <si>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</si>
  <si>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</si>
  <si>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</si>
  <si>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</si>
  <si>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</si>
  <si>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</si>
  <si>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</si>
  <si>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</si>
  <si>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</si>
  <si>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</si>
  <si>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</si>
  <si>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</si>
  <si>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</si>
  <si>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</si>
  <si>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</si>
  <si>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</si>
  <si>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</si>
  <si>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</si>
  <si>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</si>
  <si>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</si>
  <si>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</si>
  <si>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</si>
  <si>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</si>
  <si>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</si>
  <si>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</si>
  <si>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</si>
  <si>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</si>
  <si>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</si>
  <si>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</si>
  <si>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</si>
  <si>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</si>
  <si>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</si>
  <si>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</si>
  <si>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</si>
  <si>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</si>
  <si>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</si>
  <si>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</si>
  <si>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</si>
  <si>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</si>
  <si>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</si>
  <si>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</si>
  <si>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</si>
  <si>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</si>
  <si>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</si>
  <si>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</si>
  <si>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</si>
  <si>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</si>
  <si>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</si>
  <si>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</si>
  <si>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</si>
  <si>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</si>
  <si>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</si>
  <si>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</si>
  <si>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</si>
  <si>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</si>
  <si>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</si>
  <si>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</si>
  <si>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</si>
  <si>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</si>
  <si>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</si>
  <si>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</si>
  <si>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</si>
  <si>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</si>
  <si>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</si>
  <si>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</si>
  <si>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</si>
  <si>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</si>
  <si>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</si>
  <si>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</si>
  <si>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</si>
  <si>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</si>
  <si>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</si>
  <si>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</si>
  <si>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</si>
  <si>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</si>
  <si>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</si>
  <si>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</si>
  <si>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</si>
  <si>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</si>
  <si>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</si>
  <si>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</si>
  <si>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</si>
  <si>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</si>
  <si>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</si>
  <si>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</si>
  <si>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</si>
  <si>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</si>
  <si>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</si>
  <si>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</si>
  <si>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</si>
  <si>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</si>
  <si>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</si>
  <si>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</si>
  <si>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</si>
  <si>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</si>
  <si>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</si>
  <si>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</si>
  <si>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</si>
  <si>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</si>
  <si>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</si>
  <si>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</si>
  <si>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</si>
  <si>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</si>
  <si>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</si>
  <si>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</si>
  <si>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</si>
  <si>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</si>
  <si>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</si>
  <si>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</si>
  <si>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</si>
  <si>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</si>
  <si>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</si>
  <si>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</si>
  <si>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</si>
  <si>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</si>
  <si>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</si>
  <si>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</si>
  <si>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</si>
  <si>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</si>
  <si>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</si>
  <si>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</si>
  <si>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</si>
  <si>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</si>
  <si>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</si>
  <si>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</si>
  <si>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</si>
  <si>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</si>
  <si>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</si>
  <si>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</si>
  <si>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</si>
  <si>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</si>
  <si>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</si>
  <si>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</si>
  <si>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</si>
  <si>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</si>
  <si>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</si>
  <si>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</si>
  <si>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</si>
  <si>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</si>
  <si>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</si>
  <si>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</si>
  <si>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</si>
  <si>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</si>
  <si>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</si>
  <si>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</si>
  <si>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</si>
  <si>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</si>
  <si>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</si>
  <si>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</si>
  <si>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</si>
  <si>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</si>
  <si>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</si>
  <si>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</si>
  <si>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</si>
  <si>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</si>
  <si>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</si>
  <si>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</si>
  <si>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</si>
  <si>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</si>
  <si>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</si>
  <si>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</si>
  <si>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</si>
  <si>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</si>
  <si>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</si>
  <si>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</si>
  <si>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</si>
  <si>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</si>
  <si>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</si>
  <si>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</si>
  <si>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</si>
  <si>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</si>
  <si>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</si>
  <si>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</si>
  <si>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</si>
  <si>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</si>
  <si>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</si>
  <si>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</si>
  <si>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</si>
  <si>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</si>
  <si>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</si>
  <si>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</si>
  <si>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</si>
  <si>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</si>
  <si>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</si>
  <si>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</si>
  <si>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</si>
  <si>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</si>
  <si>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</si>
  <si>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</si>
  <si>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</si>
  <si>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</si>
  <si>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</si>
  <si>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</si>
  <si>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</si>
  <si>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</si>
  <si>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</si>
  <si>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</si>
  <si>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</si>
  <si>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</si>
  <si>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</si>
  <si>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</si>
  <si>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</si>
  <si>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</si>
  <si>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</si>
  <si>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</si>
  <si>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</si>
  <si>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</si>
  <si>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</si>
  <si>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</si>
  <si>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</si>
  <si>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</si>
  <si>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</si>
  <si>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</si>
  <si>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</si>
  <si>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</si>
  <si>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</si>
  <si>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</si>
  <si>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</si>
  <si>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</si>
  <si>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</si>
  <si>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</si>
  <si>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</si>
  <si>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</si>
  <si>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</si>
  <si>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</si>
  <si>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</si>
  <si>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</si>
  <si>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</si>
  <si>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</si>
  <si>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</si>
  <si>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</si>
  <si>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</si>
  <si>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</si>
  <si>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</si>
  <si>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</si>
  <si>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</si>
  <si>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</si>
  <si>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</si>
  <si>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</si>
  <si>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</si>
  <si>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</si>
  <si>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</si>
  <si>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</si>
  <si>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</si>
  <si>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</si>
  <si>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</si>
  <si>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</si>
  <si>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</si>
  <si>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</si>
  <si>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</si>
  <si>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</si>
  <si>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</si>
  <si>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</si>
  <si>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</si>
  <si>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</si>
  <si>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</si>
  <si>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</si>
  <si>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</si>
  <si>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</si>
  <si>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</si>
  <si>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</si>
  <si>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</si>
  <si>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</si>
  <si>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</si>
  <si>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</si>
  <si>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</si>
  <si>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</si>
  <si>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</si>
  <si>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</si>
  <si>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</si>
  <si>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</si>
  <si>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</si>
  <si>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</si>
  <si>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</si>
  <si>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</si>
  <si>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</si>
  <si>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</si>
  <si>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</si>
  <si>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</si>
  <si>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</si>
  <si>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</si>
  <si>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</si>
  <si>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</si>
  <si>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</si>
  <si>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</si>
  <si>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</si>
  <si>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</si>
  <si>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</si>
  <si>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</si>
  <si>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</si>
  <si>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</si>
  <si>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</si>
  <si>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</si>
  <si>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</si>
  <si>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</si>
  <si>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</si>
  <si>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</si>
  <si>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</si>
  <si>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</si>
  <si>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</si>
  <si>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</si>
  <si>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</si>
  <si>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</si>
  <si>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</si>
  <si>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</si>
  <si>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</si>
  <si>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</si>
  <si>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</si>
  <si>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</si>
  <si>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</si>
  <si>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</si>
  <si>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</si>
  <si>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</si>
  <si>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</si>
  <si>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</si>
  <si>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</si>
  <si>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</si>
  <si>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</si>
  <si>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</si>
  <si>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</si>
  <si>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</si>
  <si>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</si>
  <si>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</si>
  <si>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</si>
  <si>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</si>
  <si>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</si>
  <si>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</si>
  <si>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</si>
  <si>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</si>
  <si>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</si>
  <si>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</si>
  <si>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</si>
  <si>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</si>
  <si>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</si>
  <si>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</si>
  <si>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</si>
  <si>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</si>
  <si>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</si>
  <si>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</si>
  <si>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</si>
  <si>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</si>
  <si>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</si>
  <si>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</si>
  <si>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</si>
  <si>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</si>
  <si>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</si>
  <si>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</si>
  <si>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</si>
  <si>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</si>
  <si>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</si>
  <si>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</si>
  <si>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</si>
  <si>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</si>
  <si>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</si>
  <si>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</si>
  <si>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</si>
  <si>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</si>
  <si>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</si>
  <si>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</si>
  <si>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</si>
  <si>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</si>
  <si>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</si>
  <si>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</si>
  <si>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</si>
  <si>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</si>
  <si>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</si>
  <si>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</si>
  <si>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</si>
  <si>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</si>
  <si>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</si>
  <si>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</si>
  <si>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</si>
  <si>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</si>
  <si>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</si>
  <si>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</si>
  <si>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</si>
  <si>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</si>
  <si>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</si>
  <si>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</si>
  <si>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</si>
  <si>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</si>
  <si>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</si>
  <si>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</si>
  <si>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</si>
  <si>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</si>
  <si>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</si>
  <si>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</si>
  <si>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</si>
  <si>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</si>
  <si>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</si>
  <si>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</si>
  <si>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</si>
  <si>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</si>
  <si>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</si>
  <si>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</si>
  <si>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</si>
  <si>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</si>
  <si>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</si>
  <si>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</si>
  <si>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</si>
  <si>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</si>
  <si>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</si>
  <si>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</si>
  <si>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</si>
  <si>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</si>
  <si>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</si>
  <si>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</si>
  <si>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</si>
  <si>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</si>
  <si>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</si>
  <si>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</si>
  <si>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</si>
  <si>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</si>
  <si>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</si>
  <si>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</si>
  <si>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</si>
  <si>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</si>
  <si>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</si>
  <si>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</si>
  <si>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</si>
  <si>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</si>
  <si>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</si>
  <si>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</si>
  <si>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</si>
  <si>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</si>
  <si>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</si>
  <si>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</si>
  <si>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</si>
  <si>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</si>
  <si>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</si>
  <si>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</si>
  <si>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</si>
  <si>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</si>
  <si>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</si>
  <si>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</si>
  <si>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</si>
  <si>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</si>
  <si>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</si>
  <si>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</si>
  <si>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</si>
  <si>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</si>
  <si>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</si>
  <si>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</si>
  <si>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</si>
  <si>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</si>
  <si>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</si>
  <si>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</si>
  <si>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</si>
  <si>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</si>
  <si>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</si>
  <si>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</si>
  <si>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</si>
  <si>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</si>
  <si>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</si>
  <si>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</si>
  <si>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</si>
  <si>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</si>
  <si>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</si>
  <si>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</si>
  <si>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</si>
  <si>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</si>
  <si>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</si>
  <si>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</si>
  <si>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</si>
  <si>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</si>
  <si>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</si>
  <si>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</si>
  <si>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</si>
  <si>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</si>
  <si>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</si>
  <si>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</si>
  <si>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</si>
  <si>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</si>
  <si>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</si>
  <si>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</si>
  <si>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</si>
  <si>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</si>
  <si>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</si>
  <si>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</si>
  <si>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</si>
  <si>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</si>
  <si>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</si>
  <si>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</si>
  <si>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</si>
  <si>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</si>
  <si>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</si>
  <si>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</si>
  <si>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</si>
  <si>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</si>
  <si>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</si>
  <si>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</si>
  <si>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</si>
  <si>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</si>
  <si>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</si>
  <si>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</si>
  <si>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</si>
  <si>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</si>
  <si>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</si>
  <si>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</si>
  <si>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</si>
  <si>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</si>
  <si>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</si>
  <si>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</si>
  <si>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</si>
  <si>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</si>
  <si>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</si>
  <si>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</si>
  <si>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</si>
  <si>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</si>
  <si>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</si>
  <si>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</si>
  <si>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</si>
  <si>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</si>
  <si>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</si>
  <si>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</si>
  <si>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</si>
  <si>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</si>
  <si>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</si>
  <si>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</si>
  <si>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</si>
  <si>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</si>
  <si>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</si>
  <si>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</si>
  <si>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</si>
  <si>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</si>
  <si>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</si>
  <si>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</si>
  <si>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</si>
  <si>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</si>
  <si>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</si>
  <si>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</si>
  <si>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</si>
  <si>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</si>
  <si>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</si>
  <si>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</si>
  <si>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</si>
  <si>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</si>
  <si>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</si>
  <si>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</si>
  <si>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</si>
  <si>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</si>
  <si>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</si>
  <si>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</si>
  <si>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</si>
  <si>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</si>
  <si>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</si>
  <si>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</si>
  <si>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</si>
  <si>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</si>
  <si>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</si>
  <si>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</si>
  <si>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</si>
  <si>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</si>
  <si>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</si>
  <si>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</si>
  <si>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</si>
  <si>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</si>
  <si>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</si>
  <si>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</si>
  <si>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</si>
  <si>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</si>
  <si>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</si>
  <si>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</si>
  <si>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</si>
  <si>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</si>
  <si>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</si>
  <si>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</si>
  <si>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</si>
  <si>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</si>
  <si>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</si>
  <si>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</si>
  <si>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</si>
  <si>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</si>
  <si>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</si>
  <si>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</si>
  <si>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</si>
  <si>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</si>
  <si>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</si>
  <si>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</si>
  <si>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</si>
  <si>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</si>
  <si>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</si>
  <si>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</si>
  <si>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</si>
  <si>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</si>
  <si>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</si>
  <si>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</si>
  <si>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</si>
  <si>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</si>
  <si>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</si>
  <si>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</si>
  <si>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</si>
  <si>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</si>
  <si>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</si>
  <si>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</si>
  <si>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</si>
  <si>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</si>
  <si>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</si>
  <si>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</si>
  <si>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</si>
  <si>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</si>
  <si>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</si>
  <si>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</si>
  <si>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</si>
  <si>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</si>
  <si>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</si>
  <si>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</si>
  <si>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</si>
  <si>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</si>
  <si>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</si>
  <si>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</si>
  <si>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</si>
  <si>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</si>
  <si>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</si>
  <si>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</si>
  <si>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</si>
  <si>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</si>
  <si>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</si>
  <si>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</si>
  <si>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</si>
  <si>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</si>
  <si>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</si>
  <si>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</si>
  <si>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</si>
  <si>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</si>
  <si>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</si>
  <si>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</si>
  <si>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</si>
  <si>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</si>
  <si>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</si>
  <si>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</si>
  <si>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</si>
  <si>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</si>
  <si>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</si>
  <si>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</si>
  <si>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</si>
  <si>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</si>
  <si>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</si>
  <si>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</si>
  <si>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</si>
  <si>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</si>
  <si>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</si>
  <si>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</si>
  <si>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</si>
  <si>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</si>
  <si>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</si>
  <si>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</si>
  <si>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</si>
  <si>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</si>
  <si>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</si>
  <si>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</si>
  <si>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</si>
  <si>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</si>
  <si>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</si>
  <si>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</si>
  <si>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</si>
  <si>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</si>
  <si>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</si>
  <si>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</si>
  <si>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</si>
  <si>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</si>
  <si>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</si>
  <si>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</si>
  <si>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</si>
  <si>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</si>
  <si>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</si>
  <si>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</si>
  <si>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</si>
  <si>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</si>
  <si>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</si>
  <si>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</si>
  <si>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</si>
  <si>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</si>
  <si>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</si>
  <si>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</si>
  <si>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</si>
  <si>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</si>
  <si>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</si>
  <si>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</si>
  <si>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</si>
  <si>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</si>
  <si>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</si>
  <si>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</si>
  <si>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</si>
  <si>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</si>
  <si>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</si>
  <si>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</si>
  <si>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</si>
  <si>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</si>
  <si>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</si>
  <si>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</si>
  <si>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</si>
  <si>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</si>
  <si>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</si>
  <si>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</si>
  <si>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</si>
  <si>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</si>
  <si>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</si>
  <si>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</si>
  <si>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</si>
  <si>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</si>
  <si>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</si>
  <si>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</si>
  <si>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</si>
  <si>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</si>
  <si>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</si>
  <si>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</si>
  <si>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</si>
  <si>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</si>
  <si>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</si>
  <si>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</si>
  <si>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</si>
  <si>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</si>
  <si>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</si>
  <si>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</si>
  <si>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</si>
  <si>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</si>
  <si>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</si>
  <si>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</si>
  <si>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</si>
  <si>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</si>
  <si>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</si>
  <si>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</si>
  <si>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</si>
  <si>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</si>
  <si>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</si>
  <si>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</si>
  <si>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</si>
  <si>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</si>
  <si>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</si>
  <si>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</si>
  <si>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</si>
  <si>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</si>
  <si>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</si>
  <si>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</si>
  <si>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</si>
  <si>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</si>
  <si>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</si>
  <si>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</si>
  <si>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</si>
  <si>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</si>
  <si>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</si>
  <si>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</si>
  <si>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</si>
  <si>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</si>
  <si>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</si>
  <si>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</si>
  <si>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</si>
  <si>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</si>
  <si>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</si>
  <si>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</si>
  <si>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</si>
  <si>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</si>
  <si>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</si>
  <si>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</si>
  <si>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</si>
  <si>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</si>
  <si>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</si>
  <si>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</si>
  <si>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</si>
  <si>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</si>
  <si>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</si>
  <si>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</si>
  <si>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</si>
  <si>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</si>
  <si>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</si>
  <si>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</si>
  <si>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</si>
  <si>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</si>
  <si>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</si>
  <si>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</si>
  <si>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</si>
  <si>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</si>
  <si>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</si>
  <si>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</si>
  <si>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</si>
  <si>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</si>
  <si>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</si>
  <si>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</si>
  <si>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</si>
  <si>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</si>
  <si>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</si>
  <si>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</si>
  <si>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</si>
  <si>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</si>
  <si>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</si>
  <si>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</si>
  <si>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</si>
  <si>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</si>
  <si>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</si>
  <si>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</si>
  <si>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</si>
  <si>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</si>
  <si>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</si>
  <si>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</si>
  <si>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</si>
  <si>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</si>
  <si>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</si>
  <si>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</si>
  <si>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</si>
  <si>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</si>
  <si>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</si>
  <si>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</si>
  <si>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</si>
  <si>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</si>
  <si>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</si>
  <si>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</si>
  <si>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</si>
  <si>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</si>
  <si>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</si>
  <si>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</si>
  <si>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</si>
  <si>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</si>
  <si>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</si>
  <si>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</si>
  <si>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</si>
  <si>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</si>
  <si>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</si>
  <si>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</si>
  <si>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</si>
  <si>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</si>
  <si>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</si>
  <si>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</si>
  <si>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</si>
  <si>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</si>
  <si>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</si>
  <si>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</si>
  <si>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</si>
  <si>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</si>
  <si>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</si>
  <si>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</si>
  <si>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</si>
  <si>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</si>
  <si>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</si>
  <si>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</si>
  <si>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</si>
  <si>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</si>
  <si>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</si>
  <si>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</si>
  <si>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</si>
  <si>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</si>
  <si>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</si>
  <si>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</si>
  <si>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</si>
  <si>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</si>
  <si>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</si>
  <si>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</si>
  <si>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</si>
  <si>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</si>
  <si>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</si>
  <si>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</si>
  <si>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</si>
  <si>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</si>
  <si>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</si>
  <si>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</si>
  <si>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</si>
  <si>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</si>
  <si>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</si>
  <si>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</si>
  <si>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</si>
  <si>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</si>
  <si>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</si>
  <si>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</si>
  <si>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</si>
  <si>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</si>
  <si>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</si>
  <si>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</si>
  <si>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</si>
  <si>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</si>
  <si>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</si>
  <si>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</si>
  <si>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</si>
  <si>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</si>
  <si>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</si>
  <si>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</si>
  <si>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</si>
  <si>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</si>
  <si>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</si>
  <si>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</si>
  <si>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</si>
  <si>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</si>
  <si>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</si>
  <si>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</si>
  <si>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</si>
  <si>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</si>
  <si>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</si>
  <si>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</si>
  <si>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</si>
  <si>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</si>
  <si>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</si>
  <si>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</si>
  <si>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</si>
  <si>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</si>
  <si>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</si>
  <si>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</si>
  <si>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</si>
  <si>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</si>
  <si>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</si>
  <si>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</si>
  <si>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</si>
  <si>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</si>
  <si>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</si>
  <si>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</si>
  <si>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</si>
  <si>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</si>
  <si>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</si>
  <si>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</si>
  <si>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</si>
  <si>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</si>
  <si>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</si>
  <si>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</si>
  <si>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</si>
  <si>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</si>
  <si>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</si>
  <si>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</si>
  <si>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</si>
  <si>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</si>
  <si>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</si>
  <si>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</si>
  <si>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</si>
  <si>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</si>
  <si>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</si>
  <si>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</si>
  <si>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</si>
  <si>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</si>
  <si>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</si>
  <si>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</si>
  <si>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</si>
  <si>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</si>
  <si>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</si>
  <si>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</si>
  <si>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</si>
  <si>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</si>
  <si>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</si>
  <si>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</si>
  <si>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</si>
  <si>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</si>
  <si>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</si>
  <si>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</si>
  <si>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</si>
  <si>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</si>
  <si>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</si>
  <si>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</si>
  <si>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</si>
  <si>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</si>
  <si>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</si>
  <si>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</si>
  <si>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</si>
  <si>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</si>
  <si>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</si>
  <si>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</si>
  <si>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</si>
  <si>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</si>
  <si>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</si>
  <si>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</si>
  <si>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</si>
  <si>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</si>
  <si>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</si>
  <si>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</si>
  <si>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</si>
  <si>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</si>
  <si>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</si>
  <si>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</si>
  <si>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</si>
  <si>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</si>
  <si>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</si>
  <si>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</si>
  <si>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</si>
  <si>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</si>
  <si>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</si>
  <si>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</si>
  <si>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</si>
  <si>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</si>
  <si>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</si>
  <si>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</si>
  <si>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</si>
  <si>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</si>
  <si>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</si>
  <si>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</si>
  <si>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</si>
  <si>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</si>
  <si>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</si>
  <si>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</si>
  <si>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</si>
  <si>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</si>
  <si>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</si>
  <si>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</si>
  <si>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</si>
  <si>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</si>
  <si>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</si>
  <si>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</si>
  <si>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</si>
  <si>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</si>
  <si>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</si>
  <si>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</si>
  <si>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</si>
  <si>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</si>
  <si>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</si>
  <si>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</si>
  <si>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</si>
  <si>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</si>
  <si>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</si>
  <si>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</si>
  <si>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</si>
  <si>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</si>
  <si>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</si>
  <si>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</si>
  <si>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</si>
  <si>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</si>
  <si>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</si>
  <si>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</si>
  <si>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</si>
  <si>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</si>
  <si>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</si>
  <si>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</si>
  <si>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</si>
  <si>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</si>
  <si>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</si>
  <si>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</si>
  <si>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</si>
  <si>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</si>
  <si>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</si>
  <si>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</si>
  <si>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</si>
  <si>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</si>
  <si>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</si>
  <si>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</si>
  <si>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</si>
  <si>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</si>
  <si>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</si>
  <si>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</si>
  <si>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</si>
  <si>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</si>
  <si>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</si>
  <si>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</si>
  <si>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</si>
  <si>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</si>
  <si>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</si>
  <si>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</si>
  <si>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</si>
  <si>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</si>
  <si>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</si>
  <si>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</si>
  <si>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</si>
  <si>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</si>
  <si>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</si>
  <si>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</si>
  <si>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</si>
  <si>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</si>
  <si>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</si>
  <si>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</si>
  <si>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</si>
  <si>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</si>
  <si>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</si>
  <si>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</si>
  <si>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</si>
  <si>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</si>
  <si>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</si>
  <si>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</si>
  <si>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</si>
  <si>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</si>
  <si>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</si>
  <si>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</si>
  <si>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</si>
  <si>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</si>
  <si>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</si>
  <si>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</si>
  <si>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</si>
  <si>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</si>
  <si>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</si>
  <si>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</si>
  <si>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</si>
  <si>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</si>
  <si>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</si>
  <si>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</si>
  <si>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</si>
  <si>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</si>
  <si>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</si>
  <si>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</si>
  <si>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</si>
  <si>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</si>
  <si>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</si>
  <si>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</si>
  <si>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</si>
  <si>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</si>
  <si>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</si>
  <si>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</si>
  <si>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</si>
  <si>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</si>
  <si>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</si>
  <si>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</si>
  <si>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</si>
  <si>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</si>
  <si>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</si>
  <si>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</si>
  <si>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</si>
  <si>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</si>
  <si>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</si>
  <si>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</si>
  <si>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</si>
  <si>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</si>
  <si>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</si>
  <si>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</si>
  <si>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</si>
  <si>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</si>
  <si>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</si>
  <si>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</si>
  <si>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</si>
  <si>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</si>
  <si>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</si>
  <si>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</si>
  <si>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</si>
  <si>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</si>
  <si>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</si>
  <si>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</si>
  <si>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</si>
  <si>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</si>
  <si>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</si>
  <si>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</si>
  <si>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</si>
  <si>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</si>
  <si>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</si>
  <si>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</si>
  <si>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</si>
  <si>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</si>
  <si>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</si>
  <si>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</si>
  <si>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</si>
  <si>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</si>
  <si>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</si>
  <si>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</si>
  <si>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</si>
  <si>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</si>
  <si>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</si>
  <si>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</si>
  <si>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</si>
  <si>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</si>
  <si>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</si>
  <si>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</si>
  <si>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</si>
  <si>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</si>
  <si>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</si>
  <si>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</si>
  <si>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</si>
  <si>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</si>
  <si>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</si>
  <si>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</si>
  <si>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</si>
  <si>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</si>
  <si>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</si>
  <si>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</si>
  <si>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</si>
  <si>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</si>
  <si>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</si>
  <si>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</si>
  <si>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</si>
  <si>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</si>
  <si>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</si>
  <si>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</si>
  <si>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</si>
  <si>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</si>
  <si>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</si>
  <si>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</si>
  <si>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</si>
  <si>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</si>
  <si>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</si>
  <si>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</si>
  <si>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</si>
  <si>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</si>
  <si>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</si>
  <si>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</si>
  <si>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</si>
  <si>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</si>
  <si>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</si>
  <si>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</si>
  <si>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</si>
  <si>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</si>
  <si>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</si>
  <si>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</si>
  <si>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</si>
  <si>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</si>
  <si>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</si>
  <si>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</si>
  <si>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</si>
  <si>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</si>
  <si>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</si>
  <si>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</si>
  <si>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</si>
  <si>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</si>
  <si>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</si>
  <si>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</si>
  <si>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</si>
  <si>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</si>
  <si>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</si>
  <si>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</si>
  <si>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</si>
  <si>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</si>
  <si>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</si>
  <si>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</si>
  <si>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</si>
  <si>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</si>
  <si>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</si>
  <si>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</si>
  <si>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</si>
  <si>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</si>
  <si>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</si>
  <si>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</si>
  <si>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</si>
  <si>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</si>
  <si>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</si>
  <si>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</si>
  <si>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</si>
  <si>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</si>
  <si>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</si>
  <si>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</si>
  <si>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</si>
  <si>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</si>
  <si>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</si>
  <si>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</si>
  <si>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</si>
  <si>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</si>
  <si>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</si>
  <si>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</si>
  <si>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</si>
  <si>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</si>
  <si>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</si>
  <si>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</si>
  <si>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</si>
  <si>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</si>
  <si>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</si>
  <si>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</si>
  <si>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</si>
  <si>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</si>
  <si>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</si>
  <si>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</si>
  <si>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</si>
  <si>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</si>
  <si>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</si>
  <si>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</si>
  <si>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</si>
  <si>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</si>
  <si>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</si>
  <si>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</si>
  <si>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</si>
  <si>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</si>
  <si>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</si>
  <si>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</si>
  <si>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</si>
  <si>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</si>
  <si>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</si>
  <si>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</si>
  <si>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</si>
  <si>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</si>
  <si>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</si>
  <si>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</si>
  <si>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</si>
  <si>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</si>
  <si>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</si>
  <si>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</si>
  <si>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</si>
  <si>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</si>
  <si>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</si>
  <si>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</si>
  <si>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</si>
  <si>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</si>
  <si>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</si>
  <si>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</si>
  <si>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</si>
  <si>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</si>
  <si>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</si>
  <si>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</si>
  <si>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</si>
  <si>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</si>
  <si>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</si>
  <si>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</si>
  <si>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</si>
  <si>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</si>
  <si>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</si>
  <si>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</si>
  <si>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</si>
  <si>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</si>
  <si>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</si>
  <si>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</si>
  <si>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</si>
  <si>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</si>
  <si>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</si>
  <si>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</si>
  <si>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</si>
  <si>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</si>
  <si>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</si>
  <si>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</si>
  <si>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</si>
  <si>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</si>
  <si>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</si>
  <si>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</si>
  <si>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</si>
  <si>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</si>
  <si>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</si>
  <si>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</si>
  <si>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</si>
  <si>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</si>
  <si>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</si>
  <si>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</si>
  <si>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</si>
  <si>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</si>
  <si>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</si>
  <si>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</si>
  <si>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</si>
  <si>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</si>
  <si>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</si>
  <si>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</si>
  <si>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</si>
  <si>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</si>
  <si>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</si>
  <si>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</si>
  <si>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</si>
  <si>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</si>
  <si>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</si>
  <si>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</si>
  <si>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</si>
  <si>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</si>
  <si>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</si>
  <si>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</si>
  <si>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</si>
  <si>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</si>
  <si>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</si>
  <si>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</si>
  <si>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</si>
  <si>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</si>
  <si>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</si>
  <si>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</si>
  <si>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</si>
  <si>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</si>
  <si>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</si>
  <si>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</si>
  <si>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</si>
  <si>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</si>
  <si>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</si>
  <si>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</si>
  <si>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</si>
  <si>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</si>
  <si>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</si>
  <si>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</si>
  <si>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</si>
  <si>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</si>
  <si>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</si>
  <si>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</si>
  <si>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</si>
  <si>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</si>
  <si>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</si>
  <si>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</si>
  <si>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</si>
  <si>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</si>
  <si>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</si>
  <si>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</si>
  <si>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</si>
  <si>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</si>
  <si>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</si>
  <si>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</si>
  <si>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</si>
  <si>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</si>
  <si>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</si>
  <si>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</si>
  <si>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</si>
  <si>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</si>
  <si>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</si>
  <si>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</si>
  <si>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</si>
  <si>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</si>
  <si>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</si>
  <si>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</si>
  <si>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</si>
  <si>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</si>
  <si>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</si>
  <si>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</si>
  <si>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</si>
  <si>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</si>
  <si>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</si>
  <si>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</si>
  <si>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</si>
  <si>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</si>
  <si>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</si>
  <si>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</si>
  <si>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</si>
  <si>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</si>
  <si>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</si>
  <si>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</si>
  <si>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</si>
  <si>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</si>
  <si>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</si>
  <si>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</si>
  <si>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</si>
  <si>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</si>
  <si>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</si>
  <si>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</si>
  <si>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</si>
  <si>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</si>
  <si>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</si>
  <si>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</si>
  <si>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</si>
  <si>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</si>
  <si>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</si>
  <si>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</si>
  <si>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</si>
  <si>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</si>
  <si>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</si>
  <si>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</si>
  <si>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</si>
  <si>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</si>
  <si>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</si>
  <si>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</si>
  <si>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</si>
  <si>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</si>
  <si>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</si>
  <si>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</si>
  <si>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</si>
  <si>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</si>
  <si>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</si>
  <si>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</si>
  <si>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</si>
  <si>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</si>
  <si>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</si>
  <si>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</si>
  <si>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</si>
  <si>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</si>
  <si>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</si>
  <si>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</si>
  <si>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</si>
  <si>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</si>
  <si>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</si>
  <si>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</si>
  <si>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</si>
  <si>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</si>
  <si>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</si>
  <si>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</si>
  <si>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</si>
  <si>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</si>
  <si>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</si>
  <si>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</si>
  <si>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</si>
  <si>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</si>
  <si>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</si>
  <si>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</si>
  <si>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</si>
  <si>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</si>
  <si>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</si>
  <si>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</si>
  <si>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</si>
  <si>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</si>
  <si>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</si>
  <si>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</si>
  <si>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</si>
  <si>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</si>
  <si>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</si>
  <si>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</si>
  <si>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</si>
  <si>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</si>
  <si>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</si>
  <si>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</si>
  <si>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</si>
  <si>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</si>
  <si>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</si>
  <si>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</si>
  <si>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</si>
  <si>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</si>
  <si>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</si>
  <si>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</si>
  <si>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</si>
  <si>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</si>
  <si>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</si>
  <si>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</si>
  <si>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</si>
  <si>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</si>
  <si>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</si>
  <si>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</si>
  <si>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</si>
  <si>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</si>
  <si>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</si>
  <si>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</si>
  <si>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</si>
  <si>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</si>
  <si>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</si>
  <si>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</si>
  <si>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</si>
  <si>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</si>
  <si>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</si>
  <si>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</si>
  <si>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</si>
  <si>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</si>
  <si>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</si>
  <si>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</si>
  <si>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</si>
  <si>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</si>
  <si>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</si>
  <si>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</si>
  <si>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</si>
  <si>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</si>
  <si>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</si>
  <si>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</si>
  <si>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</si>
  <si>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</si>
  <si>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</si>
  <si>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</si>
  <si>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</si>
  <si>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</si>
  <si>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</si>
  <si>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</si>
  <si>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</si>
  <si>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</si>
  <si>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</si>
  <si>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</si>
  <si>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</si>
  <si>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</si>
  <si>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</si>
  <si>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</si>
  <si>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</si>
  <si>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</si>
  <si>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</si>
  <si>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</si>
  <si>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</si>
  <si>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</si>
  <si>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</si>
  <si>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</si>
  <si>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</si>
  <si>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</si>
  <si>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</si>
  <si>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</si>
  <si>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</si>
  <si>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</si>
  <si>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</si>
  <si>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</si>
  <si>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</si>
  <si>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</si>
  <si>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</si>
  <si>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</si>
  <si>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</si>
  <si>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</si>
  <si>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</si>
  <si>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</si>
  <si>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</si>
  <si>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</si>
  <si>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</si>
  <si>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</si>
  <si>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</si>
  <si>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</si>
  <si>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</si>
  <si>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</si>
  <si>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</si>
  <si>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</si>
  <si>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</si>
  <si>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</si>
  <si>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</si>
  <si>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</si>
  <si>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</si>
  <si>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</si>
  <si>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</si>
  <si>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</si>
  <si>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</si>
  <si>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</si>
  <si>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</si>
  <si>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</si>
  <si>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</si>
  <si>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</si>
  <si>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</si>
  <si>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</si>
  <si>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</si>
  <si>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</si>
  <si>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</si>
  <si>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</si>
  <si>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</si>
  <si>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</si>
  <si>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</si>
  <si>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</si>
  <si>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</si>
  <si>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</si>
  <si>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</si>
  <si>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</si>
  <si>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</si>
  <si>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</si>
  <si>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</si>
  <si>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</si>
  <si>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</si>
  <si>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</si>
  <si>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</si>
  <si>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</si>
  <si>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</si>
  <si>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</si>
  <si>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</si>
  <si>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</si>
  <si>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</si>
  <si>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</si>
  <si>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</si>
  <si>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</si>
  <si>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</si>
  <si>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</si>
  <si>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</si>
  <si>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</si>
  <si>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</si>
  <si>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</si>
  <si>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</si>
  <si>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</si>
  <si>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</si>
  <si>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</si>
  <si>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</si>
  <si>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</si>
  <si>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</si>
  <si>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</si>
  <si>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</si>
  <si>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</si>
  <si>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</si>
  <si>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</si>
  <si>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</si>
  <si>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</si>
  <si>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</si>
  <si>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</si>
  <si>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</si>
  <si>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</si>
  <si>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</si>
  <si>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</si>
  <si>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</si>
  <si>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</si>
  <si>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</si>
  <si>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</si>
  <si>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</si>
  <si>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</si>
  <si>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</si>
  <si>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</si>
  <si>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</si>
  <si>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</si>
  <si>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</si>
  <si>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</si>
  <si>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</si>
  <si>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</si>
  <si>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</si>
  <si>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</si>
  <si>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</si>
  <si>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</si>
  <si>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</si>
  <si>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</si>
  <si>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</si>
  <si>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</si>
  <si>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</si>
  <si>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</si>
  <si>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</si>
  <si>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</si>
  <si>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</si>
  <si>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</si>
  <si>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</si>
  <si>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</si>
  <si>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</si>
  <si>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</si>
  <si>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</si>
  <si>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</si>
  <si>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</si>
  <si>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</si>
  <si>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</si>
  <si>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</si>
  <si>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</si>
  <si>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</si>
  <si>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</si>
  <si>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</si>
  <si>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</si>
  <si>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</si>
  <si>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</si>
  <si>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</si>
  <si>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</si>
  <si>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</si>
  <si>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</si>
  <si>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</si>
  <si>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</si>
  <si>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</si>
  <si>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</si>
  <si>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</si>
  <si>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</si>
  <si>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</si>
  <si>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</si>
  <si>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</si>
  <si>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</si>
  <si>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</si>
  <si>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</si>
  <si>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</si>
  <si>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</si>
  <si>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</si>
  <si>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</si>
  <si>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</si>
  <si>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</si>
  <si>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</si>
  <si>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</si>
  <si>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</si>
  <si>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</si>
  <si>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</si>
  <si>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</si>
  <si>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</si>
  <si>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</si>
  <si>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</si>
  <si>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</si>
  <si>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</si>
  <si>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</si>
  <si>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</si>
  <si>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</si>
  <si>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</si>
  <si>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</si>
  <si>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</si>
  <si>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</si>
  <si>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</si>
  <si>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</si>
  <si>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</si>
  <si>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</si>
  <si>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</si>
  <si>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</si>
  <si>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</si>
  <si>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</si>
  <si>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</si>
  <si>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</si>
  <si>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</si>
  <si>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</si>
  <si>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</si>
  <si>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</si>
  <si>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</si>
  <si>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</si>
  <si>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</si>
  <si>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</si>
  <si>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</si>
  <si>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</si>
  <si>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</si>
  <si>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</si>
  <si>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</si>
  <si>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</si>
  <si>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</si>
  <si>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</si>
  <si>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</si>
  <si>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</si>
  <si>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</si>
  <si>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</si>
  <si>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</si>
  <si>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</si>
  <si>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</si>
  <si>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</si>
  <si>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</si>
  <si>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</si>
  <si>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</si>
  <si>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</si>
  <si>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</si>
  <si>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</si>
  <si>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</si>
  <si>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</si>
  <si>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</si>
  <si>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</si>
  <si>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</si>
  <si>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</si>
  <si>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</si>
  <si>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</si>
  <si>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</si>
  <si>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</si>
  <si>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</si>
  <si>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</si>
  <si>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</si>
  <si>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</si>
  <si>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</si>
  <si>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</si>
  <si>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</si>
  <si>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</si>
  <si>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</si>
  <si>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</si>
  <si>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</si>
  <si>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</si>
  <si>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</si>
  <si>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</si>
  <si>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</si>
  <si>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</si>
  <si>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</si>
  <si>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</si>
  <si>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</si>
  <si>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</si>
  <si>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</si>
  <si>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</si>
  <si>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</si>
  <si>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</si>
  <si>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</si>
  <si>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</si>
  <si>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</si>
  <si>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</si>
  <si>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</si>
  <si>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</si>
  <si>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</si>
  <si>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</si>
  <si>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</si>
  <si>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</si>
  <si>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</si>
  <si>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</si>
  <si>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</si>
  <si>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</si>
  <si>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</si>
  <si>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</si>
  <si>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</si>
  <si>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</si>
  <si>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</si>
  <si>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</si>
  <si>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</si>
  <si>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</si>
  <si>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</si>
  <si>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</si>
  <si>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</si>
  <si>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</si>
  <si>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</si>
  <si>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</si>
  <si>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</si>
  <si>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</si>
  <si>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</si>
  <si>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</si>
  <si>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</si>
  <si>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</si>
  <si>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</si>
  <si>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</si>
  <si>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</si>
  <si>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</si>
  <si>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</si>
  <si>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</si>
  <si>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</si>
  <si>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</si>
  <si>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</si>
  <si>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</si>
  <si>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</si>
  <si>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</si>
  <si>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</si>
  <si>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</si>
  <si>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</si>
  <si>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</si>
  <si>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</si>
  <si>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</si>
  <si>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</si>
  <si>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</si>
  <si>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</si>
  <si>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</si>
  <si>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</si>
  <si>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</si>
  <si>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</si>
  <si>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</si>
  <si>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</si>
  <si>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</si>
  <si>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</si>
  <si>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</si>
  <si>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</si>
  <si>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</si>
  <si>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</si>
  <si>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</si>
  <si>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</si>
  <si>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</si>
  <si>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</si>
  <si>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</si>
  <si>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</si>
  <si>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</si>
  <si>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</si>
  <si>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</si>
  <si>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</si>
  <si>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</si>
  <si>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</si>
  <si>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</si>
  <si>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</si>
  <si>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</si>
  <si>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</si>
  <si>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</si>
  <si>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</si>
  <si>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</si>
  <si>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</si>
  <si>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</si>
  <si>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</si>
  <si>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</si>
  <si>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</si>
  <si>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</si>
  <si>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</si>
  <si>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</si>
  <si>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</si>
  <si>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</si>
  <si>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</si>
  <si>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</si>
  <si>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</si>
  <si>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</si>
  <si>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</si>
  <si>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</si>
  <si>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</si>
  <si>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</si>
  <si>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</si>
  <si>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</si>
  <si>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</si>
  <si>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</si>
  <si>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</si>
  <si>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</si>
  <si>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</si>
  <si>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</si>
  <si>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</si>
  <si>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</si>
  <si>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</si>
  <si>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</si>
  <si>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</si>
  <si>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</si>
  <si>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</si>
  <si>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</si>
  <si>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</si>
  <si>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</si>
  <si>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</si>
  <si>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</si>
  <si>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</si>
  <si>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</si>
  <si>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</si>
  <si>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</si>
  <si>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</si>
  <si>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</si>
  <si>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</si>
  <si>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</si>
  <si>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</si>
  <si>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</si>
  <si>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</si>
  <si>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</si>
  <si>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</si>
  <si>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</si>
  <si>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</si>
  <si>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</si>
  <si>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</si>
  <si>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</si>
  <si>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</si>
  <si>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</si>
  <si>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</si>
  <si>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</si>
  <si>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</si>
  <si>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</si>
  <si>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</si>
  <si>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</si>
  <si>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</si>
  <si>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</si>
  <si>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</si>
  <si>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</si>
  <si>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</si>
  <si>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</si>
  <si>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</si>
  <si>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</si>
  <si>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</si>
  <si>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</si>
  <si>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</si>
  <si>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</si>
  <si>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</si>
  <si>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</si>
  <si>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</si>
  <si>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</si>
  <si>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</si>
  <si>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</si>
  <si>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</si>
  <si>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</si>
  <si>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</si>
  <si>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</si>
  <si>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</si>
  <si>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</si>
  <si>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</si>
  <si>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</si>
  <si>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</si>
  <si>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</si>
  <si>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</si>
  <si>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</si>
  <si>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</si>
  <si>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</si>
  <si>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</si>
  <si>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</si>
  <si>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</si>
  <si>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</si>
  <si>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</si>
  <si>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</si>
  <si>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</si>
  <si>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</si>
  <si>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</si>
  <si>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</si>
  <si>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</si>
  <si>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</si>
  <si>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</si>
  <si>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</si>
  <si>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</si>
  <si>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</si>
  <si>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</si>
  <si>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</si>
  <si>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</si>
  <si>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</si>
  <si>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</si>
  <si>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</si>
  <si>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</si>
  <si>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</si>
  <si>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</si>
  <si>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</si>
  <si>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</si>
  <si>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</si>
  <si>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</si>
  <si>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</si>
  <si>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</si>
  <si>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</si>
  <si>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</si>
  <si>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</si>
  <si>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</si>
  <si>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</si>
  <si>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</si>
  <si>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</si>
  <si>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</si>
  <si>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</si>
  <si>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</si>
  <si>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</si>
  <si>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</si>
  <si>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</si>
  <si>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</si>
  <si>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</si>
  <si>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</si>
  <si>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</si>
  <si>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</si>
  <si>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</si>
  <si>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</si>
  <si>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</si>
  <si>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</si>
  <si>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</si>
  <si>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</si>
  <si>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</si>
  <si>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</si>
  <si>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</si>
  <si>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</si>
  <si>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</si>
  <si>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</si>
  <si>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</si>
  <si>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</si>
  <si>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</si>
  <si>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</si>
  <si>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</si>
  <si>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</si>
  <si>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</si>
  <si>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</si>
  <si>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</si>
  <si>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</si>
  <si>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</si>
  <si>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</si>
  <si>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</si>
  <si>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</si>
  <si>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</si>
  <si>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</si>
  <si>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</si>
  <si>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</si>
  <si>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</si>
  <si>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</si>
  <si>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</si>
  <si>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</si>
  <si>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</si>
  <si>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</si>
  <si>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</si>
  <si>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</si>
  <si>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</si>
  <si>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</si>
  <si>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</si>
  <si>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</si>
  <si>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</si>
  <si>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</si>
  <si>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</si>
  <si>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</si>
  <si>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</si>
  <si>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</si>
  <si>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</si>
  <si>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</si>
  <si>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</si>
  <si>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</si>
  <si>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</si>
  <si>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</si>
  <si>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</si>
  <si>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</si>
  <si>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</si>
  <si>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</si>
  <si>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</si>
  <si>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</si>
  <si>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</si>
  <si>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</si>
  <si>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</si>
  <si>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</si>
  <si>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</si>
  <si>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</si>
  <si>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</si>
  <si>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</si>
  <si>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</si>
  <si>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</si>
  <si>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</si>
  <si>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</si>
  <si>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</si>
  <si>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</si>
  <si>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</si>
  <si>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</si>
  <si>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</si>
  <si>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</si>
  <si>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</si>
  <si>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</si>
  <si>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</si>
  <si>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</si>
  <si>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</si>
  <si>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</si>
  <si>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</si>
  <si>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</si>
  <si>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</si>
  <si>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</si>
  <si>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</si>
  <si>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</si>
  <si>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</si>
  <si>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</si>
  <si>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</si>
  <si>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</si>
  <si>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</si>
  <si>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</si>
  <si>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</si>
  <si>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</si>
  <si>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</si>
  <si>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</si>
  <si>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</si>
  <si>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</si>
  <si>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</si>
  <si>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</si>
  <si>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</si>
  <si>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</si>
  <si>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</si>
  <si>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</si>
  <si>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</si>
  <si>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</si>
  <si>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</si>
  <si>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</si>
  <si>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</si>
  <si>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</si>
  <si>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</si>
  <si>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</si>
  <si>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</si>
  <si>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</si>
  <si>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</si>
  <si>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</si>
  <si>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</si>
  <si>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</si>
  <si>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</si>
  <si>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</si>
  <si>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</si>
  <si>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</si>
  <si>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</si>
  <si>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</si>
  <si>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</si>
  <si>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</si>
  <si>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</si>
  <si>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</si>
  <si>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</si>
  <si>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</si>
  <si>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</si>
  <si>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</si>
  <si>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</si>
  <si>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</si>
  <si>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</si>
  <si>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</si>
  <si>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</si>
  <si>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</si>
  <si>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</si>
  <si>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</si>
  <si>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</si>
  <si>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</si>
  <si>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</si>
  <si>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</si>
  <si>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</si>
  <si>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</si>
  <si>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</si>
  <si>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</si>
  <si>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</si>
  <si>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</si>
  <si>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</si>
  <si>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</si>
  <si>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</si>
  <si>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</si>
  <si>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</si>
  <si>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</si>
  <si>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</si>
  <si>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</si>
  <si>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</si>
  <si>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</si>
  <si>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</si>
  <si>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</si>
  <si>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</si>
  <si>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</si>
  <si>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</si>
  <si>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</si>
  <si>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</si>
  <si>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</si>
  <si>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</si>
  <si>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</si>
  <si>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</si>
  <si>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</si>
  <si>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</si>
  <si>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</si>
  <si>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</si>
  <si>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</si>
  <si>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</si>
  <si>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</si>
  <si>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</si>
  <si>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</si>
  <si>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</si>
  <si>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</si>
  <si>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</si>
  <si>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</si>
  <si>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</si>
  <si>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</si>
  <si>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</si>
  <si>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</si>
  <si>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</si>
  <si>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</si>
  <si>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</si>
  <si>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</si>
  <si>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</si>
  <si>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</si>
  <si>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</si>
  <si>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</si>
  <si>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</si>
  <si>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</si>
  <si>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</si>
  <si>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</si>
  <si>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</si>
  <si>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</si>
  <si>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</si>
  <si>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</si>
  <si>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</si>
  <si>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</si>
  <si>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</si>
  <si>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</si>
  <si>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</si>
  <si>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</si>
  <si>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</si>
  <si>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</si>
  <si>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</si>
  <si>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</si>
  <si>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</si>
  <si>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</si>
  <si>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</si>
  <si>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</si>
  <si>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</si>
  <si>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</si>
  <si>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</si>
  <si>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</si>
  <si>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</si>
  <si>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</si>
  <si>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</si>
  <si>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</si>
  <si>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</si>
  <si>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</si>
  <si>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</si>
  <si>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</si>
  <si>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</si>
  <si>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</si>
  <si>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</si>
  <si>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</si>
  <si>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</si>
  <si>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</si>
  <si>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</si>
  <si>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</si>
  <si>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</si>
  <si>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</si>
  <si>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</si>
  <si>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</si>
  <si>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</si>
  <si>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</si>
  <si>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</si>
  <si>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</si>
  <si>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</si>
  <si>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</si>
  <si>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</si>
  <si>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</si>
  <si>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</si>
  <si>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</si>
  <si>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</si>
  <si>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</si>
  <si>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</si>
  <si>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</si>
  <si>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</si>
  <si>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</si>
  <si>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</si>
  <si>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</si>
  <si>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</si>
  <si>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</si>
  <si>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</si>
  <si>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</si>
  <si>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</si>
  <si>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</si>
  <si>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</si>
  <si>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</si>
  <si>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</si>
  <si>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</si>
  <si>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</si>
  <si>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</si>
  <si>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</si>
  <si>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</si>
  <si>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</si>
  <si>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</si>
  <si>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</si>
  <si>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</si>
  <si>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</si>
  <si>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</si>
  <si>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</si>
  <si>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</si>
  <si>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</si>
  <si>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</si>
  <si>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</si>
  <si>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</si>
  <si>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</si>
  <si>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</si>
  <si>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</si>
  <si>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</si>
  <si>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</si>
  <si>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</si>
  <si>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</si>
  <si>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</si>
  <si>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</si>
  <si>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</si>
  <si>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</si>
  <si>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</si>
  <si>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</si>
  <si>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</si>
  <si>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</si>
  <si>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</si>
  <si>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</si>
  <si>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</si>
  <si>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</si>
  <si>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</si>
  <si>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</si>
  <si>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</si>
  <si>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</si>
  <si>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</si>
  <si>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</si>
  <si>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</si>
  <si>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</si>
  <si>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</si>
  <si>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</si>
  <si>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</si>
  <si>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</si>
  <si>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</si>
  <si>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</si>
  <si>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</si>
  <si>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</si>
  <si>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</si>
  <si>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</si>
  <si>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</si>
  <si>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</si>
  <si>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</si>
  <si>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</si>
  <si>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</si>
  <si>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</si>
  <si>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</si>
  <si>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</si>
  <si>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</si>
  <si>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</si>
  <si>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</si>
  <si>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</si>
  <si>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</si>
  <si>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</si>
  <si>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</si>
  <si>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</si>
  <si>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</si>
  <si>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</si>
  <si>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</si>
  <si>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</si>
  <si>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</si>
  <si>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</si>
  <si>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</si>
  <si>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</si>
  <si>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</si>
  <si>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</si>
  <si>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</si>
  <si>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</si>
  <si>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</si>
  <si>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</si>
  <si>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</si>
  <si>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</si>
  <si>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</si>
  <si>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</si>
  <si>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</si>
  <si>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</si>
  <si>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</si>
  <si>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</si>
  <si>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</si>
  <si>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</si>
  <si>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</si>
  <si>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</si>
  <si>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</si>
  <si>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</si>
  <si>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</si>
  <si>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</si>
  <si>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</si>
  <si>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</si>
  <si>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</si>
  <si>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</si>
  <si>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</si>
  <si>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</si>
  <si>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</si>
  <si>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</si>
  <si>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</si>
  <si>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</si>
  <si>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</si>
  <si>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</si>
  <si>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</si>
  <si>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</si>
  <si>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</si>
  <si>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</si>
  <si>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</si>
  <si>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</si>
  <si>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</si>
  <si>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</si>
  <si>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</si>
  <si>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</si>
  <si>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</si>
  <si>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</si>
  <si>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</si>
  <si>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</si>
  <si>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</si>
  <si>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</si>
  <si>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</si>
  <si>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</si>
  <si>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</si>
  <si>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</si>
  <si>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</si>
  <si>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</si>
  <si>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</si>
  <si>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</si>
  <si>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</si>
  <si>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</si>
  <si>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</si>
  <si>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</si>
  <si>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</si>
  <si>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</si>
  <si>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</si>
  <si>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</si>
  <si>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</si>
  <si>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</si>
  <si>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</si>
  <si>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</si>
  <si>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</si>
  <si>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</si>
  <si>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</si>
  <si>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</si>
  <si>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</si>
  <si>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</si>
  <si>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</si>
  <si>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</si>
  <si>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</si>
  <si>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</si>
  <si>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</si>
  <si>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</si>
  <si>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</si>
  <si>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</si>
  <si>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</si>
  <si>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</si>
  <si>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</si>
  <si>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</si>
  <si>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</si>
  <si>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</si>
  <si>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</si>
  <si>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</si>
  <si>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</si>
  <si>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</si>
  <si>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</si>
  <si>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</si>
  <si>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</si>
  <si>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</si>
  <si>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</si>
  <si>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</si>
  <si>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</si>
  <si>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</si>
  <si>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</si>
  <si>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</si>
  <si>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</si>
  <si>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</si>
  <si>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</si>
  <si>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</si>
  <si>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</si>
  <si>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</si>
  <si>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</si>
  <si>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</si>
  <si>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</si>
  <si>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</si>
  <si>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</si>
  <si>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</si>
  <si>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</si>
  <si>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</si>
  <si>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</si>
  <si>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</si>
  <si>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</si>
  <si>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</si>
  <si>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</si>
  <si>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</si>
  <si>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</si>
  <si>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</si>
  <si>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</si>
  <si>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</si>
  <si>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</si>
  <si>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</si>
  <si>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</si>
  <si>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</si>
  <si>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</si>
  <si>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</si>
  <si>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</si>
  <si>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</si>
  <si>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</si>
  <si>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</si>
  <si>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</si>
  <si>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</si>
  <si>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</si>
  <si>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</si>
  <si>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</si>
  <si>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</si>
  <si>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</si>
  <si>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</si>
  <si>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</si>
  <si>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</si>
  <si>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</si>
  <si>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</si>
  <si>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</si>
  <si>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</si>
  <si>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</si>
  <si>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</si>
  <si>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</si>
  <si>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</si>
  <si>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</si>
  <si>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</si>
  <si>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</si>
  <si>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</si>
  <si>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</si>
  <si>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</si>
  <si>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</si>
  <si>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</si>
  <si>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</si>
  <si>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</si>
  <si>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</si>
  <si>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</si>
  <si>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</si>
  <si>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</si>
  <si>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</si>
  <si>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</si>
  <si>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</si>
  <si>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</si>
  <si>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</si>
  <si>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</si>
  <si>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</si>
  <si>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</si>
  <si>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</si>
  <si>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</si>
  <si>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</si>
  <si>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</si>
  <si>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</si>
  <si>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</si>
  <si>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</si>
  <si>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</si>
  <si>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</si>
  <si>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</si>
  <si>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</si>
  <si>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</si>
  <si>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</si>
  <si>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</si>
  <si>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</si>
  <si>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</si>
  <si>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</si>
  <si>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</si>
  <si>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</si>
  <si>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</si>
  <si>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</si>
  <si>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</si>
  <si>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</si>
  <si>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</si>
  <si>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</si>
  <si>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</si>
  <si>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</si>
  <si>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</si>
  <si>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</si>
  <si>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</si>
  <si>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</si>
  <si>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</si>
  <si>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</si>
  <si>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</si>
  <si>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</si>
  <si>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</si>
  <si>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</si>
  <si>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</si>
  <si>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</si>
  <si>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</si>
  <si>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</si>
  <si>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</si>
  <si>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</si>
  <si>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</si>
  <si>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</si>
  <si>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</si>
  <si>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</si>
  <si>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</si>
  <si>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</si>
  <si>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</si>
  <si>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</si>
  <si>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</si>
  <si>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</si>
  <si>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</si>
  <si>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</si>
  <si>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</si>
  <si>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</si>
  <si>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</si>
  <si>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</si>
  <si>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</si>
  <si>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</si>
  <si>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</si>
  <si>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</si>
  <si>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</si>
  <si>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</si>
  <si>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</si>
  <si>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</si>
  <si>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</si>
  <si>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</si>
  <si>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</si>
  <si>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</si>
  <si>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</si>
  <si>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</si>
  <si>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</si>
  <si>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</si>
  <si>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</si>
  <si>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</si>
  <si>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</si>
  <si>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</si>
  <si>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</si>
  <si>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</si>
  <si>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</si>
  <si>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</si>
  <si>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</si>
  <si>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</si>
  <si>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</si>
  <si>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</si>
  <si>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</si>
  <si>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</si>
  <si>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</si>
  <si>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</si>
  <si>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</si>
  <si>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</si>
  <si>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</si>
  <si>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</si>
  <si>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</si>
  <si>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</si>
  <si>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</si>
  <si>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</si>
  <si>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</si>
  <si>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</si>
  <si>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</si>
  <si>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</si>
  <si>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</si>
  <si>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</si>
  <si>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</si>
  <si>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</si>
  <si>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</si>
  <si>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</si>
  <si>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</si>
  <si>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</si>
  <si>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</si>
  <si>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</si>
  <si>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</si>
  <si>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</si>
  <si>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</si>
  <si>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</si>
  <si>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</si>
  <si>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</si>
  <si>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</si>
  <si>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</si>
  <si>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</si>
  <si>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</si>
  <si>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</si>
  <si>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</si>
  <si>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</si>
  <si>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</si>
  <si>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</si>
  <si>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</si>
  <si>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</si>
  <si>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</si>
  <si>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</si>
  <si>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</si>
  <si>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</si>
  <si>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</si>
  <si>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</si>
  <si>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</si>
  <si>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</si>
  <si>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</si>
  <si>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</si>
  <si>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</si>
  <si>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</si>
  <si>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</si>
  <si>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</si>
  <si>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</si>
  <si>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</si>
  <si>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</si>
  <si>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</si>
  <si>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</si>
  <si>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</si>
  <si>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</si>
  <si>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</si>
  <si>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</si>
  <si>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</si>
  <si>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</si>
  <si>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</si>
  <si>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</si>
  <si>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</si>
  <si>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</si>
  <si>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</si>
  <si>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</si>
  <si>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</si>
  <si>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</si>
  <si>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</si>
  <si>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</si>
  <si>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</si>
  <si>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</si>
  <si>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</si>
  <si>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</si>
  <si>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</si>
  <si>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</si>
  <si>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</si>
  <si>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</si>
  <si>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</si>
  <si>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</si>
  <si>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</si>
  <si>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</si>
  <si>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</si>
  <si>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</si>
  <si>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</si>
  <si>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</si>
  <si>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</si>
  <si>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</si>
  <si>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</si>
  <si>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</si>
  <si>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</si>
  <si>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</si>
  <si>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</si>
  <si>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</si>
  <si>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</si>
  <si>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</si>
  <si>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</si>
  <si>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</si>
  <si>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</si>
  <si>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</si>
  <si>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</si>
  <si>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</si>
  <si>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</si>
  <si>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</si>
  <si>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</si>
  <si>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</si>
  <si>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</si>
  <si>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</si>
  <si>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</si>
  <si>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</si>
  <si>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</si>
  <si>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</si>
  <si>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</si>
  <si>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</si>
  <si>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</si>
  <si>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</si>
  <si>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</si>
  <si>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</si>
  <si>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</si>
  <si>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</si>
  <si>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</si>
  <si>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</si>
  <si>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</si>
  <si>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</si>
  <si>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</si>
  <si>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</si>
  <si>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</si>
  <si>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</si>
  <si>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</si>
  <si>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</si>
  <si>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</si>
  <si>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</si>
  <si>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</si>
  <si>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</si>
  <si>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</si>
  <si>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</si>
  <si>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</si>
  <si>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</si>
  <si>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</si>
  <si>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</si>
  <si>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</si>
  <si>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</si>
  <si>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</si>
  <si>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</si>
  <si>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</si>
  <si>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</si>
  <si>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</si>
  <si>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</si>
  <si>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</si>
  <si>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</si>
  <si>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</si>
  <si>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</si>
  <si>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</si>
  <si>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</si>
  <si>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</si>
  <si>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</si>
  <si>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</si>
  <si>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</si>
  <si>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</si>
  <si>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</si>
  <si>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</si>
  <si>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</si>
  <si>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</si>
  <si>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</si>
  <si>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</si>
  <si>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</si>
  <si>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</si>
  <si>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</si>
  <si>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</si>
  <si>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</si>
  <si>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</si>
  <si>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</si>
  <si>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</si>
  <si>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</si>
  <si>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</si>
  <si>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</si>
  <si>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</si>
  <si>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</si>
  <si>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</si>
  <si>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</si>
  <si>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</si>
  <si>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</si>
  <si>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</si>
  <si>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</si>
  <si>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</si>
  <si>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</si>
  <si>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</si>
  <si>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</si>
  <si>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</si>
  <si>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</si>
  <si>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</si>
  <si>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</si>
  <si>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</si>
  <si>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</si>
  <si>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</si>
  <si>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</si>
  <si>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</si>
  <si>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</si>
  <si>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</si>
  <si>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</si>
  <si>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</si>
  <si>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</si>
  <si>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</si>
  <si>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</si>
  <si>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</si>
  <si>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</si>
  <si>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</si>
  <si>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</si>
  <si>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</si>
  <si>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</si>
  <si>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</si>
  <si>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</si>
  <si>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</si>
  <si>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</si>
  <si>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</si>
  <si>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</si>
  <si>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</si>
  <si>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</si>
  <si>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</si>
  <si>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</si>
  <si>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</si>
  <si>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</si>
  <si>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</si>
  <si>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</si>
  <si>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</si>
  <si>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</si>
  <si>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</si>
  <si>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</si>
  <si>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</si>
  <si>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</si>
  <si>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</si>
  <si>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</si>
  <si>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</si>
  <si>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</si>
  <si>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</si>
  <si>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</si>
  <si>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</si>
  <si>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</si>
  <si>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</si>
  <si>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</si>
  <si>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</si>
  <si>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</si>
  <si>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</si>
  <si>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</si>
  <si>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</si>
  <si>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</si>
  <si>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</si>
  <si>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</si>
  <si>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</si>
  <si>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</si>
  <si>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</si>
  <si>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</si>
  <si>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</si>
  <si>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</si>
  <si>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</si>
  <si>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</si>
  <si>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</si>
  <si>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</si>
  <si>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</si>
  <si>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</si>
  <si>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</si>
  <si>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</si>
  <si>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</si>
  <si>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</si>
  <si>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</si>
  <si>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</si>
  <si>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</si>
  <si>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</si>
  <si>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</si>
  <si>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</si>
  <si>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</si>
  <si>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</si>
  <si>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</si>
  <si>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</si>
  <si>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</si>
  <si>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</si>
  <si>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</si>
  <si>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</si>
  <si>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</si>
  <si>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</si>
  <si>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</si>
  <si>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</si>
  <si>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</si>
  <si>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</si>
  <si>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</si>
  <si>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</si>
  <si>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</si>
  <si>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</si>
  <si>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</si>
  <si>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</si>
  <si>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</si>
  <si>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</si>
  <si>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</si>
  <si>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</si>
  <si>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</si>
  <si>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</si>
  <si>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</si>
  <si>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</si>
  <si>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</si>
  <si>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</si>
  <si>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</si>
  <si>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</si>
  <si>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</si>
  <si>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</si>
  <si>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</si>
  <si>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</si>
  <si>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</si>
  <si>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</si>
  <si>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</si>
  <si>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</si>
  <si>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</si>
  <si>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</si>
  <si>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</si>
  <si>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</si>
  <si>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</si>
  <si>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</si>
  <si>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</si>
  <si>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</si>
  <si>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</si>
  <si>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</si>
  <si>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</si>
  <si>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</si>
  <si>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</si>
  <si>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</si>
  <si>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</si>
  <si>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</si>
  <si>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</si>
  <si>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</si>
  <si>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</si>
  <si>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</si>
  <si>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</si>
  <si>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</si>
  <si>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</si>
  <si>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</si>
  <si>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</si>
  <si>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</si>
  <si>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</si>
  <si>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</si>
  <si>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</si>
  <si>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</si>
  <si>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</si>
  <si>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</si>
  <si>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</si>
  <si>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</si>
  <si>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</si>
  <si>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</si>
  <si>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</si>
  <si>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</si>
  <si>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</si>
  <si>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</si>
  <si>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</si>
  <si>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</si>
  <si>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</si>
  <si>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</si>
  <si>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</si>
  <si>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</si>
  <si>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</si>
  <si>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</si>
  <si>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</si>
  <si>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</si>
  <si>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</si>
  <si>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</si>
  <si>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</si>
  <si>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</si>
  <si>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</si>
  <si>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</si>
  <si>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</si>
  <si>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</si>
  <si>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</si>
  <si>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</si>
  <si>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</si>
  <si>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</si>
  <si>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</si>
  <si>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</si>
  <si>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</si>
  <si>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</si>
  <si>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</si>
  <si>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</si>
  <si>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</si>
  <si>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</si>
  <si>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</si>
  <si>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</si>
  <si>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</si>
  <si>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</si>
  <si>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</si>
  <si>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</si>
  <si>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</si>
  <si>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</si>
  <si>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</si>
  <si>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</si>
  <si>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</si>
  <si>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</si>
  <si>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</si>
  <si>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</si>
  <si>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</si>
  <si>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</si>
  <si>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</si>
  <si>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</si>
  <si>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</si>
  <si>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</si>
  <si>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</si>
  <si>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</si>
  <si>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</si>
  <si>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</si>
  <si>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</si>
  <si>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</si>
  <si>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</si>
  <si>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</si>
  <si>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</si>
  <si>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</si>
  <si>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</si>
  <si>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</si>
  <si>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</si>
  <si>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</si>
  <si>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</si>
  <si>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</si>
  <si>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</si>
  <si>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</si>
  <si>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</si>
  <si>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</si>
  <si>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</si>
  <si>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</si>
  <si>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</si>
  <si>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</si>
  <si>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</si>
  <si>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</si>
  <si>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</si>
  <si>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</si>
  <si>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</si>
  <si>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</si>
  <si>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</si>
  <si>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</si>
  <si>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</si>
  <si>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</si>
  <si>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</si>
  <si>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</si>
  <si>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</si>
  <si>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</si>
  <si>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</si>
  <si>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</si>
  <si>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</si>
  <si>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</si>
  <si>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</si>
  <si>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</si>
  <si>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</si>
  <si>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</si>
  <si>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</si>
  <si>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</si>
  <si>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</si>
  <si>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</si>
  <si>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</si>
  <si>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</si>
  <si>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</si>
  <si>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</si>
  <si>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</si>
  <si>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</si>
  <si>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</si>
  <si>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</si>
  <si>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</si>
  <si>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</si>
  <si>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</si>
  <si>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</si>
  <si>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</si>
  <si>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</si>
  <si>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</si>
  <si>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</si>
  <si>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</si>
  <si>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</si>
  <si>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</si>
  <si>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</si>
  <si>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</si>
  <si>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</si>
  <si>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</si>
  <si>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</si>
  <si>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</si>
  <si>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</si>
  <si>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</si>
  <si>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</si>
  <si>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</si>
  <si>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</si>
  <si>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</si>
  <si>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</si>
  <si>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</si>
  <si>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</si>
  <si>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</si>
  <si>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</si>
  <si>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</si>
  <si>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</si>
  <si>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</si>
  <si>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</si>
  <si>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</si>
  <si>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</si>
  <si>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</si>
  <si>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</si>
  <si>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</si>
  <si>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</si>
  <si>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</si>
  <si>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</si>
  <si>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</si>
  <si>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</si>
  <si>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</si>
  <si>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</si>
  <si>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</si>
  <si>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</si>
  <si>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</si>
  <si>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</si>
  <si>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</si>
  <si>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</si>
  <si>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</si>
  <si>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</si>
  <si>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</si>
  <si>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</si>
  <si>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</si>
  <si>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</si>
  <si>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</si>
  <si>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</si>
  <si>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</si>
  <si>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</si>
  <si>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</si>
  <si>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</si>
  <si>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</si>
  <si>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</si>
  <si>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</si>
  <si>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</si>
  <si>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</si>
  <si>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</si>
  <si>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</si>
  <si>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</si>
  <si>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</si>
  <si>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</si>
  <si>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</si>
  <si>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</si>
  <si>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</si>
  <si>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</si>
  <si>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</si>
  <si>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</si>
  <si>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</si>
  <si>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</si>
  <si>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</si>
  <si>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</si>
  <si>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</si>
  <si>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</si>
  <si>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</si>
  <si>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</si>
  <si>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</si>
  <si>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</si>
  <si>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</si>
  <si>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</si>
  <si>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</si>
  <si>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</si>
  <si>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</si>
  <si>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</si>
  <si>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</si>
  <si>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</si>
  <si>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</si>
  <si>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</si>
  <si>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</si>
  <si>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</si>
  <si>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</si>
  <si>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</si>
  <si>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</si>
  <si>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</si>
  <si>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</si>
  <si>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</si>
  <si>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</si>
  <si>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</si>
  <si>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</si>
  <si>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</si>
  <si>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</si>
  <si>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</si>
  <si>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</si>
  <si>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</si>
  <si>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</si>
  <si>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</si>
  <si>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</si>
  <si>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</si>
  <si>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</si>
  <si>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</si>
  <si>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</si>
  <si>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</si>
  <si>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</si>
  <si>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</si>
  <si>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</si>
  <si>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</si>
  <si>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</si>
  <si>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</si>
  <si>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</si>
  <si>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</si>
  <si>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</si>
  <si>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</si>
  <si>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</si>
  <si>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</si>
  <si>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</si>
  <si>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</si>
  <si>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</si>
  <si>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</si>
  <si>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</si>
  <si>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</si>
  <si>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</si>
  <si>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</si>
  <si>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</si>
  <si>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</si>
  <si>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</si>
  <si>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</si>
  <si>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</si>
  <si>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</si>
  <si>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</si>
  <si>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</si>
  <si>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</si>
  <si>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</si>
  <si>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</si>
  <si>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</si>
  <si>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</si>
  <si>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</si>
  <si>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</si>
  <si>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</si>
  <si>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</si>
  <si>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</si>
  <si>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</si>
  <si>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</si>
  <si>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</si>
  <si>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</si>
  <si>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</si>
  <si>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</si>
  <si>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</si>
  <si>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</si>
  <si>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</si>
  <si>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</si>
  <si>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</si>
  <si>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</si>
  <si>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</si>
  <si>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</si>
  <si>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</si>
  <si>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</si>
  <si>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</si>
  <si>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</si>
  <si>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</si>
  <si>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</si>
  <si>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</si>
  <si>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</si>
  <si>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</si>
  <si>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</si>
  <si>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</si>
  <si>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</si>
  <si>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</si>
  <si>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</si>
  <si>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</si>
  <si>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</si>
  <si>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</si>
  <si>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</si>
  <si>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</si>
  <si>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</si>
  <si>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</si>
  <si>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</si>
  <si>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</si>
  <si>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</si>
  <si>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</si>
  <si>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</si>
  <si>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</si>
  <si>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</si>
  <si>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</si>
  <si>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</si>
  <si>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</si>
  <si>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</si>
  <si>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</si>
  <si>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</si>
  <si>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</si>
  <si>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</si>
  <si>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</si>
  <si>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</si>
  <si>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</si>
  <si>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</si>
  <si>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</si>
  <si>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</si>
  <si>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</si>
  <si>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</si>
  <si>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</si>
  <si>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</si>
  <si>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</si>
  <si>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</si>
  <si>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</si>
  <si>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</si>
  <si>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</si>
  <si>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</si>
  <si>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</si>
  <si>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</si>
  <si>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</si>
  <si>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</si>
  <si>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</si>
  <si>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</si>
  <si>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</si>
  <si>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</si>
  <si>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</si>
  <si>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</si>
  <si>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</si>
  <si>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</si>
  <si>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</si>
  <si>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</si>
  <si>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</si>
  <si>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</si>
  <si>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</si>
  <si>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</si>
  <si>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</si>
  <si>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</si>
  <si>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</si>
  <si>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</si>
  <si>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</si>
  <si>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</si>
  <si>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</si>
  <si>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</si>
  <si>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</si>
  <si>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</si>
  <si>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</si>
  <si>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</si>
  <si>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</si>
  <si>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</si>
  <si>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</si>
  <si>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</si>
  <si>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</si>
  <si>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</si>
  <si>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</si>
  <si>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</si>
  <si>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</si>
  <si>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</si>
  <si>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</si>
  <si>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</si>
  <si>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</si>
  <si>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</si>
  <si>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</si>
  <si>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</si>
  <si>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</si>
  <si>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</si>
  <si>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</si>
  <si>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</si>
  <si>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</si>
  <si>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</si>
  <si>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</si>
  <si>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</si>
  <si>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</si>
  <si>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</si>
  <si>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</si>
  <si>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</si>
  <si>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</si>
  <si>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</si>
  <si>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</si>
  <si>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</si>
  <si>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</si>
  <si>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</si>
  <si>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</si>
  <si>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</si>
  <si>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</si>
  <si>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</si>
  <si>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</si>
  <si>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</si>
  <si>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</si>
  <si>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</si>
  <si>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</si>
  <si>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</si>
  <si>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</si>
  <si>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</si>
  <si>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</si>
  <si>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</si>
  <si>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</si>
  <si>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</si>
  <si>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</si>
  <si>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</si>
  <si>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</si>
  <si>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</si>
  <si>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</si>
  <si>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</si>
  <si>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</si>
  <si>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</si>
  <si>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</si>
  <si>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</si>
  <si>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</si>
  <si>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</si>
  <si>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</si>
  <si>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</si>
  <si>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</si>
  <si>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</si>
  <si>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</si>
  <si>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</si>
  <si>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</si>
  <si>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</si>
  <si>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</si>
  <si>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</si>
  <si>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</si>
  <si>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</si>
  <si>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</si>
  <si>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</si>
  <si>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</si>
  <si>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</si>
  <si>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</si>
  <si>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</si>
  <si>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</si>
  <si>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</si>
  <si>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</si>
  <si>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</si>
  <si>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</si>
  <si>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</si>
  <si>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</si>
  <si>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</si>
  <si>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</si>
  <si>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</si>
  <si>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</si>
  <si>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</si>
  <si>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</si>
  <si>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</si>
  <si>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</si>
  <si>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</si>
  <si>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</si>
  <si>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</si>
  <si>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</si>
  <si>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</si>
  <si>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</si>
  <si>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</si>
  <si>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</si>
  <si>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</si>
  <si>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</si>
  <si>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</si>
  <si>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</si>
  <si>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</si>
  <si>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</si>
  <si>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</si>
  <si>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</si>
  <si>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</si>
  <si>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</si>
  <si>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</si>
  <si>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</si>
  <si>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</si>
  <si>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</si>
  <si>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</si>
  <si>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</si>
  <si>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</si>
  <si>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</si>
  <si>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</si>
  <si>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</si>
  <si>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</si>
  <si>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</si>
  <si>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</si>
  <si>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</si>
  <si>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</si>
  <si>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</si>
  <si>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</si>
  <si>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</si>
  <si>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</si>
  <si>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</si>
  <si>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</si>
  <si>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</si>
  <si>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</si>
  <si>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</si>
  <si>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</si>
  <si>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</si>
  <si>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</si>
  <si>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</si>
  <si>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</si>
  <si>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</si>
  <si>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</si>
  <si>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</si>
  <si>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</si>
  <si>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</si>
  <si>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</si>
  <si>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</si>
  <si>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</si>
  <si>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</si>
  <si>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</si>
  <si>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</si>
  <si>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</si>
  <si>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</si>
  <si>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</si>
  <si>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</si>
  <si>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</si>
  <si>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</si>
  <si>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</si>
  <si>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</si>
  <si>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</si>
  <si>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</si>
  <si>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</si>
  <si>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</si>
  <si>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</si>
  <si>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</si>
  <si>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</si>
  <si>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</si>
  <si>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</si>
  <si>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</si>
  <si>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</si>
  <si>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</si>
  <si>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</si>
  <si>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</si>
  <si>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</si>
  <si>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</si>
  <si>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</si>
  <si>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</si>
  <si>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</si>
  <si>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</si>
  <si>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</si>
  <si>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</si>
  <si>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</si>
  <si>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</si>
  <si>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</si>
  <si>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</si>
  <si>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</si>
  <si>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</si>
  <si>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</si>
  <si>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</si>
  <si>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</si>
  <si>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</si>
  <si>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</si>
  <si>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</si>
  <si>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</si>
  <si>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</si>
  <si>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</si>
  <si>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</si>
  <si>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</si>
  <si>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</si>
  <si>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</si>
  <si>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</si>
  <si>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</si>
  <si>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</si>
  <si>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</si>
  <si>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</si>
  <si>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</si>
  <si>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</si>
  <si>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</si>
  <si>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</si>
  <si>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</si>
  <si>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</si>
  <si>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</si>
  <si>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</si>
  <si>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</si>
  <si>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</si>
  <si>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</si>
  <si>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</si>
  <si>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</si>
  <si>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</si>
  <si>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</si>
  <si>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</si>
  <si>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</si>
  <si>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</si>
  <si>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</si>
  <si>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</si>
  <si>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</si>
  <si>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</si>
  <si>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</si>
  <si>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</si>
  <si>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</si>
  <si>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</si>
  <si>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</si>
  <si>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</si>
  <si>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</si>
  <si>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</si>
  <si>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</si>
  <si>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</si>
  <si>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</si>
  <si>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</si>
  <si>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</si>
  <si>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</si>
  <si>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</si>
  <si>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</si>
  <si>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</si>
  <si>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</si>
  <si>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</si>
  <si>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</si>
  <si>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</si>
  <si>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</si>
  <si>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</si>
  <si>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</si>
  <si>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</si>
  <si>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</si>
  <si>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</si>
  <si>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</si>
  <si>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</si>
  <si>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</si>
  <si>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</si>
  <si>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</si>
  <si>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</si>
  <si>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</si>
  <si>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</si>
  <si>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</si>
  <si>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</si>
  <si>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</si>
  <si>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</si>
  <si>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</si>
  <si>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</si>
  <si>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</si>
  <si>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</si>
  <si>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</si>
  <si>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</si>
  <si>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</si>
  <si>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</si>
  <si>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</si>
  <si>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</si>
  <si>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</si>
  <si>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</si>
  <si>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</si>
  <si>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</si>
  <si>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</si>
  <si>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</si>
  <si>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</si>
  <si>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</si>
  <si>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</si>
  <si>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</si>
  <si>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</si>
  <si>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</si>
  <si>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</si>
  <si>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</si>
  <si>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</si>
  <si>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</si>
  <si>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</si>
  <si>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</si>
  <si>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</si>
  <si>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</si>
  <si>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</si>
  <si>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</si>
  <si>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</si>
  <si>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</si>
  <si>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</si>
  <si>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</si>
  <si>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</si>
  <si>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</si>
  <si>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</si>
  <si>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</si>
  <si>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</si>
  <si>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</si>
  <si>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</si>
  <si>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</si>
  <si>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</si>
  <si>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</si>
  <si>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</si>
  <si>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</si>
  <si>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</si>
  <si>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</si>
  <si>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</si>
  <si>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</si>
  <si>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</si>
  <si>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</si>
  <si>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</si>
  <si>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</si>
  <si>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</si>
  <si>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</si>
  <si>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</si>
  <si>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</si>
  <si>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</si>
  <si>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</si>
  <si>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</si>
  <si>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</si>
  <si>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</si>
  <si>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</si>
  <si>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</si>
  <si>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</si>
  <si>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</si>
  <si>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</si>
  <si>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</si>
  <si>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</si>
  <si>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</si>
  <si>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</si>
  <si>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</si>
  <si>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</si>
  <si>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</si>
  <si>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</si>
  <si>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</si>
  <si>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</si>
  <si>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</si>
  <si>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</si>
  <si>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</si>
  <si>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</si>
  <si>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</si>
  <si>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</si>
  <si>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</si>
  <si>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</si>
  <si>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</si>
  <si>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</si>
  <si>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</si>
  <si>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</si>
  <si>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</si>
  <si>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</si>
  <si>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</si>
  <si>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</si>
  <si>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</si>
  <si>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</si>
  <si>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</si>
  <si>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</si>
  <si>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</si>
  <si>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</si>
  <si>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</si>
  <si>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</si>
  <si>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</si>
  <si>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</si>
  <si>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</si>
  <si>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</si>
  <si>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</si>
  <si>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</si>
  <si>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</si>
  <si>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</si>
  <si>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</si>
  <si>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</si>
  <si>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</si>
  <si>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</si>
  <si>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</si>
  <si>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</si>
  <si>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</si>
  <si>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</si>
  <si>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</si>
  <si>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</si>
  <si>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</si>
  <si>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</si>
  <si>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</si>
  <si>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</si>
  <si>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</si>
  <si>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</si>
  <si>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</si>
  <si>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</si>
  <si>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</si>
  <si>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</si>
  <si>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</si>
  <si>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</si>
  <si>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</si>
  <si>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</si>
  <si>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</si>
  <si>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</si>
  <si>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</si>
  <si>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</si>
  <si>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</si>
  <si>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</si>
  <si>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</si>
  <si>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</si>
  <si>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</si>
  <si>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</si>
  <si>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</si>
  <si>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</si>
  <si>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</si>
  <si>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</si>
  <si>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</si>
  <si>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</si>
  <si>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</si>
  <si>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</si>
  <si>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</si>
  <si>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</si>
  <si>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</si>
  <si>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</si>
  <si>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</si>
  <si>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</si>
  <si>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</si>
  <si>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</si>
  <si>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</si>
  <si>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</si>
  <si>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</si>
  <si>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</si>
  <si>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</si>
  <si>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</si>
  <si>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</si>
  <si>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</si>
  <si>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</si>
  <si>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</si>
  <si>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</si>
  <si>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</si>
  <si>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</si>
  <si>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</si>
  <si>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</si>
  <si>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</si>
  <si>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</si>
  <si>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</si>
  <si>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</si>
  <si>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</si>
  <si>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</si>
  <si>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</si>
  <si>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</si>
  <si>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</si>
  <si>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</si>
  <si>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</si>
  <si>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</si>
  <si>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</si>
  <si>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</si>
  <si>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</si>
  <si>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</si>
  <si>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</si>
  <si>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</si>
  <si>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</si>
  <si>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</si>
  <si>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</si>
  <si>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</si>
  <si>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</si>
  <si>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</si>
  <si>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</si>
  <si>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</si>
  <si>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</si>
  <si>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</si>
  <si>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</si>
  <si>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</si>
  <si>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</si>
  <si>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</si>
  <si>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</si>
  <si>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</si>
  <si>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</si>
  <si>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</si>
  <si>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</si>
  <si>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</si>
  <si>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</si>
  <si>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</si>
  <si>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</si>
  <si>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</si>
  <si>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</si>
  <si>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</si>
  <si>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</si>
  <si>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</si>
  <si>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</si>
  <si>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</si>
  <si>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</si>
  <si>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</si>
  <si>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</si>
  <si>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</si>
  <si>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</si>
  <si>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</si>
  <si>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</si>
  <si>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</si>
  <si>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</si>
  <si>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</si>
  <si>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</si>
  <si>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</si>
  <si>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</si>
  <si>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</si>
  <si>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</si>
  <si>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</si>
  <si>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</si>
  <si>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</si>
  <si>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</si>
  <si>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</si>
  <si>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</si>
  <si>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</si>
  <si>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</si>
  <si>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</si>
  <si>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</si>
  <si>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</si>
  <si>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</si>
  <si>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</si>
  <si>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</si>
  <si>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</si>
  <si>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</si>
  <si>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</si>
  <si>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</si>
  <si>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</si>
  <si>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</si>
  <si>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</si>
  <si>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</si>
  <si>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</si>
  <si>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</si>
  <si>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</si>
  <si>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</si>
  <si>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</si>
  <si>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</si>
  <si>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</si>
  <si>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</si>
  <si>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</si>
  <si>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</si>
  <si>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</si>
  <si>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</si>
  <si>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</si>
  <si>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</si>
  <si>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</si>
  <si>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</si>
  <si>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</si>
  <si>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</si>
  <si>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</si>
  <si>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</si>
  <si>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</si>
  <si>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</si>
  <si>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</si>
  <si>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</si>
  <si>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</si>
  <si>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</si>
  <si>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</si>
  <si>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</si>
  <si>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</si>
  <si>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</si>
  <si>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</si>
  <si>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</si>
  <si>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</si>
  <si>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</si>
  <si>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</si>
  <si>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</si>
  <si>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</si>
  <si>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</si>
  <si>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</si>
  <si>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</si>
  <si>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</si>
  <si>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</si>
  <si>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</si>
  <si>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</si>
  <si>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</si>
  <si>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</si>
  <si>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</si>
  <si>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</si>
  <si>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</si>
  <si>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</si>
  <si>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</si>
  <si>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</si>
  <si>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</si>
  <si>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</si>
  <si>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</si>
  <si>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</si>
  <si>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</si>
  <si>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</si>
  <si>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</si>
  <si>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</si>
  <si>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</si>
  <si>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</si>
  <si>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</si>
  <si>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</si>
  <si>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</si>
  <si>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</si>
  <si>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</si>
  <si>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</si>
  <si>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</si>
  <si>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</si>
  <si>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</si>
  <si>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</si>
  <si>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</si>
  <si>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</si>
  <si>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</si>
  <si>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</si>
  <si>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</si>
  <si>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</si>
  <si>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</si>
  <si>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</si>
  <si>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</si>
  <si>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</si>
  <si>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</si>
  <si>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</si>
  <si>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</si>
  <si>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</si>
  <si>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</si>
  <si>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</si>
  <si>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</si>
  <si>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</si>
  <si>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</si>
  <si>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</si>
  <si>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</si>
  <si>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</si>
  <si>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</si>
  <si>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</si>
  <si>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</si>
  <si>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</si>
  <si>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</si>
  <si>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</si>
  <si>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</si>
  <si>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</si>
  <si>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</si>
  <si>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</si>
  <si>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</si>
  <si>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</si>
  <si>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</si>
  <si>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</si>
  <si>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</si>
  <si>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</si>
  <si>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</si>
  <si>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</si>
  <si>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</si>
  <si>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</si>
  <si>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</si>
  <si>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</si>
  <si>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</si>
  <si>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</si>
  <si>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</si>
  <si>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</si>
  <si>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</si>
  <si>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</si>
  <si>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</si>
  <si>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</si>
  <si>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</si>
  <si>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</si>
  <si>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</si>
  <si>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</si>
  <si>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</si>
  <si>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</si>
  <si>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</si>
  <si>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</si>
  <si>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</si>
  <si>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</si>
  <si>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</si>
  <si>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</si>
  <si>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</si>
  <si>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</si>
  <si>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</si>
  <si>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</si>
  <si>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</si>
  <si>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</si>
  <si>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</si>
  <si>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</si>
  <si>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</si>
  <si>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</si>
  <si>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</si>
  <si>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</si>
  <si>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</si>
  <si>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</si>
  <si>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</si>
  <si>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</si>
  <si>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</si>
  <si>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</si>
  <si>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</si>
  <si>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</si>
  <si>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</si>
  <si>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</si>
  <si>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</si>
  <si>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</si>
  <si>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</si>
  <si>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</si>
  <si>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</si>
  <si>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</si>
  <si>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</si>
  <si>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</si>
  <si>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</si>
  <si>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</si>
  <si>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</si>
  <si>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</si>
  <si>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</si>
  <si>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</si>
  <si>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</si>
  <si>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</si>
  <si>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</si>
  <si>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</si>
  <si>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</si>
  <si>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</si>
  <si>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</si>
  <si>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</si>
  <si>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</si>
  <si>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</si>
  <si>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</si>
  <si>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</si>
  <si>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</si>
  <si>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</si>
  <si>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</si>
  <si>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</si>
  <si>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</si>
  <si>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</si>
  <si>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</si>
  <si>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</si>
  <si>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</si>
  <si>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</si>
  <si>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</si>
  <si>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</si>
  <si>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</si>
  <si>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</si>
  <si>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</si>
  <si>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</si>
  <si>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</si>
  <si>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</si>
  <si>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</si>
  <si>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</si>
  <si>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</si>
  <si>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</si>
  <si>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</si>
  <si>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</si>
  <si>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</si>
  <si>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</si>
  <si>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</si>
  <si>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</si>
  <si>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</si>
  <si>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</si>
  <si>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</si>
  <si>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</si>
  <si>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</si>
  <si>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</si>
  <si>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</si>
  <si>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</si>
  <si>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</si>
  <si>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</si>
  <si>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</si>
  <si>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</si>
  <si>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</si>
  <si>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</si>
  <si>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</si>
  <si>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</si>
  <si>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</si>
  <si>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</si>
  <si>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</si>
  <si>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</si>
  <si>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</si>
  <si>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</si>
  <si>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</si>
  <si>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</si>
  <si>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</si>
  <si>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</si>
  <si>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</si>
  <si>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</si>
  <si>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</si>
  <si>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</si>
  <si>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</si>
  <si>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</si>
  <si>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</si>
  <si>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</si>
  <si>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</si>
  <si>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</si>
  <si>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</si>
  <si>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</si>
  <si>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</si>
  <si>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</si>
  <si>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</si>
  <si>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</si>
  <si>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</si>
  <si>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</si>
  <si>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</si>
  <si>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</si>
  <si>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</si>
  <si>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</si>
  <si>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</si>
  <si>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</si>
  <si>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</si>
  <si>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</si>
  <si>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</si>
  <si>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</si>
  <si>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</si>
  <si>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</si>
  <si>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</si>
  <si>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</si>
  <si>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</si>
  <si>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</si>
  <si>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</si>
  <si>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</si>
  <si>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</si>
  <si>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</si>
  <si>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</si>
  <si>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</si>
  <si>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</si>
  <si>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</si>
  <si>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</si>
  <si>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</si>
  <si>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</si>
  <si>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</si>
  <si>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</si>
  <si>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</si>
  <si>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</si>
  <si>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</si>
  <si>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</si>
  <si>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</si>
  <si>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</si>
  <si>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</si>
  <si>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</si>
  <si>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</si>
  <si>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</si>
  <si>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</si>
  <si>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</si>
  <si>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</si>
  <si>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</si>
  <si>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</si>
  <si>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</si>
  <si>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</si>
  <si>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</si>
  <si>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</si>
  <si>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</si>
  <si>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</si>
  <si>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</si>
  <si>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</si>
  <si>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</si>
  <si>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</si>
  <si>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</si>
  <si>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</si>
  <si>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</si>
  <si>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</si>
  <si>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</si>
  <si>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</si>
  <si>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</si>
  <si>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</si>
  <si>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</si>
  <si>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</si>
  <si>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</si>
  <si>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</si>
  <si>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</si>
  <si>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</si>
  <si>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</si>
  <si>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</si>
  <si>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</si>
  <si>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</si>
  <si>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</si>
  <si>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</si>
  <si>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</si>
  <si>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</si>
  <si>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</si>
  <si>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</si>
  <si>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</si>
  <si>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</si>
  <si>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</si>
  <si>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</si>
  <si>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</si>
  <si>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</si>
  <si>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</si>
  <si>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</si>
  <si>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</si>
  <si>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</si>
  <si>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</si>
  <si>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</si>
  <si>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</si>
  <si>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</si>
  <si>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</si>
  <si>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</si>
  <si>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</si>
  <si>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</si>
  <si>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</si>
  <si>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</si>
  <si>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</si>
  <si>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</si>
  <si>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</si>
  <si>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</si>
  <si>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</si>
  <si>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</si>
  <si>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</si>
  <si>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</si>
  <si>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</si>
  <si>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</si>
  <si>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</si>
  <si>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</si>
  <si>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</si>
  <si>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</si>
  <si>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</si>
  <si>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</si>
  <si>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</si>
  <si>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</si>
  <si>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</si>
  <si>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</si>
  <si>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</si>
  <si>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</si>
  <si>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</si>
  <si>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</si>
  <si>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</si>
  <si>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</si>
  <si>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</si>
  <si>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</si>
  <si>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</si>
  <si>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</si>
  <si>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</si>
  <si>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</si>
  <si>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</si>
  <si>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</si>
  <si>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</si>
  <si>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</si>
  <si>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</si>
  <si>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</si>
  <si>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</si>
  <si>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</si>
  <si>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</si>
  <si>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</si>
  <si>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</si>
  <si>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</si>
  <si>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</si>
  <si>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</si>
  <si>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</si>
  <si>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</si>
  <si>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</si>
  <si>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</si>
  <si>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</si>
  <si>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</si>
  <si>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</si>
  <si>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</si>
  <si>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</si>
  <si>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</si>
  <si>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</si>
  <si>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</si>
  <si>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</si>
  <si>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</si>
  <si>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</si>
  <si>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</si>
  <si>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</si>
  <si>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</si>
  <si>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</si>
  <si>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</si>
  <si>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</si>
  <si>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</si>
  <si>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</si>
  <si>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</si>
  <si>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</si>
  <si>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</si>
  <si>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</si>
  <si>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</si>
  <si>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</si>
  <si>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</si>
  <si>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</si>
  <si>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</si>
  <si>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</si>
  <si>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</si>
  <si>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</si>
  <si>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</si>
  <si>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</si>
  <si>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</si>
  <si>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</si>
  <si>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</si>
  <si>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</si>
  <si>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</si>
  <si>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</si>
  <si>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</si>
  <si>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</si>
  <si>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</si>
  <si>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</si>
  <si>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</si>
  <si>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</si>
  <si>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</si>
  <si>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</si>
  <si>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</si>
  <si>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</si>
  <si>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</si>
  <si>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</si>
  <si>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</si>
  <si>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</si>
  <si>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</si>
  <si>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</si>
  <si>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</si>
  <si>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</si>
  <si>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</si>
  <si>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</si>
  <si>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</si>
  <si>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</si>
  <si>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</si>
  <si>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</si>
  <si>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</si>
  <si>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</si>
  <si>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</si>
  <si>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</si>
  <si>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</si>
  <si>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</si>
  <si>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</si>
  <si>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</si>
  <si>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</si>
  <si>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</si>
  <si>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</si>
  <si>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</si>
  <si>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</si>
  <si>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</si>
  <si>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</si>
  <si>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</si>
  <si>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</si>
  <si>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</si>
  <si>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</si>
  <si>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</si>
  <si>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</si>
  <si>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</si>
  <si>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</si>
  <si>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</si>
  <si>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</si>
  <si>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</si>
  <si>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</si>
  <si>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</si>
  <si>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</si>
  <si>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</si>
  <si>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</si>
  <si>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</si>
  <si>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</si>
  <si>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</si>
  <si>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</si>
  <si>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</si>
  <si>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</si>
  <si>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</si>
  <si>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</si>
  <si>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</si>
  <si>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</si>
  <si>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</si>
  <si>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</si>
  <si>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</si>
  <si>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</si>
  <si>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</si>
  <si>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</si>
  <si>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</si>
  <si>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</si>
  <si>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</si>
  <si>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</si>
  <si>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</si>
  <si>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</si>
  <si>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</si>
  <si>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</si>
  <si>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</si>
  <si>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</si>
  <si>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</si>
  <si>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</si>
  <si>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</si>
  <si>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</si>
  <si>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</si>
  <si>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</si>
  <si>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</si>
  <si>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</si>
  <si>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</si>
  <si>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</si>
  <si>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</si>
  <si>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</si>
  <si>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</si>
  <si>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</si>
  <si>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</si>
  <si>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</si>
  <si>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</si>
  <si>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</si>
  <si>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</si>
  <si>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</si>
  <si>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</si>
  <si>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</si>
  <si>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</si>
  <si>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</si>
  <si>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</si>
  <si>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</si>
  <si>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</si>
  <si>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</si>
  <si>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</si>
  <si>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</si>
  <si>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</si>
  <si>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</si>
  <si>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</si>
  <si>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</si>
  <si>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</si>
  <si>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</si>
  <si>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</si>
  <si>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</si>
  <si>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</si>
  <si>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</si>
  <si>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</si>
  <si>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</si>
  <si>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</si>
  <si>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</si>
  <si>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</si>
  <si>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</si>
  <si>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</si>
  <si>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</si>
  <si>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</si>
  <si>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</si>
  <si>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</si>
  <si>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</si>
  <si>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</si>
  <si>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</si>
  <si>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</si>
  <si>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</si>
  <si>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</si>
  <si>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</si>
  <si>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</si>
  <si>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</si>
  <si>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</si>
  <si>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</si>
  <si>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</si>
  <si>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</si>
  <si>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</si>
  <si>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</si>
  <si>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</si>
  <si>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</si>
  <si>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</si>
  <si>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</si>
  <si>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</si>
  <si>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</si>
  <si>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</si>
  <si>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</si>
  <si>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</si>
  <si>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</si>
  <si>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</si>
  <si>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</si>
  <si>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</si>
  <si>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</si>
  <si>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</si>
  <si>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</si>
  <si>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</si>
  <si>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</si>
  <si>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</si>
  <si>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</si>
  <si>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</si>
  <si>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</si>
  <si>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</si>
  <si>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</si>
  <si>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</si>
  <si>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</si>
  <si>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</si>
  <si>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</si>
  <si>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</si>
  <si>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</si>
  <si>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</si>
  <si>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</si>
  <si>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</si>
  <si>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</si>
  <si>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</si>
  <si>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</si>
  <si>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</si>
  <si>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</si>
  <si>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</si>
  <si>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</si>
  <si>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</si>
  <si>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</si>
  <si>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</si>
  <si>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</si>
  <si>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</si>
  <si>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</si>
  <si>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</si>
  <si>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</si>
  <si>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</si>
  <si>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</si>
  <si>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</si>
  <si>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</si>
  <si>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</si>
  <si>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</si>
  <si>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</si>
  <si>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</si>
  <si>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</si>
  <si>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</si>
  <si>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</si>
  <si>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</si>
  <si>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</si>
  <si>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</si>
  <si>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</si>
  <si>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</si>
  <si>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</si>
  <si>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</si>
  <si>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</si>
  <si>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</si>
  <si>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</si>
  <si>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</si>
  <si>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</si>
  <si>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</si>
  <si>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</si>
  <si>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</si>
  <si>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</si>
  <si>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</si>
  <si>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</si>
  <si>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</si>
  <si>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</si>
  <si>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</si>
  <si>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</si>
  <si>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</si>
  <si>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</si>
  <si>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</si>
  <si>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</si>
  <si>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</si>
  <si>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</si>
  <si>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</si>
  <si>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</si>
  <si>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</si>
  <si>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</si>
  <si>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</si>
  <si>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</si>
  <si>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</si>
  <si>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</si>
  <si>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</si>
  <si>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</si>
  <si>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</si>
  <si>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</si>
  <si>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</si>
  <si>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</si>
  <si>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</si>
  <si>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</si>
  <si>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</si>
  <si>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</si>
  <si>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</si>
  <si>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</si>
  <si>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</si>
  <si>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</si>
  <si>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</si>
  <si>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</si>
  <si>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</si>
  <si>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</si>
  <si>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</si>
  <si>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</si>
  <si>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</si>
  <si>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</si>
  <si>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</si>
  <si>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</si>
  <si>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</si>
  <si>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</si>
  <si>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</si>
  <si>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</si>
  <si>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</si>
  <si>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</si>
  <si>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</si>
  <si>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</si>
  <si>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</si>
  <si>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</si>
  <si>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</si>
  <si>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</si>
  <si>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</si>
  <si>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</si>
  <si>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</si>
  <si>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</si>
  <si>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</si>
  <si>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</si>
  <si>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</si>
  <si>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</si>
  <si>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</si>
  <si>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</si>
  <si>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</si>
  <si>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</si>
  <si>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</si>
  <si>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</si>
  <si>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</si>
  <si>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</si>
  <si>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</si>
  <si>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</si>
  <si>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</si>
  <si>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</si>
  <si>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</si>
  <si>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</si>
  <si>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</si>
  <si>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</si>
  <si>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</si>
  <si>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</si>
  <si>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</si>
  <si>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</si>
  <si>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</si>
  <si>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</si>
  <si>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</si>
  <si>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</si>
  <si>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</si>
  <si>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</si>
  <si>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</si>
  <si>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</si>
  <si>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</si>
  <si>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</si>
  <si>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</si>
  <si>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</si>
  <si>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</si>
  <si>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</si>
  <si>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</si>
  <si>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</si>
  <si>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</si>
  <si>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</si>
  <si>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</si>
  <si>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</si>
  <si>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</si>
  <si>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</si>
  <si>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</si>
  <si>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</si>
  <si>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</si>
  <si>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</si>
  <si>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</si>
  <si>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</si>
  <si>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</si>
  <si>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</si>
  <si>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</si>
  <si>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</si>
  <si>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</si>
  <si>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</si>
  <si>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</si>
  <si>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</si>
  <si>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</si>
  <si>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</si>
  <si>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</si>
  <si>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</si>
  <si>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</si>
  <si>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</si>
  <si>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</si>
  <si>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</si>
  <si>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</si>
  <si>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</si>
  <si>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</si>
  <si>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</si>
  <si>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</si>
  <si>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</si>
  <si>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</si>
  <si>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</si>
  <si>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</si>
  <si>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</si>
  <si>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</si>
  <si>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</si>
  <si>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</si>
  <si>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</si>
  <si>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</si>
  <si>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</si>
  <si>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</si>
  <si>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</si>
  <si>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</si>
  <si>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</si>
  <si>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</si>
  <si>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</si>
  <si>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</si>
  <si>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</si>
  <si>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</si>
  <si>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</si>
  <si>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</si>
  <si>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</si>
  <si>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</si>
  <si>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</si>
  <si>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</si>
  <si>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</si>
  <si>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</si>
  <si>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</si>
  <si>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</si>
  <si>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</si>
  <si>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</si>
  <si>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</si>
  <si>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</si>
  <si>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</si>
  <si>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</si>
  <si>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</si>
  <si>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</si>
  <si>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</si>
  <si>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</si>
  <si>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</si>
  <si>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</si>
  <si>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</si>
  <si>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</si>
  <si>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</si>
  <si>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</si>
  <si>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</si>
  <si>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</si>
  <si>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</si>
  <si>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</si>
  <si>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</si>
  <si>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</si>
  <si>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</si>
  <si>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</si>
  <si>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</si>
  <si>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</si>
  <si>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</si>
  <si>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</si>
  <si>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</si>
  <si>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</si>
  <si>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</si>
  <si>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</si>
  <si>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</si>
  <si>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</si>
  <si>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</si>
  <si>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</si>
  <si>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</si>
  <si>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</si>
  <si>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</si>
  <si>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</si>
  <si>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</si>
  <si>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</si>
  <si>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</si>
  <si>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</si>
  <si>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</si>
  <si>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</si>
  <si>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</si>
  <si>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</si>
  <si>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</si>
  <si>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</si>
  <si>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</si>
  <si>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</si>
  <si>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</si>
  <si>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</si>
  <si>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</si>
  <si>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</si>
  <si>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</si>
  <si>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</si>
  <si>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</si>
  <si>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</si>
  <si>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</si>
  <si>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</si>
  <si>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</si>
  <si>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</si>
  <si>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</si>
  <si>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</si>
  <si>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</si>
  <si>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</si>
  <si>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</si>
  <si>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</si>
  <si>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</si>
  <si>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</si>
  <si>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</si>
  <si>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</si>
  <si>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</si>
  <si>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</si>
  <si>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</si>
  <si>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</si>
  <si>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</si>
  <si>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</si>
  <si>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</si>
  <si>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</si>
  <si>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</si>
  <si>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</si>
  <si>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</si>
  <si>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</si>
  <si>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</si>
  <si>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</si>
  <si>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</si>
  <si>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</si>
  <si>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</si>
  <si>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</si>
  <si>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</si>
  <si>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</si>
  <si>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</si>
  <si>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</si>
  <si>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</si>
  <si>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</si>
  <si>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</si>
  <si>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</si>
  <si>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</si>
  <si>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</si>
  <si>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</si>
  <si>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</si>
  <si>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</si>
  <si>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</si>
  <si>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</si>
  <si>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</si>
  <si>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</si>
  <si>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</si>
  <si>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</si>
  <si>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</si>
  <si>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</si>
  <si>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</si>
  <si>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</si>
  <si>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</si>
  <si>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</si>
  <si>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</si>
  <si>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</si>
  <si>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</si>
  <si>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</si>
  <si>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</si>
  <si>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</si>
  <si>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</si>
  <si>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</si>
  <si>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</si>
  <si>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</si>
  <si>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</si>
  <si>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</si>
  <si>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</si>
  <si>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</si>
  <si>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</si>
  <si>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</si>
  <si>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</si>
  <si>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</si>
  <si>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</si>
  <si>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</si>
  <si>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</si>
  <si>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</si>
  <si>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</si>
  <si>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</si>
  <si>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</si>
  <si>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</si>
  <si>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</si>
  <si>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</si>
  <si>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</si>
  <si>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</si>
  <si>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</si>
  <si>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</si>
  <si>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</si>
  <si>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</si>
  <si>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</si>
  <si>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</si>
  <si>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</si>
  <si>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</si>
  <si>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</si>
  <si>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</si>
  <si>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</si>
  <si>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</si>
  <si>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</si>
  <si>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</si>
  <si>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</si>
  <si>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</si>
  <si>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</si>
  <si>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</si>
  <si>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</si>
  <si>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</si>
  <si>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</si>
  <si>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</si>
  <si>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</si>
  <si>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</si>
  <si>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</si>
  <si>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</si>
  <si>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</si>
  <si>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</si>
  <si>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</si>
  <si>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</si>
  <si>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</si>
  <si>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</si>
  <si>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</si>
  <si>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</si>
  <si>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</si>
  <si>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</si>
  <si>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</si>
  <si>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</si>
  <si>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</si>
  <si>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</si>
  <si>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</si>
  <si>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</si>
  <si>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</si>
  <si>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</si>
  <si>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</si>
  <si>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</si>
  <si>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</si>
  <si>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</si>
  <si>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</si>
  <si>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</si>
  <si>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</si>
  <si>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</si>
  <si>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</si>
  <si>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</si>
  <si>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</si>
  <si>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</si>
  <si>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</si>
  <si>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</si>
  <si>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</si>
  <si>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</si>
  <si>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</si>
  <si>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</si>
  <si>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</si>
  <si>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</si>
  <si>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</si>
  <si>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</si>
  <si>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</si>
  <si>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</si>
  <si>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</si>
  <si>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</si>
  <si>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</si>
  <si>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</si>
  <si>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</si>
  <si>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</si>
  <si>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</si>
  <si>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</si>
  <si>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</si>
  <si>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</si>
  <si>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</si>
  <si>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</si>
  <si>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</si>
  <si>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</si>
  <si>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</si>
  <si>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</si>
  <si>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</si>
  <si>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</si>
  <si>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</si>
  <si>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</si>
  <si>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</si>
  <si>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</si>
  <si>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</si>
  <si>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</si>
  <si>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</si>
  <si>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</si>
  <si>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</si>
  <si>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</si>
  <si>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</si>
  <si>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</si>
  <si>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</si>
  <si>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</si>
  <si>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</si>
  <si>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</si>
  <si>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</si>
  <si>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</si>
  <si>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</si>
  <si>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</si>
  <si>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</si>
  <si>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</si>
  <si>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</si>
  <si>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</si>
  <si>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</si>
  <si>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</si>
  <si>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</si>
  <si>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</si>
  <si>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</si>
  <si>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</si>
  <si>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</si>
  <si>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</si>
  <si>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</si>
  <si>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</si>
  <si>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</si>
  <si>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</si>
  <si>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</si>
  <si>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</si>
  <si>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</si>
  <si>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</si>
  <si>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</si>
  <si>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</si>
  <si>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</si>
  <si>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</si>
  <si>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</si>
  <si>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</si>
  <si>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</si>
  <si>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</si>
  <si>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</si>
  <si>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</si>
  <si>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</si>
  <si>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</si>
  <si>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</si>
  <si>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</si>
  <si>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</si>
  <si>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</si>
  <si>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</si>
  <si>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</si>
  <si>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</si>
  <si>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</si>
  <si>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</si>
  <si>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</si>
  <si>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</si>
  <si>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</si>
  <si>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</si>
  <si>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</si>
  <si>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</si>
  <si>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</si>
  <si>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</si>
  <si>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</si>
  <si>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</si>
  <si>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</si>
  <si>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</si>
  <si>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</si>
  <si>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</si>
  <si>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</si>
  <si>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</si>
  <si>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</si>
  <si>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</si>
  <si>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</si>
  <si>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</si>
  <si>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</si>
  <si>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</si>
  <si>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</si>
  <si>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</si>
  <si>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</si>
  <si>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</si>
  <si>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</si>
  <si>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</si>
  <si>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</si>
  <si>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</si>
  <si>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</si>
  <si>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</si>
  <si>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</si>
  <si>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</si>
  <si>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</si>
  <si>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</si>
  <si>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</si>
  <si>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</si>
  <si>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</si>
  <si>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</si>
  <si>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</si>
  <si>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</si>
  <si>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</si>
  <si>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</si>
  <si>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</si>
  <si>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</si>
  <si>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</si>
  <si>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</si>
  <si>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</si>
  <si>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</si>
  <si>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</si>
  <si>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</si>
  <si>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</si>
  <si>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</si>
  <si>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</si>
  <si>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</si>
  <si>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</si>
  <si>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</si>
  <si>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</si>
  <si>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</si>
  <si>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</si>
  <si>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</si>
  <si>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</si>
  <si>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</si>
  <si>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</si>
  <si>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</si>
  <si>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</si>
  <si>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</si>
  <si>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</si>
  <si>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</si>
  <si>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</si>
  <si>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</si>
  <si>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</si>
  <si>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</si>
  <si>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</si>
  <si>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</si>
  <si>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</si>
  <si>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</si>
  <si>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</si>
  <si>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</si>
  <si>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</si>
  <si>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</si>
  <si>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</si>
  <si>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</si>
  <si>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</si>
  <si>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</si>
  <si>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</si>
  <si>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</si>
  <si>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</si>
  <si>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</si>
  <si>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</si>
  <si>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</si>
  <si>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</si>
  <si>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</si>
  <si>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</si>
  <si>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</si>
  <si>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</si>
  <si>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</si>
  <si>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</si>
  <si>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</si>
  <si>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</si>
  <si>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</si>
  <si>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</si>
  <si>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</si>
  <si>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</si>
  <si>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</si>
  <si>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</si>
  <si>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</si>
  <si>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</si>
  <si>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</si>
  <si>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</si>
  <si>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</si>
  <si>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</si>
  <si>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</si>
  <si>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</si>
  <si>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</si>
  <si>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</si>
  <si>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</si>
  <si>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</si>
  <si>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</si>
  <si>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</si>
  <si>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</si>
  <si>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</si>
  <si>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</si>
  <si>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</si>
  <si>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</si>
  <si>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</si>
  <si>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</si>
  <si>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</si>
  <si>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</si>
  <si>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</si>
  <si>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</si>
  <si>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</si>
  <si>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</si>
  <si>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</si>
  <si>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</si>
  <si>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</si>
  <si>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</si>
  <si>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</si>
  <si>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</si>
  <si>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</si>
  <si>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</si>
  <si>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</si>
  <si>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</si>
  <si>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</si>
  <si>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</si>
  <si>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</si>
  <si>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</si>
  <si>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</si>
  <si>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</si>
  <si>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</si>
  <si>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</si>
  <si>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</si>
  <si>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</si>
  <si>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</si>
  <si>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</si>
  <si>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</si>
  <si>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</si>
  <si>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</si>
  <si>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</si>
  <si>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</si>
  <si>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</si>
  <si>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</si>
  <si>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</si>
  <si>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</si>
  <si>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</si>
  <si>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</si>
  <si>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</si>
  <si>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</si>
  <si>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</si>
  <si>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</si>
  <si>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</si>
  <si>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</si>
  <si>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</si>
  <si>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</si>
  <si>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</si>
  <si>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</si>
  <si>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</si>
  <si>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</si>
  <si>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</si>
  <si>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</si>
  <si>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</si>
  <si>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</si>
  <si>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</si>
  <si>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</si>
  <si>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</si>
  <si>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</si>
  <si>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</si>
  <si>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</si>
  <si>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</si>
  <si>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</si>
  <si>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</si>
  <si>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</si>
  <si>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</si>
  <si>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</si>
  <si>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</si>
  <si>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</si>
  <si>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</si>
  <si>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</si>
  <si>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</si>
  <si>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</si>
  <si>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</si>
  <si>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</si>
  <si>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</si>
  <si>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</si>
  <si>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</si>
  <si>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</si>
  <si>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</si>
  <si>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</si>
  <si>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</si>
  <si>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</si>
  <si>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</si>
  <si>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</si>
  <si>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</si>
  <si>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</si>
  <si>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</si>
  <si>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</si>
  <si>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</si>
  <si>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</si>
  <si>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</si>
  <si>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</si>
  <si>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</si>
  <si>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</si>
  <si>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</si>
  <si>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</si>
  <si>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</si>
  <si>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</si>
  <si>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</si>
  <si>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</si>
  <si>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</si>
  <si>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</si>
  <si>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</si>
  <si>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</si>
  <si>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</si>
  <si>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</si>
  <si>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</si>
  <si>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</si>
  <si>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</si>
  <si>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</si>
  <si>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</si>
  <si>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</si>
  <si>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</si>
  <si>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</si>
  <si>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</si>
  <si>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</si>
  <si>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</si>
  <si>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</si>
  <si>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</si>
  <si>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</si>
  <si>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</si>
  <si>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</si>
  <si>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</si>
  <si>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</si>
  <si>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</si>
  <si>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</si>
  <si>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</si>
  <si>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</si>
  <si>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</si>
  <si>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</si>
  <si>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</si>
  <si>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</si>
  <si>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</si>
  <si>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</si>
  <si>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</si>
  <si>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</si>
  <si>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</si>
  <si>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</si>
  <si>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</si>
  <si>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</si>
  <si>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</si>
  <si>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</si>
  <si>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</si>
  <si>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</si>
  <si>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</si>
  <si>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</si>
  <si>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</si>
  <si>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</si>
  <si>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</si>
  <si>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</si>
  <si>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</si>
  <si>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</si>
  <si>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</si>
  <si>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</si>
  <si>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</si>
  <si>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</si>
  <si>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</si>
  <si>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</si>
  <si>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</si>
  <si>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</si>
  <si>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</si>
  <si>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</si>
  <si>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</si>
  <si>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</si>
  <si>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</si>
  <si>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</si>
  <si>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</si>
  <si>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</si>
  <si>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</si>
  <si>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</si>
  <si>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</si>
  <si>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</si>
  <si>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</si>
  <si>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</si>
  <si>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</si>
  <si>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</si>
  <si>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</si>
  <si>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</si>
  <si>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</si>
  <si>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</si>
  <si>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</si>
  <si>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</si>
  <si>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</si>
  <si>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</si>
  <si>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</si>
  <si>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</si>
  <si>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</si>
  <si>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</si>
  <si>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</si>
  <si>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</si>
  <si>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</si>
  <si>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</si>
  <si>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</si>
  <si>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</si>
  <si>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</si>
  <si>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</si>
  <si>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</si>
  <si>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</si>
  <si>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</si>
  <si>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</si>
  <si>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</si>
  <si>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</si>
  <si>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</si>
  <si>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</si>
  <si>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</si>
  <si>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</si>
  <si>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</si>
  <si>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</si>
  <si>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</si>
  <si>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</si>
  <si>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</si>
  <si>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</si>
  <si>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</si>
  <si>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</si>
  <si>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</si>
  <si>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</si>
  <si>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</si>
  <si>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</si>
  <si>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</si>
  <si>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</si>
  <si>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</si>
  <si>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</si>
  <si>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</si>
  <si>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</si>
  <si>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</si>
  <si>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</si>
  <si>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</si>
  <si>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</si>
  <si>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</si>
  <si>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</si>
  <si>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</si>
  <si>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</si>
  <si>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</si>
  <si>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</si>
  <si>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</si>
  <si>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</si>
  <si>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</si>
  <si>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</si>
  <si>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</si>
  <si>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</si>
  <si>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</si>
  <si>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</si>
  <si>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</si>
  <si>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</si>
  <si>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</si>
  <si>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</si>
  <si>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</si>
  <si>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</si>
  <si>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</si>
  <si>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</si>
  <si>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</si>
  <si>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</si>
  <si>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</si>
  <si>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</si>
  <si>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</si>
  <si>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</si>
  <si>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</si>
  <si>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</si>
  <si>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</si>
  <si>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</si>
  <si>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</si>
  <si>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</si>
  <si>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</si>
  <si>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</si>
  <si>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</si>
  <si>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</si>
  <si>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</si>
  <si>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</si>
  <si>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</si>
  <si>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</si>
  <si>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</si>
  <si>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</si>
  <si>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</si>
  <si>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</si>
  <si>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</si>
  <si>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</si>
  <si>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</si>
  <si>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</si>
  <si>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</si>
  <si>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</si>
  <si>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</si>
  <si>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</si>
  <si>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</si>
  <si>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</si>
  <si>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</si>
  <si>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</si>
  <si>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</si>
  <si>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</si>
  <si>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</si>
  <si>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</si>
  <si>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</si>
  <si>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</si>
  <si>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</si>
  <si>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</si>
  <si>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</si>
  <si>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</si>
  <si>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</si>
  <si>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</si>
  <si>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</si>
  <si>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</si>
  <si>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</si>
  <si>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</si>
  <si>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</si>
  <si>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</si>
  <si>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</si>
  <si>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</si>
  <si>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</si>
  <si>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</si>
  <si>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</si>
  <si>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</si>
  <si>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</si>
  <si>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</si>
  <si>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</si>
  <si>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</si>
  <si>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</si>
  <si>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</si>
  <si>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</si>
  <si>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</si>
  <si>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</si>
  <si>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</si>
  <si>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</si>
  <si>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</si>
  <si>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</si>
  <si>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</si>
  <si>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</si>
  <si>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</si>
  <si>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</si>
  <si>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</si>
  <si>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</si>
  <si>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</si>
  <si>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</si>
  <si>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</si>
  <si>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</si>
  <si>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</si>
  <si>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</si>
  <si>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</si>
  <si>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</si>
  <si>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</si>
  <si>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</si>
  <si>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</si>
  <si>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</si>
  <si>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</si>
  <si>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</si>
  <si>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</si>
  <si>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</si>
  <si>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</si>
  <si>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</si>
  <si>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</si>
  <si>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</si>
  <si>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</si>
  <si>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</si>
  <si>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</si>
  <si>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</si>
  <si>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</si>
  <si>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</si>
  <si>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</si>
  <si>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</si>
  <si>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</si>
  <si>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</si>
  <si>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</si>
  <si>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</si>
  <si>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</si>
  <si>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</si>
  <si>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</si>
  <si>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</si>
  <si>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</si>
  <si>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</si>
  <si>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</si>
  <si>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</si>
  <si>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</si>
  <si>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</si>
  <si>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</si>
  <si>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</si>
  <si>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</si>
  <si>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</si>
  <si>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</si>
  <si>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</si>
  <si>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</si>
  <si>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</si>
  <si>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</si>
  <si>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</si>
  <si>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</si>
  <si>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</si>
  <si>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</si>
  <si>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</si>
  <si>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</si>
  <si>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</si>
  <si>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</si>
  <si>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</si>
  <si>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</si>
  <si>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</si>
  <si>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</si>
  <si>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</si>
  <si>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</si>
  <si>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</si>
  <si>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</si>
  <si>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</si>
  <si>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</si>
  <si>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</si>
  <si>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</si>
  <si>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</si>
  <si>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</si>
  <si>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</si>
  <si>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</si>
  <si>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</si>
  <si>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</si>
  <si>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</si>
  <si>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</si>
  <si>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</si>
  <si>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</si>
  <si>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</si>
  <si>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</si>
  <si>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</si>
  <si>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</si>
  <si>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</si>
  <si>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</si>
  <si>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</si>
  <si>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</si>
  <si>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</si>
  <si>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</si>
  <si>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</si>
  <si>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</si>
  <si>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</si>
  <si>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</si>
  <si>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</si>
  <si>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</si>
  <si>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</si>
  <si>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</si>
  <si>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</si>
  <si>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</si>
  <si>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</si>
  <si>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</si>
  <si>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</si>
  <si>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</si>
  <si>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</si>
  <si>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</si>
  <si>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</si>
  <si>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</si>
  <si>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</si>
  <si>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</si>
  <si>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</si>
  <si>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</si>
  <si>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</si>
  <si>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</si>
  <si>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</si>
  <si>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</si>
  <si>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</si>
  <si>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</si>
  <si>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</si>
  <si>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</si>
  <si>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</si>
  <si>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</si>
  <si>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</si>
  <si>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</si>
  <si>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</si>
  <si>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</si>
  <si>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</si>
  <si>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</si>
  <si>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</si>
  <si>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</si>
  <si>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</si>
  <si>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</si>
  <si>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</si>
  <si>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</si>
  <si>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</si>
  <si>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</si>
  <si>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</si>
  <si>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</si>
  <si>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</si>
  <si>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</si>
  <si>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</si>
  <si>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</si>
  <si>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</si>
  <si>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</si>
  <si>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</si>
  <si>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</si>
  <si>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</si>
  <si>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</si>
  <si>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</si>
  <si>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</si>
  <si>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</si>
  <si>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</si>
  <si>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</si>
  <si>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</si>
  <si>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</si>
  <si>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</si>
  <si>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</si>
  <si>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</si>
  <si>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</si>
  <si>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</si>
  <si>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</si>
  <si>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</si>
  <si>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</si>
  <si>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</si>
  <si>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</si>
  <si>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</si>
  <si>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</si>
  <si>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</si>
  <si>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</si>
  <si>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</si>
  <si>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</si>
  <si>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</si>
  <si>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</si>
  <si>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</si>
  <si>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</si>
  <si>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</si>
  <si>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</si>
  <si>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</si>
  <si>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</si>
  <si>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</si>
  <si>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</si>
  <si>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</si>
  <si>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</si>
  <si>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</si>
  <si>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</si>
  <si>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</si>
  <si>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</si>
  <si>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</si>
  <si>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</si>
  <si>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</si>
  <si>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</si>
  <si>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</si>
  <si>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</si>
  <si>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</si>
  <si>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</si>
  <si>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</si>
  <si>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</si>
  <si>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</si>
  <si>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</si>
  <si>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</si>
  <si>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</si>
  <si>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</si>
  <si>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</si>
  <si>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</si>
  <si>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</si>
  <si>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</si>
  <si>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</si>
  <si>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</si>
  <si>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</si>
  <si>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</si>
  <si>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</si>
  <si>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</si>
  <si>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</si>
  <si>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</si>
  <si>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</si>
  <si>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</si>
  <si>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</si>
  <si>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</si>
  <si>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</si>
  <si>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</si>
  <si>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</si>
  <si>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</si>
  <si>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</si>
  <si>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</si>
  <si>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</si>
  <si>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</si>
  <si>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</si>
  <si>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</si>
  <si>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</si>
  <si>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</si>
  <si>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</si>
  <si>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</si>
  <si>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</si>
  <si>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</si>
  <si>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</si>
  <si>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</si>
  <si>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</si>
  <si>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</si>
  <si>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</si>
  <si>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</si>
  <si>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</si>
  <si>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</si>
  <si>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</si>
  <si>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</si>
  <si>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</si>
  <si>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</si>
  <si>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</si>
  <si>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</si>
  <si>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</si>
  <si>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</si>
  <si>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</si>
  <si>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</si>
  <si>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</si>
  <si>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</si>
  <si>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</si>
  <si>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</si>
  <si>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</si>
  <si>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</si>
  <si>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</si>
  <si>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</si>
  <si>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</si>
  <si>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</si>
  <si>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</si>
  <si>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</si>
  <si>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</si>
  <si>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</si>
  <si>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</si>
  <si>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</si>
  <si>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</si>
  <si>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</si>
  <si>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</si>
  <si>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</si>
  <si>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</si>
  <si>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</si>
  <si>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</si>
  <si>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</si>
  <si>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</si>
  <si>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</si>
  <si>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</si>
  <si>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</si>
  <si>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</si>
  <si>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</si>
  <si>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</si>
  <si>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</si>
  <si>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</si>
  <si>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</si>
  <si>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</si>
  <si>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</si>
  <si>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</si>
  <si>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</si>
  <si>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</si>
  <si>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</si>
  <si>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</si>
  <si>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</si>
  <si>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</si>
  <si>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</si>
  <si>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</si>
  <si>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</si>
  <si>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</si>
  <si>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</si>
  <si>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</si>
  <si>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</si>
  <si>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</si>
  <si>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</si>
  <si>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</si>
  <si>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</si>
  <si>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</si>
  <si>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</si>
  <si>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</si>
  <si>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</si>
  <si>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</si>
  <si>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</si>
  <si>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</si>
  <si>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</si>
  <si>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</si>
  <si>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</si>
  <si>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</si>
  <si>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</si>
  <si>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</si>
  <si>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</si>
  <si>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</si>
  <si>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</si>
  <si>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</si>
  <si>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</si>
  <si>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</si>
  <si>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</si>
  <si>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</si>
  <si>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</si>
  <si>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</si>
  <si>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</si>
  <si>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</si>
  <si>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</si>
  <si>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</si>
  <si>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</si>
  <si>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</si>
  <si>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</si>
  <si>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</si>
  <si>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</si>
  <si>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</si>
  <si>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</si>
  <si>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</si>
  <si>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</si>
  <si>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</si>
  <si>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</si>
  <si>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</si>
  <si>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</si>
  <si>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</si>
  <si>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</si>
  <si>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</si>
  <si>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</si>
  <si>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</si>
  <si>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</si>
  <si>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</si>
  <si>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</si>
  <si>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</si>
  <si>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</si>
  <si>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</si>
  <si>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</si>
  <si>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</si>
  <si>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</si>
  <si>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</si>
  <si>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</si>
  <si>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</si>
  <si>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</si>
  <si>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</si>
  <si>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</si>
  <si>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</si>
  <si>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</si>
  <si>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</si>
  <si>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</si>
  <si>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</si>
  <si>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</si>
  <si>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</si>
  <si>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</si>
  <si>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</si>
  <si>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</si>
  <si>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</si>
  <si>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</si>
  <si>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</si>
  <si>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</si>
  <si>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</si>
  <si>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</si>
  <si>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</si>
  <si>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</si>
  <si>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</si>
  <si>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</si>
  <si>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</si>
  <si>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</si>
  <si>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</si>
  <si>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</si>
  <si>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</si>
  <si>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</si>
  <si>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</si>
  <si>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</si>
  <si>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</si>
  <si>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</si>
  <si>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</si>
  <si>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</si>
  <si>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</si>
  <si>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</si>
  <si>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</si>
  <si>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</si>
  <si>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</si>
  <si>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</si>
  <si>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</si>
  <si>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</si>
  <si>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</si>
  <si>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</si>
  <si>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</si>
  <si>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</si>
  <si>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</si>
  <si>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</si>
  <si>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</si>
  <si>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</si>
  <si>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</si>
  <si>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</si>
  <si>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</si>
  <si>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</si>
  <si>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</si>
  <si>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</si>
  <si>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</si>
  <si>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</si>
  <si>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</si>
  <si>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</si>
  <si>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</si>
  <si>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</si>
  <si>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</si>
  <si>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</si>
  <si>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</si>
  <si>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</si>
  <si>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</si>
  <si>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</si>
  <si>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</si>
  <si>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</si>
  <si>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</si>
  <si>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</si>
  <si>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</si>
  <si>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</si>
  <si>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</si>
  <si>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</si>
  <si>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</si>
  <si>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</si>
  <si>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</si>
  <si>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</si>
  <si>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</si>
  <si>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</si>
  <si>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</si>
  <si>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</si>
  <si>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</si>
  <si>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</si>
  <si>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</si>
  <si>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</si>
  <si>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</si>
  <si>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</si>
  <si>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</si>
  <si>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</si>
  <si>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</si>
  <si>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</si>
  <si>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</si>
  <si>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</si>
  <si>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</si>
  <si>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</si>
  <si>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</si>
  <si>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</si>
  <si>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</si>
  <si>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</si>
  <si>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</si>
  <si>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</si>
  <si>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</si>
  <si>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</si>
  <si>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</si>
  <si>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</si>
  <si>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</si>
  <si>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</si>
  <si>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</si>
  <si>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</si>
  <si>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</si>
  <si>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</si>
  <si>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</si>
  <si>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</si>
  <si>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</si>
  <si>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</si>
  <si>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</si>
  <si>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</si>
  <si>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</si>
  <si>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</si>
  <si>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</si>
  <si>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</si>
  <si>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</si>
  <si>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</si>
  <si>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</si>
  <si>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</si>
  <si>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</si>
  <si>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</si>
  <si>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</si>
  <si>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</si>
  <si>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</si>
  <si>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</si>
  <si>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</si>
  <si>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</si>
  <si>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</si>
  <si>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</si>
  <si>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</si>
  <si>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</si>
  <si>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</si>
  <si>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</si>
  <si>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</si>
  <si>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</si>
  <si>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</si>
  <si>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</si>
  <si>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</si>
  <si>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</si>
  <si>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</si>
  <si>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</si>
  <si>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</si>
  <si>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</si>
  <si>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</si>
  <si>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</si>
  <si>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</si>
  <si>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</si>
  <si>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</si>
  <si>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</si>
  <si>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</si>
  <si>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</si>
  <si>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</si>
  <si>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</si>
  <si>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</si>
  <si>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</si>
  <si>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</si>
  <si>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</si>
  <si>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</si>
  <si>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</si>
  <si>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</si>
  <si>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</si>
  <si>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</si>
  <si>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</si>
  <si>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</si>
  <si>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</si>
  <si>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</si>
  <si>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</si>
  <si>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</si>
  <si>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</si>
  <si>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</si>
  <si>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</si>
  <si>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</si>
  <si>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</si>
  <si>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</si>
  <si>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</si>
  <si>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</si>
  <si>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</si>
  <si>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</si>
  <si>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</si>
  <si>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</si>
  <si>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</si>
  <si>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</si>
  <si>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</si>
  <si>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</si>
  <si>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</si>
  <si>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</si>
  <si>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</si>
  <si>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</si>
  <si>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</si>
  <si>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</si>
  <si>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</si>
  <si>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</si>
  <si>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</si>
  <si>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</si>
  <si>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</si>
  <si>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</si>
  <si>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</si>
  <si>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</si>
  <si>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</si>
  <si>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</si>
  <si>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</si>
  <si>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</si>
  <si>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</si>
  <si>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</si>
  <si>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</si>
  <si>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</si>
  <si>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</si>
  <si>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</si>
  <si>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</si>
  <si>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</si>
  <si>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</si>
  <si>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</si>
  <si>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</si>
  <si>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</si>
  <si>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</si>
  <si>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</si>
  <si>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</si>
  <si>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</si>
  <si>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</si>
  <si>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</si>
  <si>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</si>
  <si>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</si>
  <si>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</si>
  <si>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</si>
  <si>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</si>
  <si>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</si>
  <si>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</si>
  <si>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</si>
  <si>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</si>
  <si>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</si>
  <si>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</si>
  <si>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</si>
  <si>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</si>
  <si>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</si>
  <si>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</si>
  <si>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</si>
  <si>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</si>
  <si>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</si>
  <si>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</si>
  <si>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</si>
  <si>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</si>
  <si>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</si>
  <si>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</si>
  <si>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</si>
  <si>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</si>
  <si>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</si>
  <si>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</si>
  <si>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</si>
  <si>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</si>
  <si>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</si>
  <si>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</si>
  <si>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</si>
  <si>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</si>
  <si>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</si>
  <si>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</si>
  <si>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</si>
  <si>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</si>
  <si>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</si>
  <si>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</si>
  <si>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</si>
  <si>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</si>
  <si>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</si>
  <si>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</si>
  <si>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</si>
  <si>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</si>
  <si>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</si>
  <si>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</si>
  <si>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</si>
  <si>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</si>
  <si>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</si>
  <si>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</si>
  <si>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</si>
  <si>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</si>
  <si>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</si>
  <si>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</si>
  <si>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</si>
  <si>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</si>
  <si>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</si>
  <si>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</si>
  <si>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</si>
  <si>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</si>
  <si>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</si>
  <si>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</si>
  <si>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</si>
  <si>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</si>
  <si>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</si>
  <si>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</si>
  <si>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</si>
  <si>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</si>
  <si>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</si>
  <si>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</si>
  <si>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</si>
  <si>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</si>
  <si>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</si>
  <si>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</si>
  <si>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</si>
  <si>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</si>
  <si>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</si>
  <si>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</si>
  <si>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</si>
  <si>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</si>
  <si>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</si>
  <si>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</si>
  <si>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</si>
  <si>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</si>
  <si>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</si>
  <si>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</si>
  <si>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</si>
  <si>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</si>
  <si>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</si>
  <si>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</si>
  <si>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</si>
  <si>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</si>
  <si>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</si>
  <si>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</si>
  <si>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</si>
  <si>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</si>
  <si>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</si>
  <si>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</si>
  <si>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</si>
  <si>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</si>
  <si>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</si>
  <si>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</si>
  <si>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</si>
  <si>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</si>
  <si>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</si>
  <si>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</si>
  <si>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</si>
  <si>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</si>
  <si>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</si>
  <si>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</si>
  <si>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</si>
  <si>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</si>
  <si>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</si>
  <si>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</si>
  <si>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</si>
  <si>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</si>
  <si>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</si>
  <si>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</si>
  <si>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</si>
  <si>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</si>
  <si>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</si>
  <si>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</si>
  <si>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</si>
  <si>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</si>
  <si>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</si>
  <si>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</si>
  <si>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</si>
  <si>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</si>
  <si>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</si>
  <si>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</si>
  <si>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</si>
  <si>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</si>
  <si>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</si>
  <si>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</si>
  <si>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</si>
  <si>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</si>
  <si>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</si>
  <si>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</si>
  <si>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</si>
  <si>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</si>
  <si>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</si>
  <si>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</si>
  <si>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</si>
  <si>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</si>
  <si>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</si>
  <si>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</si>
  <si>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</si>
  <si>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</si>
  <si>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</si>
  <si>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</si>
  <si>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</si>
  <si>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</si>
  <si>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</si>
  <si>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</si>
  <si>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</si>
  <si>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</si>
  <si>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</si>
  <si>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</si>
  <si>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</si>
  <si>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</si>
  <si>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</si>
  <si>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</si>
  <si>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</si>
  <si>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</si>
  <si>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</si>
  <si>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</si>
  <si>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</si>
  <si>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</si>
  <si>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</si>
  <si>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</si>
  <si>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</si>
  <si>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</si>
  <si>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</si>
  <si>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</si>
  <si>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</si>
  <si>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</si>
  <si>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</si>
  <si>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</si>
  <si>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</si>
  <si>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</si>
  <si>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</si>
  <si>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</si>
  <si>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</si>
  <si>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</si>
  <si>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</si>
  <si>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</si>
  <si>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</si>
  <si>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</si>
  <si>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</si>
  <si>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</si>
  <si>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</si>
  <si>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</si>
  <si>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</si>
  <si>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</si>
  <si>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</si>
  <si>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</si>
  <si>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</si>
  <si>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</si>
  <si>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</si>
  <si>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</si>
  <si>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</si>
  <si>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</si>
  <si>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</si>
  <si>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</si>
  <si>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</si>
  <si>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</si>
  <si>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</si>
  <si>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</si>
  <si>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</si>
  <si>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</si>
  <si>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</si>
  <si>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</si>
  <si>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</si>
  <si>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</si>
  <si>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</si>
  <si>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</si>
  <si>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</si>
  <si>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</si>
  <si>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</si>
  <si>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</si>
  <si>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</si>
  <si>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</si>
  <si>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</si>
  <si>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</si>
  <si>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</si>
  <si>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</si>
  <si>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</si>
  <si>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</si>
  <si>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</si>
  <si>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</si>
  <si>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</si>
  <si>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</si>
  <si>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</si>
  <si>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</si>
  <si>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</si>
  <si>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</si>
  <si>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</si>
  <si>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</si>
  <si>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</si>
  <si>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</si>
  <si>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</si>
  <si>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</si>
  <si>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</si>
  <si>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</si>
  <si>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</si>
  <si>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</si>
  <si>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</si>
  <si>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</si>
  <si>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</si>
  <si>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</si>
  <si>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</si>
  <si>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</si>
  <si>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</si>
  <si>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</si>
  <si>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</si>
  <si>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</si>
  <si>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</si>
  <si>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</si>
  <si>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</si>
  <si>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</si>
  <si>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</si>
  <si>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</si>
  <si>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</si>
  <si>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</si>
  <si>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</si>
  <si>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</si>
  <si>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</si>
  <si>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</si>
  <si>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</si>
  <si>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</si>
  <si>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</si>
  <si>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</si>
  <si>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</si>
  <si>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</si>
  <si>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</si>
  <si>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</si>
  <si>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</si>
  <si>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</si>
  <si>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</si>
  <si>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</si>
  <si>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</si>
  <si>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</si>
  <si>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</si>
  <si>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</si>
  <si>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</si>
  <si>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2025-05-20 12:23:53</t>
  </si>
  <si>
    <t>2025-05-20 11:40:00</t>
  </si>
  <si>
    <t>三重高中店</t>
  </si>
  <si>
    <t>2025-05-20 15:03:01</t>
  </si>
  <si>
    <t>閉店撤機完成</t>
  </si>
  <si>
    <t>2025-05-20 16:24:31</t>
  </si>
  <si>
    <t>2025-05-20 15:15:00</t>
  </si>
  <si>
    <t>2025-05-21 11:43:27</t>
  </si>
  <si>
    <t>2025-05-21 10:50:00</t>
  </si>
  <si>
    <t>STAR</t>
  </si>
  <si>
    <t>2025-05-21 12:15:14</t>
  </si>
  <si>
    <t>2025-05-21 11:00:00</t>
  </si>
  <si>
    <t>2025-05-21 14:26:49</t>
  </si>
  <si>
    <t>2025-05-21 13:00:00</t>
  </si>
  <si>
    <t>2025-05-21 14:30:00</t>
  </si>
  <si>
    <t>萊爾富通知線路已更新，到店測試仍無法連線，網路線線對錯誤</t>
  </si>
  <si>
    <t>2025-05-21 14:28:52</t>
  </si>
  <si>
    <t>2025-05-21 14:00:00</t>
  </si>
  <si>
    <t>2025-05-21 14:54:55</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</si>
  <si>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</si>
  <si>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</si>
  <si>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</si>
  <si>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</si>
  <si>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</si>
  <si>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</si>
  <si>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</si>
  <si>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</si>
  <si>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</si>
  <si>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</si>
  <si>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</si>
  <si>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</si>
  <si>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</si>
  <si>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</si>
  <si>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</si>
  <si>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</si>
  <si>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T</t>
    <phoneticPr fontId="30" type="noConversion"/>
  </si>
  <si>
    <t>永福</t>
    <phoneticPr fontId="30" type="noConversion"/>
  </si>
  <si>
    <t>北二</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</si>
</sst>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471">
    <dxf>
      <font>
        <b/>
        <i val="0"/>
        <color theme="2"/>
      </font>
      <fill>
        <patternFill>
          <bgColor rgb="FFFF0000"/>
        </patternFill>
      </fill>
    </dxf>
    <dxf>
      <fill>
        <patternFill>
          <bgColor rgb="FF92D050"/>
        </patternFill>
      </fill>
    </dxf>
    <dxf>
      <font>
        <b/>
        <i val="0"/>
        <color rgb="FFFF0000"/>
      </font>
    </dxf>
    <dxf>
      <fill>
        <patternFill>
          <bgColor theme="8" tint="0.39994506668294322"/>
        </patternFill>
      </fill>
    </dxf>
    <dxf>
      <font>
        <b/>
        <i val="0"/>
        <color theme="2"/>
      </font>
      <fill>
        <patternFill>
          <bgColor rgb="FFFF0000"/>
        </patternFill>
      </fill>
    </dxf>
    <dxf>
      <fill>
        <patternFill>
          <bgColor theme="8" tint="0.39994506668294322"/>
        </patternFill>
      </fill>
    </dxf>
    <dxf>
      <fill>
        <patternFill>
          <bgColor rgb="FF92D050"/>
        </patternFill>
      </fill>
    </dxf>
    <dxf>
      <font>
        <b/>
        <i val="0"/>
        <color rgb="FFFF0000"/>
      </font>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theme="8" tint="0.39994506668294322"/>
        </patternFill>
      </fill>
    </dxf>
    <dxf>
      <font>
        <b/>
        <i val="0"/>
        <color rgb="FFFF0000"/>
      </font>
    </dxf>
    <dxf>
      <fill>
        <patternFill>
          <bgColor rgb="FF92D050"/>
        </patternFill>
      </fill>
    </dxf>
    <dxf>
      <font>
        <b/>
        <i val="0"/>
        <color theme="0"/>
      </font>
      <fill>
        <patternFill>
          <bgColor rgb="FFFF0000"/>
        </patternFill>
      </fill>
    </dxf>
    <dxf>
      <font>
        <b/>
        <i val="0"/>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ill>
        <patternFill>
          <bgColor theme="8" tint="0.59996337778862885"/>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8" tint="0.59996337778862885"/>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53340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53340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167640</xdr:rowOff>
        </xdr:from>
        <xdr:to>
          <xdr:col>7</xdr:col>
          <xdr:colOff>53340</xdr:colOff>
          <xdr:row>159</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167640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167640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 activePane="bottomLeft" state="frozen"/>
      <selection activeCell="Z18" sqref="Z18"/>
      <selection pane="bottomLeft" activeCell="C4" sqref="C4"/>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7515</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134</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8</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56</v>
      </c>
      <c r="M8" s="226">
        <f>COUNTIFS($D$15:$D$303,M2,$I$15:$I$303, "&gt;="&amp;A1, $I$15:$I$303,"&lt;"&amp;B1)</f>
        <v>20</v>
      </c>
      <c r="N8" s="226">
        <f>COUNTIFS($D$15:$D$303,N2,$I$15:$I$303, "&gt;="&amp;A1, $I$15:$I$303,"&lt;"&amp;B1)</f>
        <v>3</v>
      </c>
      <c r="O8" s="227">
        <f>COUNTIFS($D$15:$D$303,O2,$I$15:$I$303, "&gt;="&amp;A1, $I$15:$I$303,"&lt;"&amp;B1)</f>
        <v>15</v>
      </c>
      <c r="P8" s="137"/>
      <c r="Q8" s="137"/>
      <c r="R8" s="137"/>
      <c r="S8" s="137"/>
      <c r="W8" s="141"/>
    </row>
    <row r="9" spans="1:27" s="5" customFormat="1" ht="18.600000000000001" customHeight="1">
      <c r="A9" s="233" t="s">
        <v>4131</v>
      </c>
      <c r="B9" s="234">
        <f t="shared" si="0"/>
        <v>76</v>
      </c>
      <c r="C9" s="163">
        <f t="shared" ref="C9:O9" si="6">C3-C8-C6-C5</f>
        <v>0</v>
      </c>
      <c r="D9" s="164">
        <f t="shared" si="6"/>
        <v>0</v>
      </c>
      <c r="E9" s="164">
        <f t="shared" si="6"/>
        <v>10</v>
      </c>
      <c r="F9" s="164">
        <f t="shared" si="6"/>
        <v>1</v>
      </c>
      <c r="G9" s="164">
        <f t="shared" si="6"/>
        <v>5</v>
      </c>
      <c r="H9" s="164">
        <f t="shared" si="6"/>
        <v>0</v>
      </c>
      <c r="I9" s="164">
        <f t="shared" si="6"/>
        <v>7</v>
      </c>
      <c r="J9" s="164">
        <f t="shared" si="6"/>
        <v>0</v>
      </c>
      <c r="K9" s="164">
        <f t="shared" si="6"/>
        <v>8</v>
      </c>
      <c r="L9" s="164">
        <f t="shared" si="6"/>
        <v>15</v>
      </c>
      <c r="M9" s="164">
        <f t="shared" si="6"/>
        <v>10</v>
      </c>
      <c r="N9" s="164">
        <f t="shared" si="6"/>
        <v>0</v>
      </c>
      <c r="O9" s="264">
        <f t="shared" si="6"/>
        <v>20</v>
      </c>
      <c r="P9" s="141"/>
      <c r="Q9" s="141"/>
      <c r="R9" s="141"/>
      <c r="S9" s="141"/>
      <c r="W9" s="141"/>
    </row>
    <row r="10" spans="1:27" ht="18.600000000000001" customHeight="1">
      <c r="A10" s="161" t="s">
        <v>4423</v>
      </c>
      <c r="B10" s="162">
        <f t="shared" ref="B10:B11" si="7">SUM(C10:O10)</f>
        <v>72</v>
      </c>
      <c r="C10" s="225">
        <f t="shared" ref="C10:O10" si="8">COUNTIFS($D$15:$D$300,C2,$R$15:$R$300,$D$1)</f>
        <v>1</v>
      </c>
      <c r="D10" s="226">
        <f t="shared" si="8"/>
        <v>0</v>
      </c>
      <c r="E10" s="226">
        <f t="shared" si="8"/>
        <v>3</v>
      </c>
      <c r="F10" s="226">
        <f t="shared" si="8"/>
        <v>1</v>
      </c>
      <c r="G10" s="226">
        <f t="shared" si="8"/>
        <v>3</v>
      </c>
      <c r="H10" s="226">
        <f t="shared" si="8"/>
        <v>5</v>
      </c>
      <c r="I10" s="226">
        <f t="shared" si="8"/>
        <v>2</v>
      </c>
      <c r="J10" s="226">
        <f t="shared" si="8"/>
        <v>0</v>
      </c>
      <c r="K10" s="226">
        <f t="shared" si="8"/>
        <v>0</v>
      </c>
      <c r="L10" s="226">
        <f t="shared" si="8"/>
        <v>33</v>
      </c>
      <c r="M10" s="226">
        <f t="shared" si="8"/>
        <v>11</v>
      </c>
      <c r="N10" s="226">
        <f t="shared" si="8"/>
        <v>2</v>
      </c>
      <c r="O10" s="226">
        <f t="shared" si="8"/>
        <v>11</v>
      </c>
      <c r="P10" s="335"/>
      <c r="Q10" s="335"/>
      <c r="R10" s="334"/>
      <c r="S10" s="334"/>
      <c r="W10" s="141"/>
    </row>
    <row r="11" spans="1:27" s="5" customFormat="1" ht="18.600000000000001" customHeight="1">
      <c r="A11" s="165" t="s">
        <v>4131</v>
      </c>
      <c r="B11" s="162">
        <f t="shared" si="7"/>
        <v>89</v>
      </c>
      <c r="C11" s="228">
        <f t="shared" ref="C11:O11" si="9">C4-C10</f>
        <v>0</v>
      </c>
      <c r="D11" s="229">
        <f t="shared" si="9"/>
        <v>1</v>
      </c>
      <c r="E11" s="229">
        <f t="shared" si="9"/>
        <v>8</v>
      </c>
      <c r="F11" s="229">
        <f t="shared" si="9"/>
        <v>0</v>
      </c>
      <c r="G11" s="229">
        <f t="shared" si="9"/>
        <v>5</v>
      </c>
      <c r="H11" s="229">
        <f t="shared" si="9"/>
        <v>0</v>
      </c>
      <c r="I11" s="229">
        <f t="shared" si="9"/>
        <v>9</v>
      </c>
      <c r="J11" s="229">
        <f t="shared" si="9"/>
        <v>0</v>
      </c>
      <c r="K11" s="229">
        <f t="shared" si="9"/>
        <v>11</v>
      </c>
      <c r="L11" s="229">
        <f t="shared" si="9"/>
        <v>30</v>
      </c>
      <c r="M11" s="229">
        <f t="shared" si="9"/>
        <v>10</v>
      </c>
      <c r="N11" s="229">
        <f t="shared" si="9"/>
        <v>0</v>
      </c>
      <c r="O11" s="230">
        <f t="shared" si="9"/>
        <v>15</v>
      </c>
      <c r="P11" s="141"/>
      <c r="Q11" s="141"/>
      <c r="R11" s="141"/>
      <c r="S11" s="141"/>
      <c r="W11" s="141"/>
    </row>
    <row r="12" spans="1:27" ht="18.600000000000001" customHeight="1">
      <c r="A12" s="166" t="s">
        <v>5024</v>
      </c>
      <c r="B12" s="268">
        <f>B8/B3</f>
        <v>0.63207547169811318</v>
      </c>
      <c r="C12" s="265">
        <f t="shared" ref="C12:O12" si="10">C8/(C3-C6)</f>
        <v>1</v>
      </c>
      <c r="D12" s="266">
        <f t="shared" si="10"/>
        <v>1</v>
      </c>
      <c r="E12" s="266">
        <f t="shared" si="10"/>
        <v>0.41176470588235292</v>
      </c>
      <c r="F12" s="266">
        <f t="shared" si="10"/>
        <v>0.5</v>
      </c>
      <c r="G12" s="266">
        <f t="shared" si="10"/>
        <v>0.61538461538461542</v>
      </c>
      <c r="H12" s="266">
        <f t="shared" si="10"/>
        <v>1</v>
      </c>
      <c r="I12" s="266">
        <f t="shared" si="10"/>
        <v>0.41666666666666669</v>
      </c>
      <c r="J12" s="266" t="e">
        <f t="shared" si="10"/>
        <v>#DIV/0!</v>
      </c>
      <c r="K12" s="266">
        <f t="shared" si="10"/>
        <v>0.46666666666666667</v>
      </c>
      <c r="L12" s="266">
        <f t="shared" si="10"/>
        <v>0.78873239436619713</v>
      </c>
      <c r="M12" s="266">
        <f t="shared" si="10"/>
        <v>0.66666666666666663</v>
      </c>
      <c r="N12" s="266">
        <f t="shared" si="10"/>
        <v>1</v>
      </c>
      <c r="O12" s="267">
        <f t="shared" si="10"/>
        <v>0.42857142857142855</v>
      </c>
      <c r="P12" s="137"/>
      <c r="Q12" s="137"/>
      <c r="R12" s="137"/>
      <c r="S12" s="137"/>
      <c r="W12" s="141"/>
    </row>
    <row r="13" spans="1:27" ht="18.600000000000001" customHeight="1">
      <c r="A13" s="166" t="s">
        <v>4139</v>
      </c>
      <c r="B13" s="268">
        <f t="shared" ref="B13:O13" si="11">B10/B4</f>
        <v>0.44720496894409939</v>
      </c>
      <c r="C13" s="235">
        <f t="shared" si="11"/>
        <v>1</v>
      </c>
      <c r="D13" s="167">
        <f t="shared" si="11"/>
        <v>0</v>
      </c>
      <c r="E13" s="167">
        <f t="shared" si="11"/>
        <v>0.27272727272727271</v>
      </c>
      <c r="F13" s="167">
        <f t="shared" si="11"/>
        <v>1</v>
      </c>
      <c r="G13" s="167">
        <f t="shared" si="11"/>
        <v>0.375</v>
      </c>
      <c r="H13" s="167">
        <f t="shared" si="11"/>
        <v>1</v>
      </c>
      <c r="I13" s="167">
        <f t="shared" si="11"/>
        <v>0.18181818181818182</v>
      </c>
      <c r="J13" s="167" t="e">
        <f t="shared" si="11"/>
        <v>#DIV/0!</v>
      </c>
      <c r="K13" s="167">
        <f t="shared" si="11"/>
        <v>0</v>
      </c>
      <c r="L13" s="167">
        <f t="shared" si="11"/>
        <v>0.52380952380952384</v>
      </c>
      <c r="M13" s="167">
        <f t="shared" si="11"/>
        <v>0.52380952380952384</v>
      </c>
      <c r="N13" s="167">
        <f t="shared" si="11"/>
        <v>1</v>
      </c>
      <c r="O13" s="168">
        <f t="shared" si="11"/>
        <v>0.42307692307692307</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 t="shared" ref="H15:H78" si="12">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 t="shared" ref="M15:M78" si="13">Q15&amp;IF(R15&lt;&gt;"",$P$2,"")&amp;R15</f>
        <v>EDC+STAR</v>
      </c>
      <c r="N15" s="338" t="str" cm="1">
        <f t="array" ref="N15">IF(AND(
    SUMPRODUCT(
        (IM!$F$2:$F$2000=A15) *
        ISNUMBER(SEARCH("HUB", IM!$AC$2:$AC$2000)) *
        (IM!$X$2:$X$2000&gt;=$A$1) *
        (IM!$X$2:$X$2000&lt;=$B$1)*(W15="HUB")
    ) &gt; 0
), "HUB", "")</f>
        <v/>
      </c>
      <c r="O15" s="371" t="str">
        <f>IF(I15="","未到店",
IF(AND(S15&gt;I15, R15="STAR", NOT(AND(G15&lt;&gt;"萊到店 WebPOS", Q15&lt;&gt;"EDC"))), "完工已補裝",
IF(AND(G15&lt;&gt;"萊到店 WebPOS", Q15&lt;&gt;"EDC"), "EDC異常",
IF(AND(W15="HUB", N15=""), "HUB異常",
IF(OR(AND(Z15="STAR", R15="STAR"), AND(Z15&lt;&gt;"STAR", R15="")), "已完工", "STAR異常")
))))</f>
        <v>已完工</v>
      </c>
      <c r="P15" s="341" t="str">
        <f t="shared" ref="P15:P78" si="14">(TEXT(I15,"yyyymmdd"))&amp;$S$2&amp;A15&amp;$S$2&amp;B15&amp;$Q$2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 t="shared" ref="T15:T78" si="15">IF(AND(X15&lt;&gt;"", Y15&lt;&gt;""), 2, IF(OR(X15&lt;&gt;"", Y15&lt;&gt;""), 1, 0))</f>
        <v>2</v>
      </c>
      <c r="U15" s="355"/>
      <c r="V15" s="373">
        <f t="shared" ref="V15:V78" si="16">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 t="shared" ref="Z15:Z46" si="17">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 t="shared" si="12"/>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 t="shared" si="13"/>
        <v>EDC+STAR</v>
      </c>
      <c r="N16" s="339" t="str" cm="1">
        <f t="array" ref="N16">IF(AND(
    SUMPRODUCT(
        (IM!$F$2:$F$2000=A16) *
        ISNUMBER(SEARCH("HUB", IM!$AC$2:$AC$2000)) *
        (IM!$X$2:$X$2000&gt;=$A$1) *
        (IM!$X$2:$X$2000&lt;=$B$1)*(W16="HUB")
    ) &gt; 0
), "HUB", "")</f>
        <v/>
      </c>
      <c r="O16" s="371" t="str">
        <f t="shared" ref="O16:O79" si="18">IF(I16="","未到店",
IF(AND(S16&gt;I16, R16="STAR", NOT(AND(G16&lt;&gt;"萊到店 WebPOS", Q16&lt;&gt;"EDC"))), "完工已補裝",
IF(AND(G16&lt;&gt;"萊到店 WebPOS", Q16&lt;&gt;"EDC"), "EDC異常",
IF(AND(W16="HUB", N16=""), "HUB異常",
IF(OR(AND(Z16="STAR", R16="STAR"), AND(Z16&lt;&gt;"STAR", R16="")), "已完工", "STAR異常")
))))</f>
        <v>已完工</v>
      </c>
      <c r="P16" s="238" t="str">
        <f t="shared" si="14"/>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 t="shared" si="15"/>
        <v>1</v>
      </c>
      <c r="U16" s="355"/>
      <c r="V16" s="373">
        <f t="shared" si="16"/>
        <v>1</v>
      </c>
      <c r="W16" s="360" t="str">
        <f>IF(VLOOKUP(A16,'0919門市清單主檔'!B:E,4,FALSE)=0,"",VLOOKUP(A16,'0919門市清單主檔'!B:E,4,FALSE))</f>
        <v/>
      </c>
      <c r="X16" s="245"/>
      <c r="Y16" s="246" t="s">
        <v>4206</v>
      </c>
      <c r="Z16" s="246" t="str">
        <f t="shared" si="17"/>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 t="shared" si="12"/>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 t="shared" si="13"/>
        <v>EDC+STAR</v>
      </c>
      <c r="N17" s="339" t="str" cm="1">
        <f t="array" ref="N17">IF(AND(
    SUMPRODUCT(
        (IM!$F$2:$F$2000=A17) *
        ISNUMBER(SEARCH("HUB", IM!$AC$2:$AC$2000)) *
        (IM!$X$2:$X$2000&gt;=$A$1) *
        (IM!$X$2:$X$2000&lt;=$B$1)*(W17="HUB")
    ) &gt; 0
), "HUB", "")</f>
        <v/>
      </c>
      <c r="O17" s="371" t="str">
        <f t="shared" si="18"/>
        <v>已完工</v>
      </c>
      <c r="P17" s="238" t="str">
        <f t="shared" si="14"/>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 t="shared" si="15"/>
        <v>1</v>
      </c>
      <c r="U17" s="355"/>
      <c r="V17" s="373">
        <f t="shared" si="16"/>
        <v>1</v>
      </c>
      <c r="W17" s="360" t="str">
        <f>IF(VLOOKUP(A17,'0919門市清單主檔'!B:E,4,FALSE)=0,"",VLOOKUP(A17,'0919門市清單主檔'!B:E,4,FALSE))</f>
        <v/>
      </c>
      <c r="X17" s="245"/>
      <c r="Y17" s="246" t="s">
        <v>4246</v>
      </c>
      <c r="Z17" s="246" t="str">
        <f t="shared" si="17"/>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 t="shared" si="12"/>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 t="shared" si="13"/>
        <v>EDC+STAR</v>
      </c>
      <c r="N18" s="339" t="str" cm="1">
        <f t="array" ref="N18">IF(AND(
    SUMPRODUCT(
        (IM!$F$2:$F$2000=A18) *
        ISNUMBER(SEARCH("HUB", IM!$AC$2:$AC$2000)) *
        (IM!$X$2:$X$2000&gt;=$A$1) *
        (IM!$X$2:$X$2000&lt;=$B$1)*(W18="HUB")
    ) &gt; 0
), "HUB", "")</f>
        <v/>
      </c>
      <c r="O18" s="371" t="str">
        <f t="shared" si="18"/>
        <v>已完工</v>
      </c>
      <c r="P18" s="238" t="str">
        <f t="shared" si="14"/>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 t="shared" si="15"/>
        <v>2</v>
      </c>
      <c r="U18" s="355"/>
      <c r="V18" s="373">
        <f t="shared" si="16"/>
        <v>2</v>
      </c>
      <c r="W18" s="360" t="str">
        <f>IF(VLOOKUP(A18,'0919門市清單主檔'!B:E,4,FALSE)=0,"",VLOOKUP(A18,'0919門市清單主檔'!B:E,4,FALSE))</f>
        <v/>
      </c>
      <c r="X18" s="3" t="s">
        <v>4320</v>
      </c>
      <c r="Y18" s="5" t="s">
        <v>4321</v>
      </c>
      <c r="Z18" s="5" t="str">
        <f t="shared" si="17"/>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 t="shared" si="12"/>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 t="shared" si="13"/>
        <v>EDC+STAR</v>
      </c>
      <c r="N19" s="339" t="str" cm="1">
        <f t="array" ref="N19">IF(AND(
    SUMPRODUCT(
        (IM!$F$2:$F$2000=A19) *
        ISNUMBER(SEARCH("HUB", IM!$AC$2:$AC$2000)) *
        (IM!$X$2:$X$2000&gt;=$A$1) *
        (IM!$X$2:$X$2000&lt;=$B$1)*(W19="HUB")
    ) &gt; 0
), "HUB", "")</f>
        <v/>
      </c>
      <c r="O19" s="371" t="str">
        <f t="shared" si="18"/>
        <v>已完工</v>
      </c>
      <c r="P19" s="238" t="str">
        <f t="shared" si="14"/>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 t="shared" si="15"/>
        <v>2</v>
      </c>
      <c r="U19" s="355"/>
      <c r="V19" s="373">
        <f t="shared" si="16"/>
        <v>2</v>
      </c>
      <c r="W19" s="360" t="str">
        <f>IF(VLOOKUP(A19,'0919門市清單主檔'!B:E,4,FALSE)=0,"",VLOOKUP(A19,'0919門市清單主檔'!B:E,4,FALSE))</f>
        <v/>
      </c>
      <c r="X19" s="3" t="s">
        <v>4169</v>
      </c>
      <c r="Y19" s="5" t="s">
        <v>4170</v>
      </c>
      <c r="Z19" s="5" t="str">
        <f t="shared" si="17"/>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 t="shared" si="12"/>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 t="shared" si="13"/>
        <v>EDC+STAR</v>
      </c>
      <c r="N20" s="339" t="str" cm="1">
        <f t="array" ref="N20">IF(AND(
    SUMPRODUCT(
        (IM!$F$2:$F$2000=A20) *
        ISNUMBER(SEARCH("HUB", IM!$AC$2:$AC$2000)) *
        (IM!$X$2:$X$2000&gt;=$A$1) *
        (IM!$X$2:$X$2000&lt;=$B$1)*(W20="HUB")
    ) &gt; 0
), "HUB", "")</f>
        <v/>
      </c>
      <c r="O20" s="371" t="str">
        <f t="shared" si="18"/>
        <v>已完工</v>
      </c>
      <c r="P20" s="238" t="str">
        <f t="shared" si="14"/>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 t="shared" si="15"/>
        <v>2</v>
      </c>
      <c r="U20" s="355"/>
      <c r="V20" s="373">
        <f t="shared" si="16"/>
        <v>2</v>
      </c>
      <c r="W20" s="360" t="str">
        <f>IF(VLOOKUP(A20,'0919門市清單主檔'!B:E,4,FALSE)=0,"",VLOOKUP(A20,'0919門市清單主檔'!B:E,4,FALSE))</f>
        <v/>
      </c>
      <c r="X20" s="3" t="s">
        <v>4173</v>
      </c>
      <c r="Y20" s="5" t="s">
        <v>4174</v>
      </c>
      <c r="Z20" s="5" t="str">
        <f t="shared" si="17"/>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 t="shared" si="12"/>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 t="shared" si="13"/>
        <v>EDC+STAR</v>
      </c>
      <c r="N21" s="339" t="str" cm="1">
        <f t="array" ref="N21">IF(AND(
    SUMPRODUCT(
        (IM!$F$2:$F$2000=A21) *
        ISNUMBER(SEARCH("HUB", IM!$AC$2:$AC$2000)) *
        (IM!$X$2:$X$2000&gt;=$A$1) *
        (IM!$X$2:$X$2000&lt;=$B$1)*(W21="HUB")
    ) &gt; 0
), "HUB", "")</f>
        <v/>
      </c>
      <c r="O21" s="371" t="str">
        <f t="shared" si="18"/>
        <v>已完工</v>
      </c>
      <c r="P21" s="238" t="str">
        <f t="shared" si="14"/>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 t="shared" si="15"/>
        <v>2</v>
      </c>
      <c r="U21" s="355"/>
      <c r="V21" s="373">
        <f t="shared" si="16"/>
        <v>2</v>
      </c>
      <c r="W21" s="360" t="str">
        <f>IF(VLOOKUP(A21,'0919門市清單主檔'!B:E,4,FALSE)=0,"",VLOOKUP(A21,'0919門市清單主檔'!B:E,4,FALSE))</f>
        <v/>
      </c>
      <c r="X21" s="3" t="s">
        <v>4175</v>
      </c>
      <c r="Y21" s="5" t="s">
        <v>4176</v>
      </c>
      <c r="Z21" s="5" t="str">
        <f t="shared" si="17"/>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 t="shared" si="12"/>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 t="shared" si="13"/>
        <v>EDC+STAR</v>
      </c>
      <c r="N22" s="339" t="str" cm="1">
        <f t="array" ref="N22">IF(AND(
    SUMPRODUCT(
        (IM!$F$2:$F$2000=A22) *
        ISNUMBER(SEARCH("HUB", IM!$AC$2:$AC$2000)) *
        (IM!$X$2:$X$2000&gt;=$A$1) *
        (IM!$X$2:$X$2000&lt;=$B$1)*(W22="HUB")
    ) &gt; 0
), "HUB", "")</f>
        <v/>
      </c>
      <c r="O22" s="371" t="str">
        <f t="shared" si="18"/>
        <v>已完工</v>
      </c>
      <c r="P22" s="238" t="str">
        <f t="shared" si="14"/>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 t="shared" si="15"/>
        <v>1</v>
      </c>
      <c r="U22" s="355"/>
      <c r="V22" s="373">
        <f t="shared" si="16"/>
        <v>1</v>
      </c>
      <c r="W22" s="360" t="str">
        <f>IF(VLOOKUP(A22,'0919門市清單主檔'!B:E,4,FALSE)=0,"",VLOOKUP(A22,'0919門市清單主檔'!B:E,4,FALSE))</f>
        <v/>
      </c>
      <c r="Y22" s="5" t="s">
        <v>4369</v>
      </c>
      <c r="Z22" s="5" t="str">
        <f t="shared" si="17"/>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 t="shared" si="12"/>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 t="shared" si="13"/>
        <v>EDC+STAR</v>
      </c>
      <c r="N23" s="339" t="str" cm="1">
        <f t="array" ref="N23">IF(AND(
    SUMPRODUCT(
        (IM!$F$2:$F$2000=A23) *
        ISNUMBER(SEARCH("HUB", IM!$AC$2:$AC$2000)) *
        (IM!$X$2:$X$2000&gt;=$A$1) *
        (IM!$X$2:$X$2000&lt;=$B$1)*(W23="HUB")
    ) &gt; 0
), "HUB", "")</f>
        <v/>
      </c>
      <c r="O23" s="371" t="str">
        <f t="shared" si="18"/>
        <v>已完工</v>
      </c>
      <c r="P23" s="238" t="str">
        <f t="shared" si="14"/>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 t="shared" si="15"/>
        <v>2</v>
      </c>
      <c r="U23" s="355"/>
      <c r="V23" s="373">
        <f t="shared" si="16"/>
        <v>2</v>
      </c>
      <c r="W23" s="360" t="str">
        <f>IF(VLOOKUP(A23,'0919門市清單主檔'!B:E,4,FALSE)=0,"",VLOOKUP(A23,'0919門市清單主檔'!B:E,4,FALSE))</f>
        <v/>
      </c>
      <c r="X23" s="3" t="s">
        <v>4177</v>
      </c>
      <c r="Y23" s="5" t="s">
        <v>4178</v>
      </c>
      <c r="Z23" s="5" t="str">
        <f t="shared" si="17"/>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 t="shared" si="12"/>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 t="shared" si="13"/>
        <v>EDC+STAR</v>
      </c>
      <c r="N24" s="339" t="str" cm="1">
        <f t="array" ref="N24">IF(AND(
    SUMPRODUCT(
        (IM!$F$2:$F$2000=A24) *
        ISNUMBER(SEARCH("HUB", IM!$AC$2:$AC$2000)) *
        (IM!$X$2:$X$2000&gt;=$A$1) *
        (IM!$X$2:$X$2000&lt;=$B$1)*(W24="HUB")
    ) &gt; 0
), "HUB", "")</f>
        <v/>
      </c>
      <c r="O24" s="371" t="str">
        <f t="shared" si="18"/>
        <v>已完工</v>
      </c>
      <c r="P24" s="238" t="str">
        <f t="shared" si="14"/>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 t="shared" si="15"/>
        <v>1</v>
      </c>
      <c r="U24" s="355"/>
      <c r="V24" s="373">
        <f t="shared" si="16"/>
        <v>1</v>
      </c>
      <c r="W24" s="360" t="str">
        <f>IF(VLOOKUP(A24,'0919門市清單主檔'!B:E,4,FALSE)=0,"",VLOOKUP(A24,'0919門市清單主檔'!B:E,4,FALSE))</f>
        <v/>
      </c>
      <c r="X24" s="3" t="s">
        <v>4359</v>
      </c>
      <c r="Y24" s="5"/>
      <c r="Z24" s="5" t="str">
        <f t="shared" si="17"/>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 t="shared" si="12"/>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 t="shared" si="13"/>
        <v>EDC+STAR</v>
      </c>
      <c r="N25" s="339" t="str" cm="1">
        <f t="array" ref="N25">IF(AND(
    SUMPRODUCT(
        (IM!$F$2:$F$2000=A25) *
        ISNUMBER(SEARCH("HUB", IM!$AC$2:$AC$2000)) *
        (IM!$X$2:$X$2000&gt;=$A$1) *
        (IM!$X$2:$X$2000&lt;=$B$1)*(W25="HUB")
    ) &gt; 0
), "HUB", "")</f>
        <v/>
      </c>
      <c r="O25" s="371" t="str">
        <f t="shared" si="18"/>
        <v>已完工</v>
      </c>
      <c r="P25" s="238" t="str">
        <f t="shared" si="14"/>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 t="shared" si="15"/>
        <v>1</v>
      </c>
      <c r="U25" s="355"/>
      <c r="V25" s="373">
        <f t="shared" si="16"/>
        <v>1</v>
      </c>
      <c r="W25" s="360" t="str">
        <f>IF(VLOOKUP(A25,'0919門市清單主檔'!B:E,4,FALSE)=0,"",VLOOKUP(A25,'0919門市清單主檔'!B:E,4,FALSE))</f>
        <v/>
      </c>
      <c r="X25" s="3" t="s">
        <v>4162</v>
      </c>
      <c r="Y25" s="5"/>
      <c r="Z25" s="5" t="str">
        <f t="shared" si="17"/>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 t="shared" si="12"/>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 t="shared" si="13"/>
        <v>EDC</v>
      </c>
      <c r="N26" s="339" t="str" cm="1">
        <f t="array" ref="N26">IF(AND(
    SUMPRODUCT(
        (IM!$F$2:$F$2000=A26) *
        ISNUMBER(SEARCH("HUB", IM!$AC$2:$AC$2000)) *
        (IM!$X$2:$X$2000&gt;=$A$1) *
        (IM!$X$2:$X$2000&lt;=$B$1)*(W26="HUB")
    ) &gt; 0
), "HUB", "")</f>
        <v/>
      </c>
      <c r="O26" s="371" t="str">
        <f t="shared" si="18"/>
        <v>已完工</v>
      </c>
      <c r="P26" s="238" t="str">
        <f t="shared" si="14"/>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 t="shared" si="15"/>
        <v>0</v>
      </c>
      <c r="U26" s="355"/>
      <c r="V26" s="373">
        <f t="shared" si="16"/>
        <v>0</v>
      </c>
      <c r="W26" s="360" t="str">
        <f>IF(VLOOKUP(A26,'0919門市清單主檔'!B:E,4,FALSE)=0,"",VLOOKUP(A26,'0919門市清單主檔'!B:E,4,FALSE))</f>
        <v/>
      </c>
      <c r="Y26" s="5"/>
      <c r="Z26" s="5" t="str">
        <f t="shared" si="17"/>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 t="shared" si="12"/>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 t="shared" si="13"/>
        <v>EDC+STAR</v>
      </c>
      <c r="N27" s="339" t="str" cm="1">
        <f t="array" ref="N27">IF(AND(
    SUMPRODUCT(
        (IM!$F$2:$F$2000=A27) *
        ISNUMBER(SEARCH("HUB", IM!$AC$2:$AC$2000)) *
        (IM!$X$2:$X$2000&gt;=$A$1) *
        (IM!$X$2:$X$2000&lt;=$B$1)*(W27="HUB")
    ) &gt; 0
), "HUB", "")</f>
        <v/>
      </c>
      <c r="O27" s="371" t="str">
        <f t="shared" si="18"/>
        <v>已完工</v>
      </c>
      <c r="P27" s="238" t="str">
        <f t="shared" si="14"/>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 t="shared" si="15"/>
        <v>2</v>
      </c>
      <c r="U27" s="355"/>
      <c r="V27" s="373">
        <f t="shared" si="16"/>
        <v>2</v>
      </c>
      <c r="W27" s="360" t="str">
        <f>IF(VLOOKUP(A27,'0919門市清單主檔'!B:E,4,FALSE)=0,"",VLOOKUP(A27,'0919門市清單主檔'!B:E,4,FALSE))</f>
        <v/>
      </c>
      <c r="X27" s="3" t="s">
        <v>4149</v>
      </c>
      <c r="Y27" s="5" t="s">
        <v>4150</v>
      </c>
      <c r="Z27" s="5" t="str">
        <f t="shared" si="17"/>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 t="shared" si="12"/>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 t="shared" si="13"/>
        <v>EDC+STAR</v>
      </c>
      <c r="N28" s="339" t="str" cm="1">
        <f t="array" ref="N28">IF(AND(
    SUMPRODUCT(
        (IM!$F$2:$F$2000=A28) *
        ISNUMBER(SEARCH("HUB", IM!$AC$2:$AC$2000)) *
        (IM!$X$2:$X$2000&gt;=$A$1) *
        (IM!$X$2:$X$2000&lt;=$B$1)*(W28="HUB")
    ) &gt; 0
), "HUB", "")</f>
        <v/>
      </c>
      <c r="O28" s="371" t="str">
        <f t="shared" si="18"/>
        <v>已完工</v>
      </c>
      <c r="P28" s="238" t="str">
        <f t="shared" si="14"/>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 t="shared" si="15"/>
        <v>2</v>
      </c>
      <c r="U28" s="355"/>
      <c r="V28" s="373">
        <f t="shared" si="16"/>
        <v>2</v>
      </c>
      <c r="W28" s="360" t="str">
        <f>IF(VLOOKUP(A28,'0919門市清單主檔'!B:E,4,FALSE)=0,"",VLOOKUP(A28,'0919門市清單主檔'!B:E,4,FALSE))</f>
        <v/>
      </c>
      <c r="X28" s="3" t="s">
        <v>4394</v>
      </c>
      <c r="Y28" s="5" t="s">
        <v>4395</v>
      </c>
      <c r="Z28" s="5" t="str">
        <f t="shared" si="17"/>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 t="shared" si="12"/>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 t="shared" si="13"/>
        <v>EDC+STAR</v>
      </c>
      <c r="N29" s="339" t="str" cm="1">
        <f t="array" ref="N29">IF(AND(
    SUMPRODUCT(
        (IM!$F$2:$F$2000=A29) *
        ISNUMBER(SEARCH("HUB", IM!$AC$2:$AC$2000)) *
        (IM!$X$2:$X$2000&gt;=$A$1) *
        (IM!$X$2:$X$2000&lt;=$B$1)*(W29="HUB")
    ) &gt; 0
), "HUB", "")</f>
        <v/>
      </c>
      <c r="O29" s="371" t="str">
        <f t="shared" si="18"/>
        <v>已完工</v>
      </c>
      <c r="P29" s="238" t="str">
        <f t="shared" si="14"/>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 t="shared" si="15"/>
        <v>2</v>
      </c>
      <c r="U29" s="355"/>
      <c r="V29" s="373">
        <f t="shared" si="16"/>
        <v>2</v>
      </c>
      <c r="W29" s="360" t="str">
        <f>IF(VLOOKUP(A29,'0919門市清單主檔'!B:E,4,FALSE)=0,"",VLOOKUP(A29,'0919門市清單主檔'!B:E,4,FALSE))</f>
        <v/>
      </c>
      <c r="X29" s="3" t="s">
        <v>4181</v>
      </c>
      <c r="Y29" s="5" t="s">
        <v>4182</v>
      </c>
      <c r="Z29" s="5" t="str">
        <f t="shared" si="17"/>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 t="shared" si="12"/>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 t="shared" si="13"/>
        <v>EDC+STAR</v>
      </c>
      <c r="N30" s="339" t="str" cm="1">
        <f t="array" ref="N30">IF(AND(
    SUMPRODUCT(
        (IM!$F$2:$F$2000=A30) *
        ISNUMBER(SEARCH("HUB", IM!$AC$2:$AC$2000)) *
        (IM!$X$2:$X$2000&gt;=$A$1) *
        (IM!$X$2:$X$2000&lt;=$B$1)*(W30="HUB")
    ) &gt; 0
), "HUB", "")</f>
        <v/>
      </c>
      <c r="O30" s="371" t="str">
        <f t="shared" si="18"/>
        <v>已完工</v>
      </c>
      <c r="P30" s="238" t="str">
        <f t="shared" si="14"/>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 t="shared" si="15"/>
        <v>2</v>
      </c>
      <c r="U30" s="355"/>
      <c r="V30" s="373">
        <f t="shared" si="16"/>
        <v>2</v>
      </c>
      <c r="W30" s="360" t="str">
        <f>IF(VLOOKUP(A30,'0919門市清單主檔'!B:E,4,FALSE)=0,"",VLOOKUP(A30,'0919門市清單主檔'!B:E,4,FALSE))</f>
        <v/>
      </c>
      <c r="X30" s="3" t="s">
        <v>4382</v>
      </c>
      <c r="Y30" s="5" t="s">
        <v>4383</v>
      </c>
      <c r="Z30" s="5" t="str">
        <f t="shared" si="17"/>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 t="shared" si="12"/>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 t="shared" si="13"/>
        <v>EDC</v>
      </c>
      <c r="N31" s="339" t="str" cm="1">
        <f t="array" ref="N31">IF(AND(
    SUMPRODUCT(
        (IM!$F$2:$F$2000=A31) *
        ISNUMBER(SEARCH("HUB", IM!$AC$2:$AC$2000)) *
        (IM!$X$2:$X$2000&gt;=$A$1) *
        (IM!$X$2:$X$2000&lt;=$B$1)*(W31="HUB")
    ) &gt; 0
), "HUB", "")</f>
        <v/>
      </c>
      <c r="O31" s="371" t="str">
        <f t="shared" si="18"/>
        <v>已完工</v>
      </c>
      <c r="P31" s="238" t="str">
        <f t="shared" si="14"/>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 t="shared" si="15"/>
        <v>0</v>
      </c>
      <c r="U31" s="355"/>
      <c r="V31" s="373">
        <f t="shared" si="16"/>
        <v>0</v>
      </c>
      <c r="W31" s="360" t="str">
        <f>IF(VLOOKUP(A31,'0919門市清單主檔'!B:E,4,FALSE)=0,"",VLOOKUP(A31,'0919門市清單主檔'!B:E,4,FALSE))</f>
        <v/>
      </c>
      <c r="Y31" s="5"/>
      <c r="Z31" s="5" t="str">
        <f t="shared" si="17"/>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 t="shared" si="12"/>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 t="shared" si="13"/>
        <v>EDC+STAR</v>
      </c>
      <c r="N32" s="339" t="str" cm="1">
        <f t="array" ref="N32">IF(AND(
    SUMPRODUCT(
        (IM!$F$2:$F$2000=A32) *
        ISNUMBER(SEARCH("HUB", IM!$AC$2:$AC$2000)) *
        (IM!$X$2:$X$2000&gt;=$A$1) *
        (IM!$X$2:$X$2000&lt;=$B$1)*(W32="HUB")
    ) &gt; 0
), "HUB", "")</f>
        <v/>
      </c>
      <c r="O32" s="371" t="str">
        <f t="shared" si="18"/>
        <v>已完工</v>
      </c>
      <c r="P32" s="238" t="str">
        <f t="shared" si="14"/>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 t="shared" si="15"/>
        <v>2</v>
      </c>
      <c r="U32" s="355"/>
      <c r="V32" s="373">
        <f t="shared" si="16"/>
        <v>2</v>
      </c>
      <c r="W32" s="360" t="str">
        <f>IF(VLOOKUP(A32,'0919門市清單主檔'!B:E,4,FALSE)=0,"",VLOOKUP(A32,'0919門市清單主檔'!B:E,4,FALSE))</f>
        <v/>
      </c>
      <c r="X32" s="3" t="s">
        <v>4179</v>
      </c>
      <c r="Y32" s="5" t="s">
        <v>4180</v>
      </c>
      <c r="Z32" s="5" t="str">
        <f t="shared" si="17"/>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 t="shared" si="12"/>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 t="shared" si="13"/>
        <v>EDC+STAR</v>
      </c>
      <c r="N33" s="339" t="str" cm="1">
        <f t="array" ref="N33">IF(AND(
    SUMPRODUCT(
        (IM!$F$2:$F$2000=A33) *
        ISNUMBER(SEARCH("HUB", IM!$AC$2:$AC$2000)) *
        (IM!$X$2:$X$2000&gt;=$A$1) *
        (IM!$X$2:$X$2000&lt;=$B$1)*(W33="HUB")
    ) &gt; 0
), "HUB", "")</f>
        <v/>
      </c>
      <c r="O33" s="371" t="str">
        <f t="shared" si="18"/>
        <v>已完工</v>
      </c>
      <c r="P33" s="238" t="str">
        <f t="shared" si="14"/>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 t="shared" si="15"/>
        <v>2</v>
      </c>
      <c r="U33" s="355"/>
      <c r="V33" s="373">
        <f t="shared" si="16"/>
        <v>2</v>
      </c>
      <c r="W33" s="360" t="str">
        <f>IF(VLOOKUP(A33,'0919門市清單主檔'!B:E,4,FALSE)=0,"",VLOOKUP(A33,'0919門市清單主檔'!B:E,4,FALSE))</f>
        <v/>
      </c>
      <c r="X33" s="3" t="s">
        <v>4145</v>
      </c>
      <c r="Y33" s="5" t="s">
        <v>4146</v>
      </c>
      <c r="Z33" s="5" t="str">
        <f t="shared" si="17"/>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 t="shared" si="12"/>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 t="shared" si="13"/>
        <v>EDC+STAR</v>
      </c>
      <c r="N34" s="339" t="str" cm="1">
        <f t="array" ref="N34">IF(AND(
    SUMPRODUCT(
        (IM!$F$2:$F$2000=A34) *
        ISNUMBER(SEARCH("HUB", IM!$AC$2:$AC$2000)) *
        (IM!$X$2:$X$2000&gt;=$A$1) *
        (IM!$X$2:$X$2000&lt;=$B$1)*(W34="HUB")
    ) &gt; 0
), "HUB", "")</f>
        <v/>
      </c>
      <c r="O34" s="371" t="str">
        <f t="shared" si="18"/>
        <v>已完工</v>
      </c>
      <c r="P34" s="238" t="str">
        <f t="shared" si="14"/>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 t="shared" si="15"/>
        <v>2</v>
      </c>
      <c r="U34" s="355"/>
      <c r="V34" s="373">
        <f t="shared" si="16"/>
        <v>2</v>
      </c>
      <c r="W34" s="360" t="str">
        <f>IF(VLOOKUP(A34,'0919門市清單主檔'!B:E,4,FALSE)=0,"",VLOOKUP(A34,'0919門市清單主檔'!B:E,4,FALSE))</f>
        <v/>
      </c>
      <c r="X34" s="3" t="s">
        <v>4147</v>
      </c>
      <c r="Y34" s="5" t="s">
        <v>4148</v>
      </c>
      <c r="Z34" s="5" t="str">
        <f t="shared" si="17"/>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 t="shared" si="12"/>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 t="shared" si="13"/>
        <v>EDC+STAR</v>
      </c>
      <c r="N35" s="339" t="str" cm="1">
        <f t="array" ref="N35">IF(AND(
    SUMPRODUCT(
        (IM!$F$2:$F$2000=A35) *
        ISNUMBER(SEARCH("HUB", IM!$AC$2:$AC$2000)) *
        (IM!$X$2:$X$2000&gt;=$A$1) *
        (IM!$X$2:$X$2000&lt;=$B$1)*(W35="HUB")
    ) &gt; 0
), "HUB", "")</f>
        <v/>
      </c>
      <c r="O35" s="371" t="str">
        <f t="shared" si="18"/>
        <v>已完工</v>
      </c>
      <c r="P35" s="238" t="str">
        <f t="shared" si="14"/>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 t="shared" si="15"/>
        <v>2</v>
      </c>
      <c r="U35" s="355"/>
      <c r="V35" s="373">
        <f t="shared" si="16"/>
        <v>2</v>
      </c>
      <c r="W35" s="360" t="str">
        <f>IF(VLOOKUP(A35,'0919門市清單主檔'!B:E,4,FALSE)=0,"",VLOOKUP(A35,'0919門市清單主檔'!B:E,4,FALSE))</f>
        <v/>
      </c>
      <c r="X35" s="3" t="s">
        <v>4414</v>
      </c>
      <c r="Y35" s="5" t="s">
        <v>4415</v>
      </c>
      <c r="Z35" s="5" t="str">
        <f t="shared" si="17"/>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 t="shared" si="12"/>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 t="shared" si="13"/>
        <v>EDC+STAR</v>
      </c>
      <c r="N36" s="339" t="str" cm="1">
        <f t="array" ref="N36">IF(AND(
    SUMPRODUCT(
        (IM!$F$2:$F$2000=A36) *
        ISNUMBER(SEARCH("HUB", IM!$AC$2:$AC$2000)) *
        (IM!$X$2:$X$2000&gt;=$A$1) *
        (IM!$X$2:$X$2000&lt;=$B$1)*(W36="HUB")
    ) &gt; 0
), "HUB", "")</f>
        <v/>
      </c>
      <c r="O36" s="371" t="str">
        <f t="shared" si="18"/>
        <v>已完工</v>
      </c>
      <c r="P36" s="238" t="str">
        <f t="shared" si="14"/>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 t="shared" si="15"/>
        <v>2</v>
      </c>
      <c r="U36" s="355"/>
      <c r="V36" s="373">
        <f t="shared" si="16"/>
        <v>2</v>
      </c>
      <c r="W36" s="360" t="str">
        <f>IF(VLOOKUP(A36,'0919門市清單主檔'!B:E,4,FALSE)=0,"",VLOOKUP(A36,'0919門市清單主檔'!B:E,4,FALSE))</f>
        <v/>
      </c>
      <c r="X36" s="3" t="s">
        <v>4279</v>
      </c>
      <c r="Y36" s="5" t="s">
        <v>4280</v>
      </c>
      <c r="Z36" s="5" t="str">
        <f t="shared" si="17"/>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 t="shared" si="12"/>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 t="shared" si="13"/>
        <v>EDC+STAR</v>
      </c>
      <c r="N37" s="339" t="str" cm="1">
        <f t="array" ref="N37">IF(AND(
    SUMPRODUCT(
        (IM!$F$2:$F$2000=A37) *
        ISNUMBER(SEARCH("HUB", IM!$AC$2:$AC$2000)) *
        (IM!$X$2:$X$2000&gt;=$A$1) *
        (IM!$X$2:$X$2000&lt;=$B$1)*(W37="HUB")
    ) &gt; 0
), "HUB", "")</f>
        <v/>
      </c>
      <c r="O37" s="371" t="str">
        <f t="shared" si="18"/>
        <v>已完工</v>
      </c>
      <c r="P37" s="238" t="str">
        <f t="shared" si="14"/>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 t="shared" si="15"/>
        <v>2</v>
      </c>
      <c r="U37" s="355"/>
      <c r="V37" s="373">
        <f t="shared" si="16"/>
        <v>2</v>
      </c>
      <c r="W37" s="360" t="str">
        <f>IF(VLOOKUP(A37,'0919門市清單主檔'!B:E,4,FALSE)=0,"",VLOOKUP(A37,'0919門市清單主檔'!B:E,4,FALSE))</f>
        <v/>
      </c>
      <c r="X37" s="3" t="s">
        <v>4303</v>
      </c>
      <c r="Y37" s="5" t="s">
        <v>4304</v>
      </c>
      <c r="Z37" s="5" t="str">
        <f t="shared" si="17"/>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 t="shared" si="12"/>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 t="shared" si="13"/>
        <v>EDC</v>
      </c>
      <c r="N38" s="339" t="str" cm="1">
        <f t="array" ref="N38">IF(AND(
    SUMPRODUCT(
        (IM!$F$2:$F$2000=A38) *
        ISNUMBER(SEARCH("HUB", IM!$AC$2:$AC$2000)) *
        (IM!$X$2:$X$2000&gt;=$A$1) *
        (IM!$X$2:$X$2000&lt;=$B$1)*(W38="HUB")
    ) &gt; 0
), "HUB", "")</f>
        <v/>
      </c>
      <c r="O38" s="371" t="str">
        <f t="shared" si="18"/>
        <v>已完工</v>
      </c>
      <c r="P38" s="238" t="str">
        <f t="shared" si="14"/>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 t="shared" si="15"/>
        <v>0</v>
      </c>
      <c r="U38" s="355"/>
      <c r="V38" s="373">
        <f t="shared" si="16"/>
        <v>0</v>
      </c>
      <c r="W38" s="360" t="str">
        <f>IF(VLOOKUP(A38,'0919門市清單主檔'!B:E,4,FALSE)=0,"",VLOOKUP(A38,'0919門市清單主檔'!B:E,4,FALSE))</f>
        <v/>
      </c>
      <c r="X38" s="245"/>
      <c r="Y38" s="246"/>
      <c r="Z38" s="246" t="str">
        <f t="shared" si="17"/>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 t="shared" si="12"/>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 t="shared" si="13"/>
        <v>EDC</v>
      </c>
      <c r="N39" s="339" t="str" cm="1">
        <f t="array" ref="N39">IF(AND(
    SUMPRODUCT(
        (IM!$F$2:$F$2000=A39) *
        ISNUMBER(SEARCH("HUB", IM!$AC$2:$AC$2000)) *
        (IM!$X$2:$X$2000&gt;=$A$1) *
        (IM!$X$2:$X$2000&lt;=$B$1)*(W39="HUB")
    ) &gt; 0
), "HUB", "")</f>
        <v>HUB</v>
      </c>
      <c r="O39" s="371" t="str">
        <f t="shared" si="18"/>
        <v>已完工</v>
      </c>
      <c r="P39" s="238" t="str">
        <f t="shared" si="14"/>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 t="shared" si="15"/>
        <v>0</v>
      </c>
      <c r="U39" s="355"/>
      <c r="V39" s="373">
        <f t="shared" si="16"/>
        <v>0</v>
      </c>
      <c r="W39" s="360" t="str">
        <f>IF(VLOOKUP(A39,'0919門市清單主檔'!B:E,4,FALSE)=0,"",VLOOKUP(A39,'0919門市清單主檔'!B:E,4,FALSE))</f>
        <v>HUB</v>
      </c>
      <c r="Y39" s="5"/>
      <c r="Z39" s="5" t="str">
        <f t="shared" si="17"/>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 t="shared" si="12"/>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 t="shared" si="13"/>
        <v>EDC</v>
      </c>
      <c r="N40" s="339" t="str" cm="1">
        <f t="array" ref="N40">IF(AND(
    SUMPRODUCT(
        (IM!$F$2:$F$2000=A40) *
        ISNUMBER(SEARCH("HUB", IM!$AC$2:$AC$2000)) *
        (IM!$X$2:$X$2000&gt;=$A$1) *
        (IM!$X$2:$X$2000&lt;=$B$1)*(W40="HUB")
    ) &gt; 0
), "HUB", "")</f>
        <v/>
      </c>
      <c r="O40" s="371" t="str">
        <f t="shared" si="18"/>
        <v>已完工</v>
      </c>
      <c r="P40" s="238" t="str">
        <f t="shared" si="14"/>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 t="shared" si="15"/>
        <v>0</v>
      </c>
      <c r="U40" s="355"/>
      <c r="V40" s="373">
        <f t="shared" si="16"/>
        <v>0</v>
      </c>
      <c r="W40" s="360" t="str">
        <f>IF(VLOOKUP(A40,'0919門市清單主檔'!B:E,4,FALSE)=0,"",VLOOKUP(A40,'0919門市清單主檔'!B:E,4,FALSE))</f>
        <v/>
      </c>
      <c r="Y40" s="5"/>
      <c r="Z40" s="5" t="str">
        <f t="shared" si="17"/>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 t="shared" si="12"/>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 t="shared" si="13"/>
        <v>EDC+STAR</v>
      </c>
      <c r="N41" s="339" t="str" cm="1">
        <f t="array" ref="N41">IF(AND(
    SUMPRODUCT(
        (IM!$F$2:$F$2000=A41) *
        ISNUMBER(SEARCH("HUB", IM!$AC$2:$AC$2000)) *
        (IM!$X$2:$X$2000&gt;=$A$1) *
        (IM!$X$2:$X$2000&lt;=$B$1)*(W41="HUB")
    ) &gt; 0
), "HUB", "")</f>
        <v/>
      </c>
      <c r="O41" s="371" t="str">
        <f t="shared" si="18"/>
        <v>已完工</v>
      </c>
      <c r="P41" s="238" t="str">
        <f t="shared" si="14"/>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 t="shared" si="15"/>
        <v>2</v>
      </c>
      <c r="U41" s="355"/>
      <c r="V41" s="373">
        <f t="shared" si="16"/>
        <v>2</v>
      </c>
      <c r="W41" s="360" t="str">
        <f>IF(VLOOKUP(A41,'0919門市清單主檔'!B:E,4,FALSE)=0,"",VLOOKUP(A41,'0919門市清單主檔'!B:E,4,FALSE))</f>
        <v/>
      </c>
      <c r="X41" s="3" t="s">
        <v>4408</v>
      </c>
      <c r="Y41" s="5" t="s">
        <v>4409</v>
      </c>
      <c r="Z41" s="5" t="str">
        <f t="shared" si="17"/>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 t="shared" si="12"/>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 t="shared" si="13"/>
        <v>EDC+STAR</v>
      </c>
      <c r="N42" s="339" t="str" cm="1">
        <f t="array" ref="N42">IF(AND(
    SUMPRODUCT(
        (IM!$F$2:$F$2000=A42) *
        ISNUMBER(SEARCH("HUB", IM!$AC$2:$AC$2000)) *
        (IM!$X$2:$X$2000&gt;=$A$1) *
        (IM!$X$2:$X$2000&lt;=$B$1)*(W42="HUB")
    ) &gt; 0
), "HUB", "")</f>
        <v/>
      </c>
      <c r="O42" s="371" t="str">
        <f t="shared" si="18"/>
        <v>已完工</v>
      </c>
      <c r="P42" s="238" t="str">
        <f t="shared" si="14"/>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 t="shared" si="15"/>
        <v>2</v>
      </c>
      <c r="U42" s="355"/>
      <c r="V42" s="373">
        <f t="shared" si="16"/>
        <v>2</v>
      </c>
      <c r="W42" s="360" t="str">
        <f>IF(VLOOKUP(A42,'0919門市清單主檔'!B:E,4,FALSE)=0,"",VLOOKUP(A42,'0919門市清單主檔'!B:E,4,FALSE))</f>
        <v/>
      </c>
      <c r="X42" s="3" t="s">
        <v>4219</v>
      </c>
      <c r="Y42" s="5" t="s">
        <v>4220</v>
      </c>
      <c r="Z42" s="5" t="str">
        <f t="shared" si="17"/>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 t="shared" si="12"/>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 t="shared" si="13"/>
        <v>EDC+STAR</v>
      </c>
      <c r="N43" s="339" t="str" cm="1">
        <f t="array" ref="N43">IF(AND(
    SUMPRODUCT(
        (IM!$F$2:$F$2000=A43) *
        ISNUMBER(SEARCH("HUB", IM!$AC$2:$AC$2000)) *
        (IM!$X$2:$X$2000&gt;=$A$1) *
        (IM!$X$2:$X$2000&lt;=$B$1)*(W43="HUB")
    ) &gt; 0
), "HUB", "")</f>
        <v/>
      </c>
      <c r="O43" s="371" t="str">
        <f t="shared" si="18"/>
        <v>已完工</v>
      </c>
      <c r="P43" s="238" t="str">
        <f t="shared" si="14"/>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 t="shared" si="15"/>
        <v>2</v>
      </c>
      <c r="U43" s="355"/>
      <c r="V43" s="373">
        <f t="shared" si="16"/>
        <v>2</v>
      </c>
      <c r="W43" s="360" t="str">
        <f>IF(VLOOKUP(A43,'0919門市清單主檔'!B:E,4,FALSE)=0,"",VLOOKUP(A43,'0919門市清單主檔'!B:E,4,FALSE))</f>
        <v/>
      </c>
      <c r="X43" s="3" t="s">
        <v>4221</v>
      </c>
      <c r="Y43" s="5" t="s">
        <v>4222</v>
      </c>
      <c r="Z43" s="5" t="str">
        <f t="shared" si="17"/>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 t="shared" si="12"/>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 t="shared" si="13"/>
        <v>EDC</v>
      </c>
      <c r="N44" s="339" t="str" cm="1">
        <f t="array" ref="N44">IF(AND(
    SUMPRODUCT(
        (IM!$F$2:$F$2000=A44) *
        ISNUMBER(SEARCH("HUB", IM!$AC$2:$AC$2000)) *
        (IM!$X$2:$X$2000&gt;=$A$1) *
        (IM!$X$2:$X$2000&lt;=$B$1)*(W44="HUB")
    ) &gt; 0
), "HUB", "")</f>
        <v/>
      </c>
      <c r="O44" s="371" t="str">
        <f t="shared" si="18"/>
        <v>已完工</v>
      </c>
      <c r="P44" s="238" t="str">
        <f t="shared" si="14"/>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 t="shared" si="15"/>
        <v>0</v>
      </c>
      <c r="U44" s="355"/>
      <c r="V44" s="373">
        <f t="shared" si="16"/>
        <v>0</v>
      </c>
      <c r="W44" s="360" t="str">
        <f>IF(VLOOKUP(A44,'0919門市清單主檔'!B:E,4,FALSE)=0,"",VLOOKUP(A44,'0919門市清單主檔'!B:E,4,FALSE))</f>
        <v/>
      </c>
      <c r="Y44" s="5"/>
      <c r="Z44" s="5" t="str">
        <f t="shared" si="17"/>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 t="shared" si="12"/>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 t="shared" si="13"/>
        <v>EDC+STAR</v>
      </c>
      <c r="N45" s="339" t="str" cm="1">
        <f t="array" ref="N45">IF(AND(
    SUMPRODUCT(
        (IM!$F$2:$F$2000=A45) *
        ISNUMBER(SEARCH("HUB", IM!$AC$2:$AC$2000)) *
        (IM!$X$2:$X$2000&gt;=$A$1) *
        (IM!$X$2:$X$2000&lt;=$B$1)*(W45="HUB")
    ) &gt; 0
), "HUB", "")</f>
        <v/>
      </c>
      <c r="O45" s="371" t="str">
        <f t="shared" si="18"/>
        <v>已完工</v>
      </c>
      <c r="P45" s="238" t="str">
        <f t="shared" si="14"/>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 t="shared" si="15"/>
        <v>2</v>
      </c>
      <c r="U45" s="355"/>
      <c r="V45" s="373">
        <f t="shared" si="16"/>
        <v>2</v>
      </c>
      <c r="W45" s="360" t="str">
        <f>IF(VLOOKUP(A45,'0919門市清單主檔'!B:E,4,FALSE)=0,"",VLOOKUP(A45,'0919門市清單主檔'!B:E,4,FALSE))</f>
        <v/>
      </c>
      <c r="X45" s="3" t="s">
        <v>4223</v>
      </c>
      <c r="Y45" s="5" t="s">
        <v>4224</v>
      </c>
      <c r="Z45" s="5" t="str">
        <f t="shared" si="17"/>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 t="shared" si="12"/>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 t="shared" si="13"/>
        <v>EDC</v>
      </c>
      <c r="N46" s="339" t="str" cm="1">
        <f t="array" ref="N46">IF(AND(
    SUMPRODUCT(
        (IM!$F$2:$F$2000=A46) *
        ISNUMBER(SEARCH("HUB", IM!$AC$2:$AC$2000)) *
        (IM!$X$2:$X$2000&gt;=$A$1) *
        (IM!$X$2:$X$2000&lt;=$B$1)*(W46="HUB")
    ) &gt; 0
), "HUB", "")</f>
        <v/>
      </c>
      <c r="O46" s="371" t="str">
        <f t="shared" si="18"/>
        <v>已完工</v>
      </c>
      <c r="P46" s="238" t="str">
        <f t="shared" si="14"/>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 t="shared" si="15"/>
        <v>0</v>
      </c>
      <c r="U46" s="355"/>
      <c r="V46" s="373">
        <f t="shared" si="16"/>
        <v>0</v>
      </c>
      <c r="W46" s="360" t="str">
        <f>IF(VLOOKUP(A46,'0919門市清單主檔'!B:E,4,FALSE)=0,"",VLOOKUP(A46,'0919門市清單主檔'!B:E,4,FALSE))</f>
        <v/>
      </c>
      <c r="Y46" s="5"/>
      <c r="Z46" s="5" t="str">
        <f t="shared" si="17"/>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 t="shared" si="12"/>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 t="shared" si="13"/>
        <v>EDC+STAR</v>
      </c>
      <c r="N47" s="339" t="str" cm="1">
        <f t="array" ref="N47">IF(AND(
    SUMPRODUCT(
        (IM!$F$2:$F$2000=A47) *
        ISNUMBER(SEARCH("HUB", IM!$AC$2:$AC$2000)) *
        (IM!$X$2:$X$2000&gt;=$A$1) *
        (IM!$X$2:$X$2000&lt;=$B$1)*(W47="HUB")
    ) &gt; 0
), "HUB", "")</f>
        <v/>
      </c>
      <c r="O47" s="371" t="str">
        <f t="shared" si="18"/>
        <v>已完工</v>
      </c>
      <c r="P47" s="238" t="str">
        <f t="shared" si="14"/>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 t="shared" si="15"/>
        <v>2</v>
      </c>
      <c r="U47" s="355"/>
      <c r="V47" s="373">
        <f t="shared" si="16"/>
        <v>2</v>
      </c>
      <c r="W47" s="360" t="str">
        <f>IF(VLOOKUP(A47,'0919門市清單主檔'!B:E,4,FALSE)=0,"",VLOOKUP(A47,'0919門市清單主檔'!B:E,4,FALSE))</f>
        <v/>
      </c>
      <c r="X47" s="3" t="s">
        <v>4271</v>
      </c>
      <c r="Y47" s="5" t="s">
        <v>4272</v>
      </c>
      <c r="Z47" s="5" t="str">
        <f t="shared" ref="Z47:Z78" si="19">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 t="shared" si="12"/>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 t="shared" si="13"/>
        <v>EDC+STAR</v>
      </c>
      <c r="N48" s="339" t="str" cm="1">
        <f t="array" ref="N48">IF(AND(
    SUMPRODUCT(
        (IM!$F$2:$F$2000=A48) *
        ISNUMBER(SEARCH("HUB", IM!$AC$2:$AC$2000)) *
        (IM!$X$2:$X$2000&gt;=$A$1) *
        (IM!$X$2:$X$2000&lt;=$B$1)*(W48="HUB")
    ) &gt; 0
), "HUB", "")</f>
        <v/>
      </c>
      <c r="O48" s="371" t="str">
        <f t="shared" si="18"/>
        <v>已完工</v>
      </c>
      <c r="P48" s="238" t="str">
        <f t="shared" si="14"/>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 t="shared" si="15"/>
        <v>1</v>
      </c>
      <c r="U48" s="355"/>
      <c r="V48" s="373">
        <f t="shared" si="16"/>
        <v>1</v>
      </c>
      <c r="W48" s="360" t="str">
        <f>IF(VLOOKUP(A48,'0919門市清單主檔'!B:E,4,FALSE)=0,"",VLOOKUP(A48,'0919門市清單主檔'!B:E,4,FALSE))</f>
        <v/>
      </c>
      <c r="Y48" s="5" t="s">
        <v>4273</v>
      </c>
      <c r="Z48" s="5" t="str">
        <f t="shared" si="19"/>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 t="shared" si="12"/>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 t="shared" si="13"/>
        <v>EDC+STAR</v>
      </c>
      <c r="N49" s="339" t="str" cm="1">
        <f t="array" ref="N49">IF(AND(
    SUMPRODUCT(
        (IM!$F$2:$F$2000=A49) *
        ISNUMBER(SEARCH("HUB", IM!$AC$2:$AC$2000)) *
        (IM!$X$2:$X$2000&gt;=$A$1) *
        (IM!$X$2:$X$2000&lt;=$B$1)*(W49="HUB")
    ) &gt; 0
), "HUB", "")</f>
        <v/>
      </c>
      <c r="O49" s="371" t="str">
        <f t="shared" si="18"/>
        <v>已完工</v>
      </c>
      <c r="P49" s="238" t="str">
        <f t="shared" si="14"/>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 t="shared" si="15"/>
        <v>2</v>
      </c>
      <c r="U49" s="355"/>
      <c r="V49" s="373">
        <f t="shared" si="16"/>
        <v>2</v>
      </c>
      <c r="W49" s="360" t="str">
        <f>IF(VLOOKUP(A49,'0919門市清單主檔'!B:E,4,FALSE)=0,"",VLOOKUP(A49,'0919門市清單主檔'!B:E,4,FALSE))</f>
        <v/>
      </c>
      <c r="X49" s="3" t="s">
        <v>4228</v>
      </c>
      <c r="Y49" s="5" t="s">
        <v>4229</v>
      </c>
      <c r="Z49" s="5" t="str">
        <f t="shared" si="19"/>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 t="shared" si="12"/>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 t="shared" si="13"/>
        <v>EDC+STAR</v>
      </c>
      <c r="N50" s="339" t="str" cm="1">
        <f t="array" ref="N50">IF(AND(
    SUMPRODUCT(
        (IM!$F$2:$F$2000=A50) *
        ISNUMBER(SEARCH("HUB", IM!$AC$2:$AC$2000)) *
        (IM!$X$2:$X$2000&gt;=$A$1) *
        (IM!$X$2:$X$2000&lt;=$B$1)*(W50="HUB")
    ) &gt; 0
), "HUB", "")</f>
        <v/>
      </c>
      <c r="O50" s="371" t="str">
        <f t="shared" si="18"/>
        <v>已完工</v>
      </c>
      <c r="P50" s="238" t="str">
        <f t="shared" si="14"/>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 t="shared" si="15"/>
        <v>2</v>
      </c>
      <c r="U50" s="355"/>
      <c r="V50" s="373">
        <f t="shared" si="16"/>
        <v>2</v>
      </c>
      <c r="W50" s="360" t="str">
        <f>IF(VLOOKUP(A50,'0919門市清單主檔'!B:E,4,FALSE)=0,"",VLOOKUP(A50,'0919門市清單主檔'!B:E,4,FALSE))</f>
        <v/>
      </c>
      <c r="X50" s="3" t="s">
        <v>4230</v>
      </c>
      <c r="Y50" s="5" t="s">
        <v>4231</v>
      </c>
      <c r="Z50" s="5" t="str">
        <f t="shared" si="19"/>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 t="shared" si="12"/>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 t="shared" si="13"/>
        <v>EDC+STAR</v>
      </c>
      <c r="N51" s="339" t="str" cm="1">
        <f t="array" ref="N51">IF(AND(
    SUMPRODUCT(
        (IM!$F$2:$F$2000=A51) *
        ISNUMBER(SEARCH("HUB", IM!$AC$2:$AC$2000)) *
        (IM!$X$2:$X$2000&gt;=$A$1) *
        (IM!$X$2:$X$2000&lt;=$B$1)*(W51="HUB")
    ) &gt; 0
), "HUB", "")</f>
        <v/>
      </c>
      <c r="O51" s="371" t="str">
        <f t="shared" si="18"/>
        <v>已完工</v>
      </c>
      <c r="P51" s="238" t="str">
        <f t="shared" si="14"/>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 t="shared" si="15"/>
        <v>2</v>
      </c>
      <c r="U51" s="355"/>
      <c r="V51" s="373">
        <f t="shared" si="16"/>
        <v>2</v>
      </c>
      <c r="W51" s="360" t="str">
        <f>IF(VLOOKUP(A51,'0919門市清單主檔'!B:E,4,FALSE)=0,"",VLOOKUP(A51,'0919門市清單主檔'!B:E,4,FALSE))</f>
        <v/>
      </c>
      <c r="X51" s="3" t="s">
        <v>4198</v>
      </c>
      <c r="Y51" s="5" t="s">
        <v>4199</v>
      </c>
      <c r="Z51" s="5" t="str">
        <f t="shared" si="19"/>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 t="shared" si="12"/>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 t="shared" si="13"/>
        <v>EDC+STAR</v>
      </c>
      <c r="N52" s="339" t="str" cm="1">
        <f t="array" ref="N52">IF(AND(
    SUMPRODUCT(
        (IM!$F$2:$F$2000=A52) *
        ISNUMBER(SEARCH("HUB", IM!$AC$2:$AC$2000)) *
        (IM!$X$2:$X$2000&gt;=$A$1) *
        (IM!$X$2:$X$2000&lt;=$B$1)*(W52="HUB")
    ) &gt; 0
), "HUB", "")</f>
        <v/>
      </c>
      <c r="O52" s="371" t="str">
        <f t="shared" si="18"/>
        <v>已完工</v>
      </c>
      <c r="P52" s="238" t="str">
        <f t="shared" si="14"/>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 t="shared" si="15"/>
        <v>2</v>
      </c>
      <c r="U52" s="355"/>
      <c r="V52" s="373">
        <f t="shared" si="16"/>
        <v>2</v>
      </c>
      <c r="W52" s="360" t="str">
        <f>IF(VLOOKUP(A52,'0919門市清單主檔'!B:E,4,FALSE)=0,"",VLOOKUP(A52,'0919門市清單主檔'!B:E,4,FALSE))</f>
        <v/>
      </c>
      <c r="X52" s="3" t="s">
        <v>4200</v>
      </c>
      <c r="Y52" s="5" t="s">
        <v>4201</v>
      </c>
      <c r="Z52" s="5" t="str">
        <f t="shared" si="19"/>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 t="shared" si="12"/>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 t="shared" si="13"/>
        <v>EDC+STAR</v>
      </c>
      <c r="N53" s="339" t="str" cm="1">
        <f t="array" ref="N53">IF(AND(
    SUMPRODUCT(
        (IM!$F$2:$F$2000=A53) *
        ISNUMBER(SEARCH("HUB", IM!$AC$2:$AC$2000)) *
        (IM!$X$2:$X$2000&gt;=$A$1) *
        (IM!$X$2:$X$2000&lt;=$B$1)*(W53="HUB")
    ) &gt; 0
), "HUB", "")</f>
        <v/>
      </c>
      <c r="O53" s="371" t="str">
        <f t="shared" si="18"/>
        <v>已完工</v>
      </c>
      <c r="P53" s="238" t="str">
        <f t="shared" si="14"/>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 t="shared" si="15"/>
        <v>2</v>
      </c>
      <c r="U53" s="355"/>
      <c r="V53" s="373">
        <f t="shared" si="16"/>
        <v>2</v>
      </c>
      <c r="W53" s="360" t="str">
        <f>IF(VLOOKUP(A53,'0919門市清單主檔'!B:E,4,FALSE)=0,"",VLOOKUP(A53,'0919門市清單主檔'!B:E,4,FALSE))</f>
        <v/>
      </c>
      <c r="X53" s="3" t="s">
        <v>4384</v>
      </c>
      <c r="Y53" s="5" t="s">
        <v>4385</v>
      </c>
      <c r="Z53" s="5" t="str">
        <f t="shared" si="19"/>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 t="shared" si="12"/>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 t="shared" si="13"/>
        <v>EDC</v>
      </c>
      <c r="N54" s="339" t="str" cm="1">
        <f t="array" ref="N54">IF(AND(
    SUMPRODUCT(
        (IM!$F$2:$F$2000=A54) *
        ISNUMBER(SEARCH("HUB", IM!$AC$2:$AC$2000)) *
        (IM!$X$2:$X$2000&gt;=$A$1) *
        (IM!$X$2:$X$2000&lt;=$B$1)*(W54="HUB")
    ) &gt; 0
), "HUB", "")</f>
        <v/>
      </c>
      <c r="O54" s="371" t="str">
        <f t="shared" si="18"/>
        <v>已完工</v>
      </c>
      <c r="P54" s="238" t="str">
        <f t="shared" si="14"/>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 t="shared" si="15"/>
        <v>0</v>
      </c>
      <c r="U54" s="355"/>
      <c r="V54" s="373">
        <f t="shared" si="16"/>
        <v>0</v>
      </c>
      <c r="W54" s="360" t="str">
        <f>IF(VLOOKUP(A54,'0919門市清單主檔'!B:E,4,FALSE)=0,"",VLOOKUP(A54,'0919門市清單主檔'!B:E,4,FALSE))</f>
        <v/>
      </c>
      <c r="Y54" s="5"/>
      <c r="Z54" s="5" t="str">
        <f t="shared" si="19"/>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 t="shared" si="12"/>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 t="shared" si="13"/>
        <v>EDC+STAR</v>
      </c>
      <c r="N55" s="339" t="str" cm="1">
        <f t="array" ref="N55">IF(AND(
    SUMPRODUCT(
        (IM!$F$2:$F$2000=A55) *
        ISNUMBER(SEARCH("HUB", IM!$AC$2:$AC$2000)) *
        (IM!$X$2:$X$2000&gt;=$A$1) *
        (IM!$X$2:$X$2000&lt;=$B$1)*(W55="HUB")
    ) &gt; 0
), "HUB", "")</f>
        <v/>
      </c>
      <c r="O55" s="371" t="str">
        <f t="shared" si="18"/>
        <v>已完工</v>
      </c>
      <c r="P55" s="238" t="str">
        <f t="shared" si="14"/>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 t="shared" si="15"/>
        <v>2</v>
      </c>
      <c r="U55" s="355"/>
      <c r="V55" s="373">
        <f t="shared" si="16"/>
        <v>2</v>
      </c>
      <c r="W55" s="360" t="str">
        <f>IF(VLOOKUP(A55,'0919門市清單主檔'!B:E,4,FALSE)=0,"",VLOOKUP(A55,'0919門市清單主檔'!B:E,4,FALSE))</f>
        <v/>
      </c>
      <c r="X55" s="3" t="s">
        <v>4226</v>
      </c>
      <c r="Y55" s="5" t="s">
        <v>4227</v>
      </c>
      <c r="Z55" s="5" t="str">
        <f t="shared" si="19"/>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 t="shared" si="12"/>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 t="shared" si="13"/>
        <v>EDC+STAR</v>
      </c>
      <c r="N56" s="339" t="str" cm="1">
        <f t="array" ref="N56">IF(AND(
    SUMPRODUCT(
        (IM!$F$2:$F$2000=A56) *
        ISNUMBER(SEARCH("HUB", IM!$AC$2:$AC$2000)) *
        (IM!$X$2:$X$2000&gt;=$A$1) *
        (IM!$X$2:$X$2000&lt;=$B$1)*(W56="HUB")
    ) &gt; 0
), "HUB", "")</f>
        <v/>
      </c>
      <c r="O56" s="371" t="str">
        <f t="shared" si="18"/>
        <v>已完工</v>
      </c>
      <c r="P56" s="238" t="str">
        <f t="shared" si="14"/>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 t="shared" si="15"/>
        <v>2</v>
      </c>
      <c r="U56" s="355"/>
      <c r="V56" s="373">
        <f t="shared" si="16"/>
        <v>2</v>
      </c>
      <c r="W56" s="360" t="str">
        <f>IF(VLOOKUP(A56,'0919門市清單主檔'!B:E,4,FALSE)=0,"",VLOOKUP(A56,'0919門市清單主檔'!B:E,4,FALSE))</f>
        <v/>
      </c>
      <c r="X56" s="3" t="s">
        <v>4186</v>
      </c>
      <c r="Y56" s="5" t="s">
        <v>4187</v>
      </c>
      <c r="Z56" s="5" t="str">
        <f t="shared" si="19"/>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 t="shared" si="12"/>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 t="shared" si="13"/>
        <v>EDC+STAR</v>
      </c>
      <c r="N57" s="339" t="str" cm="1">
        <f t="array" ref="N57">IF(AND(
    SUMPRODUCT(
        (IM!$F$2:$F$2000=A57) *
        ISNUMBER(SEARCH("HUB", IM!$AC$2:$AC$2000)) *
        (IM!$X$2:$X$2000&gt;=$A$1) *
        (IM!$X$2:$X$2000&lt;=$B$1)*(W57="HUB")
    ) &gt; 0
), "HUB", "")</f>
        <v/>
      </c>
      <c r="O57" s="371" t="str">
        <f t="shared" si="18"/>
        <v>已完工</v>
      </c>
      <c r="P57" s="238" t="str">
        <f t="shared" si="14"/>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 t="shared" si="15"/>
        <v>2</v>
      </c>
      <c r="U57" s="355"/>
      <c r="V57" s="373">
        <f t="shared" si="16"/>
        <v>2</v>
      </c>
      <c r="W57" s="360" t="str">
        <f>IF(VLOOKUP(A57,'0919門市清單主檔'!B:E,4,FALSE)=0,"",VLOOKUP(A57,'0919門市清單主檔'!B:E,4,FALSE))</f>
        <v/>
      </c>
      <c r="X57" s="3" t="s">
        <v>4167</v>
      </c>
      <c r="Y57" s="5" t="s">
        <v>4166</v>
      </c>
      <c r="Z57" s="5" t="str">
        <f t="shared" si="19"/>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 t="shared" si="12"/>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 t="shared" si="13"/>
        <v>EDC</v>
      </c>
      <c r="N58" s="339" t="str" cm="1">
        <f t="array" ref="N58">IF(AND(
    SUMPRODUCT(
        (IM!$F$2:$F$2000=A58) *
        ISNUMBER(SEARCH("HUB", IM!$AC$2:$AC$2000)) *
        (IM!$X$2:$X$2000&gt;=$A$1) *
        (IM!$X$2:$X$2000&lt;=$B$1)*(W58="HUB")
    ) &gt; 0
), "HUB", "")</f>
        <v/>
      </c>
      <c r="O58" s="371" t="str">
        <f t="shared" si="18"/>
        <v>已完工</v>
      </c>
      <c r="P58" s="238" t="str">
        <f t="shared" si="14"/>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 t="shared" si="15"/>
        <v>0</v>
      </c>
      <c r="U58" s="355"/>
      <c r="V58" s="373">
        <f t="shared" si="16"/>
        <v>0</v>
      </c>
      <c r="W58" s="360" t="str">
        <f>IF(VLOOKUP(A58,'0919門市清單主檔'!B:E,4,FALSE)=0,"",VLOOKUP(A58,'0919門市清單主檔'!B:E,4,FALSE))</f>
        <v/>
      </c>
      <c r="Y58" s="5"/>
      <c r="Z58" s="5" t="str">
        <f t="shared" si="19"/>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 t="shared" si="12"/>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 t="shared" si="13"/>
        <v>EDC+STAR</v>
      </c>
      <c r="N59" s="339" t="str" cm="1">
        <f t="array" ref="N59">IF(AND(
    SUMPRODUCT(
        (IM!$F$2:$F$2000=A59) *
        ISNUMBER(SEARCH("HUB", IM!$AC$2:$AC$2000)) *
        (IM!$X$2:$X$2000&gt;=$A$1) *
        (IM!$X$2:$X$2000&lt;=$B$1)*(W59="HUB")
    ) &gt; 0
), "HUB", "")</f>
        <v/>
      </c>
      <c r="O59" s="371" t="str">
        <f t="shared" si="18"/>
        <v>已完工</v>
      </c>
      <c r="P59" s="238" t="str">
        <f t="shared" si="14"/>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 t="shared" si="15"/>
        <v>1</v>
      </c>
      <c r="U59" s="355"/>
      <c r="V59" s="373">
        <f t="shared" si="16"/>
        <v>1</v>
      </c>
      <c r="W59" s="360" t="str">
        <f>IF(VLOOKUP(A59,'0919門市清單主檔'!B:E,4,FALSE)=0,"",VLOOKUP(A59,'0919門市清單主檔'!B:E,4,FALSE))</f>
        <v/>
      </c>
      <c r="Y59" s="5" t="s">
        <v>4225</v>
      </c>
      <c r="Z59" s="5" t="str">
        <f t="shared" si="19"/>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 t="shared" si="12"/>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 t="shared" si="13"/>
        <v>EDC+STAR</v>
      </c>
      <c r="N60" s="339" t="str" cm="1">
        <f t="array" ref="N60">IF(AND(
    SUMPRODUCT(
        (IM!$F$2:$F$2000=A60) *
        ISNUMBER(SEARCH("HUB", IM!$AC$2:$AC$2000)) *
        (IM!$X$2:$X$2000&gt;=$A$1) *
        (IM!$X$2:$X$2000&lt;=$B$1)*(W60="HUB")
    ) &gt; 0
), "HUB", "")</f>
        <v/>
      </c>
      <c r="O60" s="371" t="str">
        <f t="shared" si="18"/>
        <v>已完工</v>
      </c>
      <c r="P60" s="238" t="str">
        <f t="shared" si="14"/>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 t="shared" si="15"/>
        <v>1</v>
      </c>
      <c r="U60" s="355"/>
      <c r="V60" s="373">
        <f t="shared" si="16"/>
        <v>1</v>
      </c>
      <c r="W60" s="360" t="str">
        <f>IF(VLOOKUP(A60,'0919門市清單主檔'!B:E,4,FALSE)=0,"",VLOOKUP(A60,'0919門市清單主檔'!B:E,4,FALSE))</f>
        <v/>
      </c>
      <c r="X60" s="3" t="s">
        <v>4185</v>
      </c>
      <c r="Y60" s="5"/>
      <c r="Z60" s="5" t="str">
        <f t="shared" si="19"/>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 t="shared" si="12"/>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 t="shared" si="13"/>
        <v>EDC+STAR</v>
      </c>
      <c r="N61" s="339" t="str" cm="1">
        <f t="array" ref="N61">IF(AND(
    SUMPRODUCT(
        (IM!$F$2:$F$2000=A61) *
        ISNUMBER(SEARCH("HUB", IM!$AC$2:$AC$2000)) *
        (IM!$X$2:$X$2000&gt;=$A$1) *
        (IM!$X$2:$X$2000&lt;=$B$1)*(W61="HUB")
    ) &gt; 0
), "HUB", "")</f>
        <v/>
      </c>
      <c r="O61" s="371" t="str">
        <f t="shared" si="18"/>
        <v>已完工</v>
      </c>
      <c r="P61" s="238" t="str">
        <f t="shared" si="14"/>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 t="shared" si="15"/>
        <v>1</v>
      </c>
      <c r="U61" s="355"/>
      <c r="V61" s="373">
        <f t="shared" si="16"/>
        <v>1</v>
      </c>
      <c r="W61" s="360" t="str">
        <f>IF(VLOOKUP(A61,'0919門市清單主檔'!B:E,4,FALSE)=0,"",VLOOKUP(A61,'0919門市清單主檔'!B:E,4,FALSE))</f>
        <v/>
      </c>
      <c r="X61" s="3" t="s">
        <v>4151</v>
      </c>
      <c r="Y61" s="5"/>
      <c r="Z61" s="5" t="str">
        <f t="shared" si="19"/>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 t="shared" si="12"/>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 t="shared" si="13"/>
        <v>EDC+STAR</v>
      </c>
      <c r="N62" s="339" t="str" cm="1">
        <f t="array" ref="N62">IF(AND(
    SUMPRODUCT(
        (IM!$F$2:$F$2000=A62) *
        ISNUMBER(SEARCH("HUB", IM!$AC$2:$AC$2000)) *
        (IM!$X$2:$X$2000&gt;=$A$1) *
        (IM!$X$2:$X$2000&lt;=$B$1)*(W62="HUB")
    ) &gt; 0
), "HUB", "")</f>
        <v/>
      </c>
      <c r="O62" s="371" t="str">
        <f t="shared" si="18"/>
        <v>已完工</v>
      </c>
      <c r="P62" s="238" t="str">
        <f t="shared" si="14"/>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 t="shared" si="15"/>
        <v>2</v>
      </c>
      <c r="U62" s="355"/>
      <c r="V62" s="373">
        <f t="shared" si="16"/>
        <v>2</v>
      </c>
      <c r="W62" s="360" t="str">
        <f>IF(VLOOKUP(A62,'0919門市清單主檔'!B:E,4,FALSE)=0,"",VLOOKUP(A62,'0919門市清單主檔'!B:E,4,FALSE))</f>
        <v/>
      </c>
      <c r="X62" s="3" t="s">
        <v>4188</v>
      </c>
      <c r="Y62" s="5" t="s">
        <v>4189</v>
      </c>
      <c r="Z62" s="5" t="str">
        <f t="shared" si="19"/>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 t="shared" si="12"/>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 t="shared" si="13"/>
        <v>EDC+STAR</v>
      </c>
      <c r="N63" s="339" t="str" cm="1">
        <f t="array" ref="N63">IF(AND(
    SUMPRODUCT(
        (IM!$F$2:$F$2000=A63) *
        ISNUMBER(SEARCH("HUB", IM!$AC$2:$AC$2000)) *
        (IM!$X$2:$X$2000&gt;=$A$1) *
        (IM!$X$2:$X$2000&lt;=$B$1)*(W63="HUB")
    ) &gt; 0
), "HUB", "")</f>
        <v/>
      </c>
      <c r="O63" s="371" t="str">
        <f t="shared" si="18"/>
        <v>已完工</v>
      </c>
      <c r="P63" s="238" t="str">
        <f t="shared" si="14"/>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 t="shared" si="15"/>
        <v>2</v>
      </c>
      <c r="U63" s="355"/>
      <c r="V63" s="373">
        <f t="shared" si="16"/>
        <v>2</v>
      </c>
      <c r="W63" s="360" t="str">
        <f>IF(VLOOKUP(A63,'0919門市清單主檔'!B:E,4,FALSE)=0,"",VLOOKUP(A63,'0919門市清單主檔'!B:E,4,FALSE))</f>
        <v/>
      </c>
      <c r="X63" s="3" t="s">
        <v>4183</v>
      </c>
      <c r="Y63" s="5" t="s">
        <v>4184</v>
      </c>
      <c r="Z63" s="5" t="str">
        <f t="shared" si="19"/>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 t="shared" si="12"/>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 t="shared" si="13"/>
        <v/>
      </c>
      <c r="N64" s="339" t="str" cm="1">
        <f t="array" ref="N64">IF(AND(
    SUMPRODUCT(
        (IM!$F$2:$F$2000=A64) *
        ISNUMBER(SEARCH("HUB", IM!$AC$2:$AC$2000)) *
        (IM!$X$2:$X$2000&gt;=$A$1) *
        (IM!$X$2:$X$2000&lt;=$B$1)*(W64="HUB")
    ) &gt; 0
), "HUB", "")</f>
        <v/>
      </c>
      <c r="O64" s="371" t="str">
        <f t="shared" si="18"/>
        <v>已完工</v>
      </c>
      <c r="P64" s="238" t="str">
        <f t="shared" si="14"/>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 t="shared" si="15"/>
        <v>0</v>
      </c>
      <c r="U64" s="355"/>
      <c r="V64" s="373">
        <f t="shared" si="16"/>
        <v>0</v>
      </c>
      <c r="W64" s="360" t="str">
        <f>IF(VLOOKUP(A64,'0919門市清單主檔'!B:E,4,FALSE)=0,"",VLOOKUP(A64,'0919門市清單主檔'!B:E,4,FALSE))</f>
        <v/>
      </c>
      <c r="Y64" s="5"/>
      <c r="Z64" s="5" t="str">
        <f t="shared" si="19"/>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 t="shared" si="12"/>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 t="shared" si="13"/>
        <v>EDC+STAR</v>
      </c>
      <c r="N65" s="339" t="str" cm="1">
        <f t="array" ref="N65">IF(AND(
    SUMPRODUCT(
        (IM!$F$2:$F$2000=A65) *
        ISNUMBER(SEARCH("HUB", IM!$AC$2:$AC$2000)) *
        (IM!$X$2:$X$2000&gt;=$A$1) *
        (IM!$X$2:$X$2000&lt;=$B$1)*(W65="HUB")
    ) &gt; 0
), "HUB", "")</f>
        <v/>
      </c>
      <c r="O65" s="371" t="str">
        <f t="shared" si="18"/>
        <v>已完工</v>
      </c>
      <c r="P65" s="238" t="str">
        <f t="shared" si="14"/>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 t="shared" si="15"/>
        <v>2</v>
      </c>
      <c r="U65" s="355"/>
      <c r="V65" s="373">
        <f t="shared" si="16"/>
        <v>2</v>
      </c>
      <c r="W65" s="360" t="str">
        <f>IF(VLOOKUP(A65,'0919門市清單主檔'!B:E,4,FALSE)=0,"",VLOOKUP(A65,'0919門市清單主檔'!B:E,4,FALSE))</f>
        <v/>
      </c>
      <c r="X65" s="3" t="s">
        <v>4376</v>
      </c>
      <c r="Y65" s="5" t="s">
        <v>4377</v>
      </c>
      <c r="Z65" s="5" t="str">
        <f t="shared" si="19"/>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 t="shared" si="12"/>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 t="shared" si="13"/>
        <v>EDC+STAR</v>
      </c>
      <c r="N66" s="339" t="str" cm="1">
        <f t="array" ref="N66">IF(AND(
    SUMPRODUCT(
        (IM!$F$2:$F$2000=A66) *
        ISNUMBER(SEARCH("HUB", IM!$AC$2:$AC$2000)) *
        (IM!$X$2:$X$2000&gt;=$A$1) *
        (IM!$X$2:$X$2000&lt;=$B$1)*(W66="HUB")
    ) &gt; 0
), "HUB", "")</f>
        <v/>
      </c>
      <c r="O66" s="371" t="str">
        <f t="shared" si="18"/>
        <v>已完工</v>
      </c>
      <c r="P66" s="238" t="str">
        <f t="shared" si="14"/>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 t="shared" si="15"/>
        <v>1</v>
      </c>
      <c r="U66" s="355"/>
      <c r="V66" s="373">
        <f t="shared" si="16"/>
        <v>1</v>
      </c>
      <c r="W66" s="360" t="str">
        <f>IF(VLOOKUP(A66,'0919門市清單主檔'!B:E,4,FALSE)=0,"",VLOOKUP(A66,'0919門市清單主檔'!B:E,4,FALSE))</f>
        <v/>
      </c>
      <c r="X66" s="3" t="s">
        <v>4190</v>
      </c>
      <c r="Y66" s="5"/>
      <c r="Z66" s="5" t="str">
        <f t="shared" si="19"/>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 t="shared" si="12"/>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 t="shared" si="13"/>
        <v>+STAR</v>
      </c>
      <c r="N67" s="339" t="str" cm="1">
        <f t="array" ref="N67">IF(AND(
    SUMPRODUCT(
        (IM!$F$2:$F$2000=A67) *
        ISNUMBER(SEARCH("HUB", IM!$AC$2:$AC$2000)) *
        (IM!$X$2:$X$2000&gt;=$A$1) *
        (IM!$X$2:$X$2000&lt;=$B$1)*(W67="HUB")
    ) &gt; 0
), "HUB", "")</f>
        <v/>
      </c>
      <c r="O67" s="371" t="str">
        <f t="shared" si="18"/>
        <v>已完工</v>
      </c>
      <c r="P67" s="238" t="str">
        <f t="shared" si="14"/>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 t="shared" si="15"/>
        <v>1</v>
      </c>
      <c r="U67" s="355"/>
      <c r="V67" s="373">
        <f t="shared" si="16"/>
        <v>1</v>
      </c>
      <c r="W67" s="360" t="str">
        <f>IF(VLOOKUP(A67,'0919門市清單主檔'!B:E,4,FALSE)=0,"",VLOOKUP(A67,'0919門市清單主檔'!B:E,4,FALSE))</f>
        <v/>
      </c>
      <c r="X67" s="3" t="s">
        <v>4258</v>
      </c>
      <c r="Y67" s="5"/>
      <c r="Z67" s="5" t="str">
        <f t="shared" si="19"/>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 t="shared" si="12"/>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 t="shared" si="13"/>
        <v>EDC+STAR</v>
      </c>
      <c r="N68" s="339" t="str" cm="1">
        <f t="array" ref="N68">IF(AND(
    SUMPRODUCT(
        (IM!$F$2:$F$2000=A68) *
        ISNUMBER(SEARCH("HUB", IM!$AC$2:$AC$2000)) *
        (IM!$X$2:$X$2000&gt;=$A$1) *
        (IM!$X$2:$X$2000&lt;=$B$1)*(W68="HUB")
    ) &gt; 0
), "HUB", "")</f>
        <v/>
      </c>
      <c r="O68" s="371" t="str">
        <f t="shared" si="18"/>
        <v>已完工</v>
      </c>
      <c r="P68" s="238" t="str">
        <f t="shared" si="14"/>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 t="shared" si="15"/>
        <v>1</v>
      </c>
      <c r="U68" s="355"/>
      <c r="V68" s="373">
        <f t="shared" si="16"/>
        <v>1</v>
      </c>
      <c r="W68" s="360" t="str">
        <f>IF(VLOOKUP(A68,'0919門市清單主檔'!B:E,4,FALSE)=0,"",VLOOKUP(A68,'0919門市清單主檔'!B:E,4,FALSE))</f>
        <v/>
      </c>
      <c r="X68" s="245"/>
      <c r="Y68" s="246" t="s">
        <v>4368</v>
      </c>
      <c r="Z68" s="5" t="str">
        <f t="shared" si="19"/>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 t="shared" si="12"/>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 t="shared" si="13"/>
        <v>EDC+STAR</v>
      </c>
      <c r="N69" s="339" t="str" cm="1">
        <f t="array" ref="N69">IF(AND(
    SUMPRODUCT(
        (IM!$F$2:$F$2000=A69) *
        ISNUMBER(SEARCH("HUB", IM!$AC$2:$AC$2000)) *
        (IM!$X$2:$X$2000&gt;=$A$1) *
        (IM!$X$2:$X$2000&lt;=$B$1)*(W69="HUB")
    ) &gt; 0
), "HUB", "")</f>
        <v/>
      </c>
      <c r="O69" s="371" t="str">
        <f t="shared" si="18"/>
        <v>已完工</v>
      </c>
      <c r="P69" s="238" t="str">
        <f t="shared" si="14"/>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 t="shared" si="15"/>
        <v>2</v>
      </c>
      <c r="U69" s="355"/>
      <c r="V69" s="373">
        <f t="shared" si="16"/>
        <v>2</v>
      </c>
      <c r="W69" s="360" t="str">
        <f>IF(VLOOKUP(A69,'0919門市清單主檔'!B:E,4,FALSE)=0,"",VLOOKUP(A69,'0919門市清單主檔'!B:E,4,FALSE))</f>
        <v/>
      </c>
      <c r="X69" s="3" t="s">
        <v>4194</v>
      </c>
      <c r="Y69" s="5" t="s">
        <v>4195</v>
      </c>
      <c r="Z69" s="5" t="str">
        <f t="shared" si="19"/>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 t="shared" si="12"/>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 t="shared" si="13"/>
        <v>EDC+STAR</v>
      </c>
      <c r="N70" s="339" t="str" cm="1">
        <f t="array" ref="N70">IF(AND(
    SUMPRODUCT(
        (IM!$F$2:$F$2000=A70) *
        ISNUMBER(SEARCH("HUB", IM!$AC$2:$AC$2000)) *
        (IM!$X$2:$X$2000&gt;=$A$1) *
        (IM!$X$2:$X$2000&lt;=$B$1)*(W70="HUB")
    ) &gt; 0
), "HUB", "")</f>
        <v/>
      </c>
      <c r="O70" s="371" t="str">
        <f t="shared" si="18"/>
        <v>已完工</v>
      </c>
      <c r="P70" s="238" t="str">
        <f t="shared" si="14"/>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 t="shared" si="15"/>
        <v>2</v>
      </c>
      <c r="U70" s="355"/>
      <c r="V70" s="373">
        <f t="shared" si="16"/>
        <v>2</v>
      </c>
      <c r="W70" s="360" t="str">
        <f>IF(VLOOKUP(A70,'0919門市清單主檔'!B:E,4,FALSE)=0,"",VLOOKUP(A70,'0919門市清單主檔'!B:E,4,FALSE))</f>
        <v/>
      </c>
      <c r="X70" s="3" t="s">
        <v>4191</v>
      </c>
      <c r="Y70" s="5" t="s">
        <v>4192</v>
      </c>
      <c r="Z70" s="5" t="str">
        <f t="shared" si="19"/>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 t="shared" si="12"/>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 t="shared" si="13"/>
        <v>EDC+STAR</v>
      </c>
      <c r="N71" s="339" t="str" cm="1">
        <f t="array" ref="N71">IF(AND(
    SUMPRODUCT(
        (IM!$F$2:$F$2000=A71) *
        ISNUMBER(SEARCH("HUB", IM!$AC$2:$AC$2000)) *
        (IM!$X$2:$X$2000&gt;=$A$1) *
        (IM!$X$2:$X$2000&lt;=$B$1)*(W71="HUB")
    ) &gt; 0
), "HUB", "")</f>
        <v/>
      </c>
      <c r="O71" s="371" t="str">
        <f t="shared" si="18"/>
        <v>已完工</v>
      </c>
      <c r="P71" s="238" t="str">
        <f t="shared" si="14"/>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 t="shared" si="15"/>
        <v>2</v>
      </c>
      <c r="U71" s="355"/>
      <c r="V71" s="373">
        <f t="shared" si="16"/>
        <v>2</v>
      </c>
      <c r="W71" s="360" t="str">
        <f>IF(VLOOKUP(A71,'0919門市清單主檔'!B:E,4,FALSE)=0,"",VLOOKUP(A71,'0919門市清單主檔'!B:E,4,FALSE))</f>
        <v/>
      </c>
      <c r="X71" s="3" t="s">
        <v>4256</v>
      </c>
      <c r="Y71" s="5" t="s">
        <v>4257</v>
      </c>
      <c r="Z71" s="5" t="str">
        <f t="shared" si="19"/>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 t="shared" si="12"/>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 t="shared" si="13"/>
        <v>EDC+STAR</v>
      </c>
      <c r="N72" s="339" t="str" cm="1">
        <f t="array" ref="N72">IF(AND(
    SUMPRODUCT(
        (IM!$F$2:$F$2000=A72) *
        ISNUMBER(SEARCH("HUB", IM!$AC$2:$AC$2000)) *
        (IM!$X$2:$X$2000&gt;=$A$1) *
        (IM!$X$2:$X$2000&lt;=$B$1)*(W72="HUB")
    ) &gt; 0
), "HUB", "")</f>
        <v/>
      </c>
      <c r="O72" s="371" t="str">
        <f t="shared" si="18"/>
        <v>已完工</v>
      </c>
      <c r="P72" s="238" t="str">
        <f t="shared" si="14"/>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 t="shared" si="15"/>
        <v>2</v>
      </c>
      <c r="U72" s="355"/>
      <c r="V72" s="373">
        <f t="shared" si="16"/>
        <v>2</v>
      </c>
      <c r="W72" s="360" t="str">
        <f>IF(VLOOKUP(A72,'0919門市清單主檔'!B:E,4,FALSE)=0,"",VLOOKUP(A72,'0919門市清單主檔'!B:E,4,FALSE))</f>
        <v/>
      </c>
      <c r="X72" s="3" t="s">
        <v>4277</v>
      </c>
      <c r="Y72" s="5" t="s">
        <v>4278</v>
      </c>
      <c r="Z72" s="5" t="str">
        <f t="shared" si="19"/>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 t="shared" si="12"/>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 t="shared" si="13"/>
        <v>EDC+STAR</v>
      </c>
      <c r="N73" s="339" t="str" cm="1">
        <f t="array" ref="N73">IF(AND(
    SUMPRODUCT(
        (IM!$F$2:$F$2000=A73) *
        ISNUMBER(SEARCH("HUB", IM!$AC$2:$AC$2000)) *
        (IM!$X$2:$X$2000&gt;=$A$1) *
        (IM!$X$2:$X$2000&lt;=$B$1)*(W73="HUB")
    ) &gt; 0
), "HUB", "")</f>
        <v/>
      </c>
      <c r="O73" s="371" t="str">
        <f t="shared" si="18"/>
        <v>已完工</v>
      </c>
      <c r="P73" s="238" t="str">
        <f t="shared" si="14"/>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 t="shared" si="15"/>
        <v>2</v>
      </c>
      <c r="U73" s="355"/>
      <c r="V73" s="373">
        <f t="shared" si="16"/>
        <v>2</v>
      </c>
      <c r="W73" s="360" t="str">
        <f>IF(VLOOKUP(A73,'0919門市清單主檔'!B:E,4,FALSE)=0,"",VLOOKUP(A73,'0919門市清單主檔'!B:E,4,FALSE))</f>
        <v/>
      </c>
      <c r="X73" s="3" t="s">
        <v>4204</v>
      </c>
      <c r="Y73" s="5" t="s">
        <v>4205</v>
      </c>
      <c r="Z73" s="5" t="str">
        <f t="shared" si="19"/>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 t="shared" si="12"/>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 t="shared" si="13"/>
        <v>EDC+STAR</v>
      </c>
      <c r="N74" s="339" t="str" cm="1">
        <f t="array" ref="N74">IF(AND(
    SUMPRODUCT(
        (IM!$F$2:$F$2000=A74) *
        ISNUMBER(SEARCH("HUB", IM!$AC$2:$AC$2000)) *
        (IM!$X$2:$X$2000&gt;=$A$1) *
        (IM!$X$2:$X$2000&lt;=$B$1)*(W74="HUB")
    ) &gt; 0
), "HUB", "")</f>
        <v/>
      </c>
      <c r="O74" s="371" t="str">
        <f t="shared" si="18"/>
        <v>已完工</v>
      </c>
      <c r="P74" s="238" t="str">
        <f t="shared" si="14"/>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 t="shared" si="15"/>
        <v>2</v>
      </c>
      <c r="U74" s="355"/>
      <c r="V74" s="373">
        <f t="shared" si="16"/>
        <v>2</v>
      </c>
      <c r="W74" s="360" t="str">
        <f>IF(VLOOKUP(A74,'0919門市清單主檔'!B:E,4,FALSE)=0,"",VLOOKUP(A74,'0919門市清單主檔'!B:E,4,FALSE))</f>
        <v/>
      </c>
      <c r="X74" s="3" t="s">
        <v>4202</v>
      </c>
      <c r="Y74" s="5" t="s">
        <v>4203</v>
      </c>
      <c r="Z74" s="5" t="str">
        <f t="shared" si="19"/>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 t="shared" si="12"/>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 t="shared" si="13"/>
        <v>EDC</v>
      </c>
      <c r="N75" s="339" t="str" cm="1">
        <f t="array" ref="N75">IF(AND(
    SUMPRODUCT(
        (IM!$F$2:$F$2000=A75) *
        ISNUMBER(SEARCH("HUB", IM!$AC$2:$AC$2000)) *
        (IM!$X$2:$X$2000&gt;=$A$1) *
        (IM!$X$2:$X$2000&lt;=$B$1)*(W75="HUB")
    ) &gt; 0
), "HUB", "")</f>
        <v/>
      </c>
      <c r="O75" s="371" t="str">
        <f t="shared" si="18"/>
        <v>已完工</v>
      </c>
      <c r="P75" s="238" t="str">
        <f t="shared" si="14"/>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 t="shared" si="15"/>
        <v>0</v>
      </c>
      <c r="U75" s="355"/>
      <c r="V75" s="373">
        <f t="shared" si="16"/>
        <v>0</v>
      </c>
      <c r="W75" s="360" t="str">
        <f>IF(VLOOKUP(A75,'0919門市清單主檔'!B:E,4,FALSE)=0,"",VLOOKUP(A75,'0919門市清單主檔'!B:E,4,FALSE))</f>
        <v/>
      </c>
      <c r="Y75" s="5"/>
      <c r="Z75" s="5" t="str">
        <f t="shared" si="19"/>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 t="shared" si="12"/>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 t="shared" si="13"/>
        <v>EDC+STAR</v>
      </c>
      <c r="N76" s="339" t="str" cm="1">
        <f t="array" ref="N76">IF(AND(
    SUMPRODUCT(
        (IM!$F$2:$F$2000=A76) *
        ISNUMBER(SEARCH("HUB", IM!$AC$2:$AC$2000)) *
        (IM!$X$2:$X$2000&gt;=$A$1) *
        (IM!$X$2:$X$2000&lt;=$B$1)*(W76="HUB")
    ) &gt; 0
), "HUB", "")</f>
        <v/>
      </c>
      <c r="O76" s="371" t="str">
        <f t="shared" si="18"/>
        <v>已完工</v>
      </c>
      <c r="P76" s="238" t="str">
        <f t="shared" si="14"/>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 t="shared" si="15"/>
        <v>2</v>
      </c>
      <c r="U76" s="355"/>
      <c r="V76" s="373">
        <f t="shared" si="16"/>
        <v>2</v>
      </c>
      <c r="W76" s="360" t="str">
        <f>IF(VLOOKUP(A76,'0919門市清單主檔'!B:E,4,FALSE)=0,"",VLOOKUP(A76,'0919門市清單主檔'!B:E,4,FALSE))</f>
        <v/>
      </c>
      <c r="X76" s="3" t="s">
        <v>4416</v>
      </c>
      <c r="Y76" s="5" t="s">
        <v>4417</v>
      </c>
      <c r="Z76" s="5" t="str">
        <f t="shared" si="19"/>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 t="shared" si="12"/>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 t="shared" si="13"/>
        <v>EDC+STAR</v>
      </c>
      <c r="N77" s="339" t="str" cm="1">
        <f t="array" ref="N77">IF(AND(
    SUMPRODUCT(
        (IM!$F$2:$F$2000=A77) *
        ISNUMBER(SEARCH("HUB", IM!$AC$2:$AC$2000)) *
        (IM!$X$2:$X$2000&gt;=$A$1) *
        (IM!$X$2:$X$2000&lt;=$B$1)*(W77="HUB")
    ) &gt; 0
), "HUB", "")</f>
        <v/>
      </c>
      <c r="O77" s="371" t="str">
        <f t="shared" si="18"/>
        <v>已完工</v>
      </c>
      <c r="P77" s="238" t="str">
        <f t="shared" si="14"/>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 t="shared" si="15"/>
        <v>2</v>
      </c>
      <c r="U77" s="355"/>
      <c r="V77" s="373">
        <f t="shared" si="16"/>
        <v>2</v>
      </c>
      <c r="W77" s="360" t="str">
        <f>IF(VLOOKUP(A77,'0919門市清單主檔'!B:E,4,FALSE)=0,"",VLOOKUP(A77,'0919門市清單主檔'!B:E,4,FALSE))</f>
        <v/>
      </c>
      <c r="X77" s="3" t="s">
        <v>4196</v>
      </c>
      <c r="Y77" s="5" t="s">
        <v>4197</v>
      </c>
      <c r="Z77" s="5" t="str">
        <f t="shared" si="19"/>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 t="shared" si="12"/>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 t="shared" si="13"/>
        <v>EDC+STAR</v>
      </c>
      <c r="N78" s="339" t="str" cm="1">
        <f t="array" ref="N78">IF(AND(
    SUMPRODUCT(
        (IM!$F$2:$F$2000=A78) *
        ISNUMBER(SEARCH("HUB", IM!$AC$2:$AC$2000)) *
        (IM!$X$2:$X$2000&gt;=$A$1) *
        (IM!$X$2:$X$2000&lt;=$B$1)*(W78="HUB")
    ) &gt; 0
), "HUB", "")</f>
        <v/>
      </c>
      <c r="O78" s="371" t="str">
        <f t="shared" si="18"/>
        <v>已完工</v>
      </c>
      <c r="P78" s="238" t="str">
        <f t="shared" si="14"/>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 t="shared" si="15"/>
        <v>2</v>
      </c>
      <c r="U78" s="355"/>
      <c r="V78" s="373">
        <f t="shared" si="16"/>
        <v>2</v>
      </c>
      <c r="W78" s="360" t="str">
        <f>IF(VLOOKUP(A78,'0919門市清單主檔'!B:E,4,FALSE)=0,"",VLOOKUP(A78,'0919門市清單主檔'!B:E,4,FALSE))</f>
        <v/>
      </c>
      <c r="X78" s="3" t="s">
        <v>4386</v>
      </c>
      <c r="Y78" s="5" t="s">
        <v>4387</v>
      </c>
      <c r="Z78" s="5" t="str">
        <f t="shared" si="19"/>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 t="shared" ref="H79:H142" si="20">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 t="shared" ref="M79:M142" si="21">Q79&amp;IF(R79&lt;&gt;"",$P$2,"")&amp;R79</f>
        <v>EDC+STAR</v>
      </c>
      <c r="N79" s="339" t="str" cm="1">
        <f t="array" ref="N79">IF(AND(
    SUMPRODUCT(
        (IM!$F$2:$F$2000=A79) *
        ISNUMBER(SEARCH("HUB", IM!$AC$2:$AC$2000)) *
        (IM!$X$2:$X$2000&gt;=$A$1) *
        (IM!$X$2:$X$2000&lt;=$B$1)*(W79="HUB")
    ) &gt; 0
), "HUB", "")</f>
        <v/>
      </c>
      <c r="O79" s="371" t="str">
        <f t="shared" si="18"/>
        <v>已完工</v>
      </c>
      <c r="P79" s="238" t="str">
        <f t="shared" ref="P79:P142" si="22">(TEXT(I79,"yyyymmdd"))&amp;$S$2&amp;A79&amp;$S$2&amp;B79&amp;$Q$2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 t="shared" ref="T79:T142" si="23">IF(AND(X79&lt;&gt;"", Y79&lt;&gt;""), 2, IF(OR(X79&lt;&gt;"", Y79&lt;&gt;""), 1, 0))</f>
        <v>1</v>
      </c>
      <c r="U79" s="355"/>
      <c r="V79" s="373">
        <f t="shared" ref="V79:V142" si="24">IF(OR(R79="STAR", T79="", U79=""), T79,
"總數：" &amp; T79 &amp; CHAR(10) &amp;
"已維修：" &amp; U79 &amp; CHAR(10) &amp;
"未更換：" &amp; (T79 - U79))</f>
        <v>1</v>
      </c>
      <c r="W79" s="360" t="str">
        <f>IF(VLOOKUP(A79,'0919門市清單主檔'!B:E,4,FALSE)=0,"",VLOOKUP(A79,'0919門市清單主檔'!B:E,4,FALSE))</f>
        <v/>
      </c>
      <c r="X79" s="3" t="s">
        <v>4255</v>
      </c>
      <c r="Y79" s="5"/>
      <c r="Z79" s="5" t="str">
        <f t="shared" ref="Z79:Z110" si="25">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 t="shared" si="20"/>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 t="shared" si="21"/>
        <v>EDC+STAR</v>
      </c>
      <c r="N80" s="339" t="str" cm="1">
        <f t="array" ref="N80">IF(AND(
    SUMPRODUCT(
        (IM!$F$2:$F$2000=A80) *
        ISNUMBER(SEARCH("HUB", IM!$AC$2:$AC$2000)) *
        (IM!$X$2:$X$2000&gt;=$A$1) *
        (IM!$X$2:$X$2000&lt;=$B$1)*(W80="HUB")
    ) &gt; 0
), "HUB", "")</f>
        <v/>
      </c>
      <c r="O80" s="371" t="str">
        <f t="shared" ref="O80:O143" si="26">IF(I80="","未到店",
IF(AND(S80&gt;I80, R80="STAR", NOT(AND(G80&lt;&gt;"萊到店 WebPOS", Q80&lt;&gt;"EDC"))), "完工已補裝",
IF(AND(G80&lt;&gt;"萊到店 WebPOS", Q80&lt;&gt;"EDC"), "EDC異常",
IF(AND(W80="HUB", N80=""), "HUB異常",
IF(OR(AND(Z80="STAR", R80="STAR"), AND(Z80&lt;&gt;"STAR", R80="")), "已完工", "STAR異常")
))))</f>
        <v>已完工</v>
      </c>
      <c r="P80" s="238" t="str">
        <f t="shared" si="22"/>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 t="shared" si="23"/>
        <v>2</v>
      </c>
      <c r="U80" s="355"/>
      <c r="V80" s="373">
        <f t="shared" si="24"/>
        <v>2</v>
      </c>
      <c r="W80" s="360" t="str">
        <f>IF(VLOOKUP(A80,'0919門市清單主檔'!B:E,4,FALSE)=0,"",VLOOKUP(A80,'0919門市清單主檔'!B:E,4,FALSE))</f>
        <v/>
      </c>
      <c r="X80" s="3" t="s">
        <v>4410</v>
      </c>
      <c r="Y80" s="5" t="s">
        <v>4411</v>
      </c>
      <c r="Z80" s="5" t="str">
        <f t="shared" si="25"/>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 t="shared" si="20"/>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 t="shared" si="21"/>
        <v>EDC+STAR</v>
      </c>
      <c r="N81" s="339" t="str" cm="1">
        <f t="array" ref="N81">IF(AND(
    SUMPRODUCT(
        (IM!$F$2:$F$2000=A81) *
        ISNUMBER(SEARCH("HUB", IM!$AC$2:$AC$2000)) *
        (IM!$X$2:$X$2000&gt;=$A$1) *
        (IM!$X$2:$X$2000&lt;=$B$1)*(W81="HUB")
    ) &gt; 0
), "HUB", "")</f>
        <v/>
      </c>
      <c r="O81" s="371" t="str">
        <f t="shared" si="26"/>
        <v>已完工</v>
      </c>
      <c r="P81" s="238" t="str">
        <f t="shared" si="22"/>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 t="shared" si="23"/>
        <v>2</v>
      </c>
      <c r="U81" s="355"/>
      <c r="V81" s="373">
        <f t="shared" si="24"/>
        <v>2</v>
      </c>
      <c r="W81" s="360" t="str">
        <f>IF(VLOOKUP(A81,'0919門市清單主檔'!B:E,4,FALSE)=0,"",VLOOKUP(A81,'0919門市清單主檔'!B:E,4,FALSE))</f>
        <v/>
      </c>
      <c r="X81" s="3" t="s">
        <v>4236</v>
      </c>
      <c r="Y81" s="5" t="s">
        <v>4237</v>
      </c>
      <c r="Z81" s="5" t="str">
        <f t="shared" si="25"/>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 t="shared" si="20"/>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 t="shared" si="21"/>
        <v>EDC</v>
      </c>
      <c r="N82" s="339" t="str" cm="1">
        <f t="array" ref="N82">IF(AND(
    SUMPRODUCT(
        (IM!$F$2:$F$2000=A82) *
        ISNUMBER(SEARCH("HUB", IM!$AC$2:$AC$2000)) *
        (IM!$X$2:$X$2000&gt;=$A$1) *
        (IM!$X$2:$X$2000&lt;=$B$1)*(W82="HUB")
    ) &gt; 0
), "HUB", "")</f>
        <v/>
      </c>
      <c r="O82" s="371" t="str">
        <f t="shared" si="26"/>
        <v>已完工</v>
      </c>
      <c r="P82" s="238" t="str">
        <f t="shared" si="22"/>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 t="shared" si="23"/>
        <v>0</v>
      </c>
      <c r="U82" s="355"/>
      <c r="V82" s="373">
        <f t="shared" si="24"/>
        <v>0</v>
      </c>
      <c r="W82" s="360" t="str">
        <f>IF(VLOOKUP(A82,'0919門市清單主檔'!B:E,4,FALSE)=0,"",VLOOKUP(A82,'0919門市清單主檔'!B:E,4,FALSE))</f>
        <v/>
      </c>
      <c r="Y82" s="5"/>
      <c r="Z82" s="5" t="str">
        <f t="shared" si="25"/>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 t="shared" si="20"/>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 t="shared" si="21"/>
        <v>EDC</v>
      </c>
      <c r="N83" s="339" t="str" cm="1">
        <f t="array" ref="N83">IF(AND(
    SUMPRODUCT(
        (IM!$F$2:$F$2000=A83) *
        ISNUMBER(SEARCH("HUB", IM!$AC$2:$AC$2000)) *
        (IM!$X$2:$X$2000&gt;=$A$1) *
        (IM!$X$2:$X$2000&lt;=$B$1)*(W83="HUB")
    ) &gt; 0
), "HUB", "")</f>
        <v/>
      </c>
      <c r="O83" s="371" t="str">
        <f t="shared" si="26"/>
        <v>已完工</v>
      </c>
      <c r="P83" s="238" t="str">
        <f t="shared" si="22"/>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 t="shared" si="23"/>
        <v>0</v>
      </c>
      <c r="U83" s="355"/>
      <c r="V83" s="373">
        <f t="shared" si="24"/>
        <v>0</v>
      </c>
      <c r="W83" s="360" t="str">
        <f>IF(VLOOKUP(A83,'0919門市清單主檔'!B:E,4,FALSE)=0,"",VLOOKUP(A83,'0919門市清單主檔'!B:E,4,FALSE))</f>
        <v/>
      </c>
      <c r="Y83" s="5"/>
      <c r="Z83" s="5" t="str">
        <f t="shared" si="25"/>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 t="shared" si="20"/>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 t="shared" si="21"/>
        <v>EDC+STAR</v>
      </c>
      <c r="N84" s="339" t="str" cm="1">
        <f t="array" ref="N84">IF(AND(
    SUMPRODUCT(
        (IM!$F$2:$F$2000=A84) *
        ISNUMBER(SEARCH("HUB", IM!$AC$2:$AC$2000)) *
        (IM!$X$2:$X$2000&gt;=$A$1) *
        (IM!$X$2:$X$2000&lt;=$B$1)*(W84="HUB")
    ) &gt; 0
), "HUB", "")</f>
        <v/>
      </c>
      <c r="O84" s="371" t="str">
        <f t="shared" si="26"/>
        <v>已完工</v>
      </c>
      <c r="P84" s="238" t="str">
        <f t="shared" si="22"/>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 t="shared" si="23"/>
        <v>2</v>
      </c>
      <c r="U84" s="355"/>
      <c r="V84" s="373">
        <f t="shared" si="24"/>
        <v>2</v>
      </c>
      <c r="W84" s="360" t="str">
        <f>IF(VLOOKUP(A84,'0919門市清單主檔'!B:E,4,FALSE)=0,"",VLOOKUP(A84,'0919門市清單主檔'!B:E,4,FALSE))</f>
        <v/>
      </c>
      <c r="X84" s="3" t="s">
        <v>4240</v>
      </c>
      <c r="Y84" s="5" t="s">
        <v>4241</v>
      </c>
      <c r="Z84" s="5" t="str">
        <f t="shared" si="25"/>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 t="shared" si="20"/>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 t="shared" si="21"/>
        <v>EDC+STAR</v>
      </c>
      <c r="N85" s="339" t="str" cm="1">
        <f t="array" ref="N85">IF(AND(
    SUMPRODUCT(
        (IM!$F$2:$F$2000=A85) *
        ISNUMBER(SEARCH("HUB", IM!$AC$2:$AC$2000)) *
        (IM!$X$2:$X$2000&gt;=$A$1) *
        (IM!$X$2:$X$2000&lt;=$B$1)*(W85="HUB")
    ) &gt; 0
), "HUB", "")</f>
        <v/>
      </c>
      <c r="O85" s="371" t="str">
        <f t="shared" si="26"/>
        <v>已完工</v>
      </c>
      <c r="P85" s="238" t="str">
        <f t="shared" si="22"/>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 t="shared" si="23"/>
        <v>2</v>
      </c>
      <c r="U85" s="355"/>
      <c r="V85" s="373">
        <f t="shared" si="24"/>
        <v>2</v>
      </c>
      <c r="W85" s="360" t="str">
        <f>IF(VLOOKUP(A85,'0919門市清單主檔'!B:E,4,FALSE)=0,"",VLOOKUP(A85,'0919門市清單主檔'!B:E,4,FALSE))</f>
        <v/>
      </c>
      <c r="X85" s="3" t="s">
        <v>4242</v>
      </c>
      <c r="Y85" s="5" t="s">
        <v>4243</v>
      </c>
      <c r="Z85" s="5" t="str">
        <f t="shared" si="25"/>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 t="shared" si="20"/>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 t="shared" si="21"/>
        <v>EDC+STAR</v>
      </c>
      <c r="N86" s="339" t="str" cm="1">
        <f t="array" ref="N86">IF(AND(
    SUMPRODUCT(
        (IM!$F$2:$F$2000=A86) *
        ISNUMBER(SEARCH("HUB", IM!$AC$2:$AC$2000)) *
        (IM!$X$2:$X$2000&gt;=$A$1) *
        (IM!$X$2:$X$2000&lt;=$B$1)*(W86="HUB")
    ) &gt; 0
), "HUB", "")</f>
        <v/>
      </c>
      <c r="O86" s="371" t="str">
        <f t="shared" si="26"/>
        <v>已完工</v>
      </c>
      <c r="P86" s="238" t="str">
        <f t="shared" si="22"/>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 t="shared" si="23"/>
        <v>2</v>
      </c>
      <c r="U86" s="355"/>
      <c r="V86" s="373">
        <f t="shared" si="24"/>
        <v>2</v>
      </c>
      <c r="W86" s="360" t="str">
        <f>IF(VLOOKUP(A86,'0919門市清單主檔'!B:E,4,FALSE)=0,"",VLOOKUP(A86,'0919門市清單主檔'!B:E,4,FALSE))</f>
        <v/>
      </c>
      <c r="X86" s="3" t="s">
        <v>4234</v>
      </c>
      <c r="Y86" s="5" t="s">
        <v>4235</v>
      </c>
      <c r="Z86" s="5" t="str">
        <f t="shared" si="25"/>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 t="shared" si="20"/>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 t="shared" si="21"/>
        <v>EDC</v>
      </c>
      <c r="N87" s="339" t="str" cm="1">
        <f t="array" ref="N87">IF(AND(
    SUMPRODUCT(
        (IM!$F$2:$F$2000=A87) *
        ISNUMBER(SEARCH("HUB", IM!$AC$2:$AC$2000)) *
        (IM!$X$2:$X$2000&gt;=$A$1) *
        (IM!$X$2:$X$2000&lt;=$B$1)*(W87="HUB")
    ) &gt; 0
), "HUB", "")</f>
        <v/>
      </c>
      <c r="O87" s="371" t="str">
        <f t="shared" si="26"/>
        <v>已完工</v>
      </c>
      <c r="P87" s="238" t="str">
        <f t="shared" si="22"/>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 t="shared" si="23"/>
        <v>0</v>
      </c>
      <c r="U87" s="355"/>
      <c r="V87" s="373">
        <f t="shared" si="24"/>
        <v>0</v>
      </c>
      <c r="W87" s="360" t="str">
        <f>IF(VLOOKUP(A87,'0919門市清單主檔'!B:E,4,FALSE)=0,"",VLOOKUP(A87,'0919門市清單主檔'!B:E,4,FALSE))</f>
        <v/>
      </c>
      <c r="Y87" s="5"/>
      <c r="Z87" s="5" t="str">
        <f t="shared" si="25"/>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 t="shared" si="20"/>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 t="shared" si="21"/>
        <v>EDC+STAR</v>
      </c>
      <c r="N88" s="339" t="str" cm="1">
        <f t="array" ref="N88">IF(AND(
    SUMPRODUCT(
        (IM!$F$2:$F$2000=A88) *
        ISNUMBER(SEARCH("HUB", IM!$AC$2:$AC$2000)) *
        (IM!$X$2:$X$2000&gt;=$A$1) *
        (IM!$X$2:$X$2000&lt;=$B$1)*(W88="HUB")
    ) &gt; 0
), "HUB", "")</f>
        <v/>
      </c>
      <c r="O88" s="371" t="str">
        <f t="shared" si="26"/>
        <v>已完工</v>
      </c>
      <c r="P88" s="238" t="str">
        <f t="shared" si="22"/>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 t="shared" si="23"/>
        <v>2</v>
      </c>
      <c r="U88" s="355"/>
      <c r="V88" s="373">
        <f t="shared" si="24"/>
        <v>2</v>
      </c>
      <c r="W88" s="360" t="str">
        <f>IF(VLOOKUP(A88,'0919門市清單主檔'!B:E,4,FALSE)=0,"",VLOOKUP(A88,'0919門市清單主檔'!B:E,4,FALSE))</f>
        <v/>
      </c>
      <c r="X88" s="3" t="s">
        <v>4288</v>
      </c>
      <c r="Y88" s="5" t="s">
        <v>4289</v>
      </c>
      <c r="Z88" s="5" t="str">
        <f t="shared" si="25"/>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 t="shared" si="20"/>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 t="shared" si="21"/>
        <v>EDC+STAR</v>
      </c>
      <c r="N89" s="339" t="str" cm="1">
        <f t="array" ref="N89">IF(AND(
    SUMPRODUCT(
        (IM!$F$2:$F$2000=A89) *
        ISNUMBER(SEARCH("HUB", IM!$AC$2:$AC$2000)) *
        (IM!$X$2:$X$2000&gt;=$A$1) *
        (IM!$X$2:$X$2000&lt;=$B$1)*(W89="HUB")
    ) &gt; 0
), "HUB", "")</f>
        <v/>
      </c>
      <c r="O89" s="371" t="str">
        <f t="shared" si="26"/>
        <v>已完工</v>
      </c>
      <c r="P89" s="238" t="str">
        <f t="shared" si="22"/>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 t="shared" si="23"/>
        <v>1</v>
      </c>
      <c r="U89" s="355"/>
      <c r="V89" s="373">
        <f t="shared" si="24"/>
        <v>1</v>
      </c>
      <c r="W89" s="360" t="str">
        <f>IF(VLOOKUP(A89,'0919門市清單主檔'!B:E,4,FALSE)=0,"",VLOOKUP(A89,'0919門市清單主檔'!B:E,4,FALSE))</f>
        <v/>
      </c>
      <c r="Y89" s="5" t="s">
        <v>4274</v>
      </c>
      <c r="Z89" s="5" t="str">
        <f t="shared" si="25"/>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 t="shared" si="20"/>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 t="shared" si="21"/>
        <v>EDC+STAR</v>
      </c>
      <c r="N90" s="339" t="str" cm="1">
        <f t="array" ref="N90">IF(AND(
    SUMPRODUCT(
        (IM!$F$2:$F$2000=A90) *
        ISNUMBER(SEARCH("HUB", IM!$AC$2:$AC$2000)) *
        (IM!$X$2:$X$2000&gt;=$A$1) *
        (IM!$X$2:$X$2000&lt;=$B$1)*(W90="HUB")
    ) &gt; 0
), "HUB", "")</f>
        <v/>
      </c>
      <c r="O90" s="371" t="str">
        <f t="shared" si="26"/>
        <v>已完工</v>
      </c>
      <c r="P90" s="238" t="str">
        <f t="shared" si="22"/>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 t="shared" si="23"/>
        <v>2</v>
      </c>
      <c r="U90" s="355"/>
      <c r="V90" s="373">
        <f t="shared" si="24"/>
        <v>2</v>
      </c>
      <c r="W90" s="360" t="str">
        <f>IF(VLOOKUP(A90,'0919門市清單主檔'!B:E,4,FALSE)=0,"",VLOOKUP(A90,'0919門市清單主檔'!B:E,4,FALSE))</f>
        <v/>
      </c>
      <c r="X90" s="3" t="s">
        <v>4334</v>
      </c>
      <c r="Y90" s="5" t="s">
        <v>4335</v>
      </c>
      <c r="Z90" s="5" t="str">
        <f t="shared" si="25"/>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 t="shared" si="20"/>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 t="shared" si="21"/>
        <v>EDC</v>
      </c>
      <c r="N91" s="339" t="str" cm="1">
        <f t="array" ref="N91">IF(AND(
    SUMPRODUCT(
        (IM!$F$2:$F$2000=A91) *
        ISNUMBER(SEARCH("HUB", IM!$AC$2:$AC$2000)) *
        (IM!$X$2:$X$2000&gt;=$A$1) *
        (IM!$X$2:$X$2000&lt;=$B$1)*(W91="HUB")
    ) &gt; 0
), "HUB", "")</f>
        <v/>
      </c>
      <c r="O91" s="371" t="str">
        <f t="shared" si="26"/>
        <v>STAR異常</v>
      </c>
      <c r="P91" s="238" t="str">
        <f t="shared" si="22"/>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 t="shared" si="23"/>
        <v>2</v>
      </c>
      <c r="U91" s="355"/>
      <c r="V91" s="373">
        <f t="shared" si="24"/>
        <v>2</v>
      </c>
      <c r="W91" s="360" t="str">
        <f>IF(VLOOKUP(A91,'0919門市清單主檔'!B:E,4,FALSE)=0,"",VLOOKUP(A91,'0919門市清單主檔'!B:E,4,FALSE))</f>
        <v/>
      </c>
      <c r="X91" s="3" t="s">
        <v>4362</v>
      </c>
      <c r="Y91" s="5" t="s">
        <v>4363</v>
      </c>
      <c r="Z91" s="5" t="str">
        <f t="shared" si="25"/>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 t="shared" si="20"/>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 t="shared" si="21"/>
        <v>EDC</v>
      </c>
      <c r="N92" s="339" t="str" cm="1">
        <f t="array" ref="N92">IF(AND(
    SUMPRODUCT(
        (IM!$F$2:$F$2000=A92) *
        ISNUMBER(SEARCH("HUB", IM!$AC$2:$AC$2000)) *
        (IM!$X$2:$X$2000&gt;=$A$1) *
        (IM!$X$2:$X$2000&lt;=$B$1)*(W92="HUB")
    ) &gt; 0
), "HUB", "")</f>
        <v/>
      </c>
      <c r="O92" s="371" t="str">
        <f t="shared" si="26"/>
        <v>STAR異常</v>
      </c>
      <c r="P92" s="238" t="str">
        <f t="shared" si="22"/>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 t="shared" si="23"/>
        <v>2</v>
      </c>
      <c r="U92" s="355"/>
      <c r="V92" s="373">
        <f t="shared" si="24"/>
        <v>2</v>
      </c>
      <c r="W92" s="360" t="str">
        <f>IF(VLOOKUP(A92,'0919門市清單主檔'!B:E,4,FALSE)=0,"",VLOOKUP(A92,'0919門市清單主檔'!B:E,4,FALSE))</f>
        <v/>
      </c>
      <c r="X92" s="3" t="s">
        <v>4155</v>
      </c>
      <c r="Y92" s="5" t="s">
        <v>4156</v>
      </c>
      <c r="Z92" s="5" t="str">
        <f t="shared" si="25"/>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 t="shared" si="20"/>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 t="shared" si="21"/>
        <v>EDC</v>
      </c>
      <c r="N93" s="339" t="str" cm="1">
        <f t="array" ref="N93">IF(AND(
    SUMPRODUCT(
        (IM!$F$2:$F$2000=A93) *
        ISNUMBER(SEARCH("HUB", IM!$AC$2:$AC$2000)) *
        (IM!$X$2:$X$2000&gt;=$A$1) *
        (IM!$X$2:$X$2000&lt;=$B$1)*(W93="HUB")
    ) &gt; 0
), "HUB", "")</f>
        <v/>
      </c>
      <c r="O93" s="371" t="str">
        <f t="shared" si="26"/>
        <v>已完工</v>
      </c>
      <c r="P93" s="238" t="str">
        <f t="shared" si="22"/>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 t="shared" si="23"/>
        <v>0</v>
      </c>
      <c r="U93" s="355"/>
      <c r="V93" s="373">
        <f t="shared" si="24"/>
        <v>0</v>
      </c>
      <c r="W93" s="360" t="str">
        <f>IF(VLOOKUP(A93,'0919門市清單主檔'!B:E,4,FALSE)=0,"",VLOOKUP(A93,'0919門市清單主檔'!B:E,4,FALSE))</f>
        <v/>
      </c>
      <c r="Y93" s="5"/>
      <c r="Z93" s="5" t="str">
        <f t="shared" si="25"/>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 t="shared" si="20"/>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 t="shared" si="21"/>
        <v>EDC</v>
      </c>
      <c r="N94" s="339" t="str" cm="1">
        <f t="array" ref="N94">IF(AND(
    SUMPRODUCT(
        (IM!$F$2:$F$2000=A94) *
        ISNUMBER(SEARCH("HUB", IM!$AC$2:$AC$2000)) *
        (IM!$X$2:$X$2000&gt;=$A$1) *
        (IM!$X$2:$X$2000&lt;=$B$1)*(W94="HUB")
    ) &gt; 0
), "HUB", "")</f>
        <v/>
      </c>
      <c r="O94" s="371" t="str">
        <f t="shared" si="26"/>
        <v>STAR異常</v>
      </c>
      <c r="P94" s="238" t="str">
        <f t="shared" si="22"/>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 t="shared" si="23"/>
        <v>2</v>
      </c>
      <c r="U94" s="355"/>
      <c r="V94" s="373">
        <f t="shared" si="24"/>
        <v>2</v>
      </c>
      <c r="W94" s="360" t="str">
        <f>IF(VLOOKUP(A94,'0919門市清單主檔'!B:E,4,FALSE)=0,"",VLOOKUP(A94,'0919門市清單主檔'!B:E,4,FALSE))</f>
        <v/>
      </c>
      <c r="X94" s="3" t="s">
        <v>4143</v>
      </c>
      <c r="Y94" s="5" t="s">
        <v>4144</v>
      </c>
      <c r="Z94" s="5" t="str">
        <f t="shared" si="25"/>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 t="shared" si="20"/>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 t="shared" si="21"/>
        <v>EDC</v>
      </c>
      <c r="N95" s="339" t="str" cm="1">
        <f t="array" ref="N95">IF(AND(
    SUMPRODUCT(
        (IM!$F$2:$F$2000=A95) *
        ISNUMBER(SEARCH("HUB", IM!$AC$2:$AC$2000)) *
        (IM!$X$2:$X$2000&gt;=$A$1) *
        (IM!$X$2:$X$2000&lt;=$B$1)*(W95="HUB")
    ) &gt; 0
), "HUB", "")</f>
        <v/>
      </c>
      <c r="O95" s="371" t="str">
        <f t="shared" si="26"/>
        <v>已完工</v>
      </c>
      <c r="P95" s="238" t="str">
        <f t="shared" si="22"/>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 t="shared" si="23"/>
        <v>0</v>
      </c>
      <c r="U95" s="355"/>
      <c r="V95" s="373">
        <f t="shared" si="24"/>
        <v>0</v>
      </c>
      <c r="W95" s="360" t="str">
        <f>IF(VLOOKUP(A95,'0919門市清單主檔'!B:E,4,FALSE)=0,"",VLOOKUP(A95,'0919門市清單主檔'!B:E,4,FALSE))</f>
        <v/>
      </c>
      <c r="Y95" s="5"/>
      <c r="Z95" s="5" t="str">
        <f t="shared" si="25"/>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 t="shared" si="20"/>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 t="shared" si="21"/>
        <v>EDC</v>
      </c>
      <c r="N96" s="339" t="str" cm="1">
        <f t="array" ref="N96">IF(AND(
    SUMPRODUCT(
        (IM!$F$2:$F$2000=A96) *
        ISNUMBER(SEARCH("HUB", IM!$AC$2:$AC$2000)) *
        (IM!$X$2:$X$2000&gt;=$A$1) *
        (IM!$X$2:$X$2000&lt;=$B$1)*(W96="HUB")
    ) &gt; 0
), "HUB", "")</f>
        <v/>
      </c>
      <c r="O96" s="371" t="str">
        <f t="shared" si="26"/>
        <v>STAR異常</v>
      </c>
      <c r="P96" s="238" t="str">
        <f t="shared" si="22"/>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 t="shared" si="23"/>
        <v>2</v>
      </c>
      <c r="U96" s="355"/>
      <c r="V96" s="373">
        <f t="shared" si="24"/>
        <v>2</v>
      </c>
      <c r="W96" s="360" t="str">
        <f>IF(VLOOKUP(A96,'0919門市清單主檔'!B:E,4,FALSE)=0,"",VLOOKUP(A96,'0919門市清單主檔'!B:E,4,FALSE))</f>
        <v/>
      </c>
      <c r="X96" s="3" t="s">
        <v>4295</v>
      </c>
      <c r="Y96" s="5" t="s">
        <v>4296</v>
      </c>
      <c r="Z96" s="5" t="str">
        <f t="shared" si="25"/>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 t="shared" si="20"/>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 t="shared" si="21"/>
        <v>EDC+STAR</v>
      </c>
      <c r="N97" s="339" t="str" cm="1">
        <f t="array" ref="N97">IF(AND(
    SUMPRODUCT(
        (IM!$F$2:$F$2000=A97) *
        ISNUMBER(SEARCH("HUB", IM!$AC$2:$AC$2000)) *
        (IM!$X$2:$X$2000&gt;=$A$1) *
        (IM!$X$2:$X$2000&lt;=$B$1)*(W97="HUB")
    ) &gt; 0
), "HUB", "")</f>
        <v/>
      </c>
      <c r="O97" s="371" t="str">
        <f t="shared" si="26"/>
        <v>完工已補裝</v>
      </c>
      <c r="P97" s="238" t="str">
        <f t="shared" si="22"/>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 t="shared" si="23"/>
        <v>1</v>
      </c>
      <c r="U97" s="355">
        <v>1</v>
      </c>
      <c r="V97" s="373">
        <f t="shared" si="24"/>
        <v>1</v>
      </c>
      <c r="W97" s="360" t="str">
        <f>IF(VLOOKUP(A97,'0919門市清單主檔'!B:E,4,FALSE)=0,"",VLOOKUP(A97,'0919門市清單主檔'!B:E,4,FALSE))</f>
        <v/>
      </c>
      <c r="Y97" s="5" t="s">
        <v>4168</v>
      </c>
      <c r="Z97" s="5" t="str">
        <f t="shared" si="25"/>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 t="shared" si="20"/>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 t="shared" si="21"/>
        <v>EDC</v>
      </c>
      <c r="N98" s="339" t="str" cm="1">
        <f t="array" ref="N98">IF(AND(
    SUMPRODUCT(
        (IM!$F$2:$F$2000=A98) *
        ISNUMBER(SEARCH("HUB", IM!$AC$2:$AC$2000)) *
        (IM!$X$2:$X$2000&gt;=$A$1) *
        (IM!$X$2:$X$2000&lt;=$B$1)*(W98="HUB")
    ) &gt; 0
), "HUB", "")</f>
        <v/>
      </c>
      <c r="O98" s="371" t="str">
        <f t="shared" si="26"/>
        <v>STAR異常</v>
      </c>
      <c r="P98" s="238" t="str">
        <f t="shared" si="22"/>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 t="shared" si="23"/>
        <v>2</v>
      </c>
      <c r="U98" s="355"/>
      <c r="V98" s="373">
        <f t="shared" si="24"/>
        <v>2</v>
      </c>
      <c r="W98" s="360" t="str">
        <f>IF(VLOOKUP(A98,'0919門市清單主檔'!B:E,4,FALSE)=0,"",VLOOKUP(A98,'0919門市清單主檔'!B:E,4,FALSE))</f>
        <v/>
      </c>
      <c r="X98" s="3" t="s">
        <v>4253</v>
      </c>
      <c r="Y98" s="5" t="s">
        <v>4254</v>
      </c>
      <c r="Z98" s="5" t="str">
        <f t="shared" si="25"/>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 t="shared" si="20"/>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 t="shared" si="21"/>
        <v>EDC</v>
      </c>
      <c r="N99" s="339" t="str" cm="1">
        <f t="array" ref="N99">IF(AND(
    SUMPRODUCT(
        (IM!$F$2:$F$2000=A99) *
        ISNUMBER(SEARCH("HUB", IM!$AC$2:$AC$2000)) *
        (IM!$X$2:$X$2000&gt;=$A$1) *
        (IM!$X$2:$X$2000&lt;=$B$1)*(W99="HUB")
    ) &gt; 0
), "HUB", "")</f>
        <v/>
      </c>
      <c r="O99" s="371" t="str">
        <f t="shared" si="26"/>
        <v>STAR異常</v>
      </c>
      <c r="P99" s="238" t="str">
        <f t="shared" si="22"/>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 t="shared" si="23"/>
        <v>2</v>
      </c>
      <c r="U99" s="355"/>
      <c r="V99" s="373">
        <f t="shared" si="24"/>
        <v>2</v>
      </c>
      <c r="W99" s="360" t="str">
        <f>IF(VLOOKUP(A99,'0919門市清單主檔'!B:E,4,FALSE)=0,"",VLOOKUP(A99,'0919門市清單主檔'!B:E,4,FALSE))</f>
        <v/>
      </c>
      <c r="X99" s="3" t="s">
        <v>4402</v>
      </c>
      <c r="Y99" s="5" t="s">
        <v>4403</v>
      </c>
      <c r="Z99" s="5" t="str">
        <f t="shared" si="25"/>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 t="shared" si="20"/>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 t="shared" si="21"/>
        <v>EDC</v>
      </c>
      <c r="N100" s="339" t="str" cm="1">
        <f t="array" ref="N100">IF(AND(
    SUMPRODUCT(
        (IM!$F$2:$F$2000=A100) *
        ISNUMBER(SEARCH("HUB", IM!$AC$2:$AC$2000)) *
        (IM!$X$2:$X$2000&gt;=$A$1) *
        (IM!$X$2:$X$2000&lt;=$B$1)*(W100="HUB")
    ) &gt; 0
), "HUB", "")</f>
        <v/>
      </c>
      <c r="O100" s="371" t="str">
        <f t="shared" si="26"/>
        <v>STAR異常</v>
      </c>
      <c r="P100" s="238" t="str">
        <f t="shared" si="22"/>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 t="shared" si="23"/>
        <v>1</v>
      </c>
      <c r="U100" s="355"/>
      <c r="V100" s="373">
        <f t="shared" si="24"/>
        <v>1</v>
      </c>
      <c r="W100" s="360" t="str">
        <f>IF(VLOOKUP(A100,'0919門市清單主檔'!B:E,4,FALSE)=0,"",VLOOKUP(A100,'0919門市清單主檔'!B:E,4,FALSE))</f>
        <v/>
      </c>
      <c r="X100" s="3" t="s">
        <v>4283</v>
      </c>
      <c r="Y100" s="5"/>
      <c r="Z100" s="5" t="str">
        <f t="shared" si="25"/>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 t="shared" si="20"/>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 t="shared" si="21"/>
        <v>EDC</v>
      </c>
      <c r="N101" s="339" t="str" cm="1">
        <f t="array" ref="N101">IF(AND(
    SUMPRODUCT(
        (IM!$F$2:$F$2000=A101) *
        ISNUMBER(SEARCH("HUB", IM!$AC$2:$AC$2000)) *
        (IM!$X$2:$X$2000&gt;=$A$1) *
        (IM!$X$2:$X$2000&lt;=$B$1)*(W101="HUB")
    ) &gt; 0
), "HUB", "")</f>
        <v/>
      </c>
      <c r="O101" s="371" t="str">
        <f t="shared" si="26"/>
        <v>STAR異常</v>
      </c>
      <c r="P101" s="238" t="str">
        <f t="shared" si="22"/>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 t="shared" si="23"/>
        <v>2</v>
      </c>
      <c r="U101" s="355"/>
      <c r="V101" s="373">
        <f t="shared" si="24"/>
        <v>2</v>
      </c>
      <c r="W101" s="360" t="str">
        <f>IF(VLOOKUP(A101,'0919門市清單主檔'!B:E,4,FALSE)=0,"",VLOOKUP(A101,'0919門市清單主檔'!B:E,4,FALSE))</f>
        <v/>
      </c>
      <c r="X101" s="3" t="s">
        <v>4396</v>
      </c>
      <c r="Y101" s="5" t="s">
        <v>4397</v>
      </c>
      <c r="Z101" s="5" t="str">
        <f t="shared" si="25"/>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 t="shared" si="20"/>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 t="shared" si="21"/>
        <v>EDC</v>
      </c>
      <c r="N102" s="339" t="str" cm="1">
        <f t="array" ref="N102">IF(AND(
    SUMPRODUCT(
        (IM!$F$2:$F$2000=A102) *
        ISNUMBER(SEARCH("HUB", IM!$AC$2:$AC$2000)) *
        (IM!$X$2:$X$2000&gt;=$A$1) *
        (IM!$X$2:$X$2000&lt;=$B$1)*(W102="HUB")
    ) &gt; 0
), "HUB", "")</f>
        <v/>
      </c>
      <c r="O102" s="371" t="str">
        <f t="shared" si="26"/>
        <v>已完工</v>
      </c>
      <c r="P102" s="238" t="str">
        <f t="shared" si="22"/>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 t="shared" si="23"/>
        <v>0</v>
      </c>
      <c r="U102" s="355"/>
      <c r="V102" s="373">
        <f t="shared" si="24"/>
        <v>0</v>
      </c>
      <c r="W102" s="360" t="str">
        <f>IF(VLOOKUP(A102,'0919門市清單主檔'!B:E,4,FALSE)=0,"",VLOOKUP(A102,'0919門市清單主檔'!B:E,4,FALSE))</f>
        <v/>
      </c>
      <c r="Y102" s="5"/>
      <c r="Z102" s="5" t="str">
        <f t="shared" si="25"/>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 t="shared" si="20"/>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 t="shared" si="21"/>
        <v>EDC</v>
      </c>
      <c r="N103" s="339" t="str" cm="1">
        <f t="array" ref="N103">IF(AND(
    SUMPRODUCT(
        (IM!$F$2:$F$2000=A103) *
        ISNUMBER(SEARCH("HUB", IM!$AC$2:$AC$2000)) *
        (IM!$X$2:$X$2000&gt;=$A$1) *
        (IM!$X$2:$X$2000&lt;=$B$1)*(W103="HUB")
    ) &gt; 0
), "HUB", "")</f>
        <v/>
      </c>
      <c r="O103" s="371" t="str">
        <f t="shared" si="26"/>
        <v>已完工</v>
      </c>
      <c r="P103" s="238" t="str">
        <f t="shared" si="22"/>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 t="shared" si="23"/>
        <v>0</v>
      </c>
      <c r="U103" s="355"/>
      <c r="V103" s="373">
        <f t="shared" si="24"/>
        <v>0</v>
      </c>
      <c r="W103" s="360" t="str">
        <f>IF(VLOOKUP(A103,'0919門市清單主檔'!B:E,4,FALSE)=0,"",VLOOKUP(A103,'0919門市清單主檔'!B:E,4,FALSE))</f>
        <v/>
      </c>
      <c r="Y103" s="5"/>
      <c r="Z103" s="5" t="str">
        <f t="shared" si="25"/>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 t="shared" si="20"/>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 t="shared" si="21"/>
        <v>EDC</v>
      </c>
      <c r="N104" s="339" t="str" cm="1">
        <f t="array" ref="N104">IF(AND(
    SUMPRODUCT(
        (IM!$F$2:$F$2000=A104) *
        ISNUMBER(SEARCH("HUB", IM!$AC$2:$AC$2000)) *
        (IM!$X$2:$X$2000&gt;=$A$1) *
        (IM!$X$2:$X$2000&lt;=$B$1)*(W104="HUB")
    ) &gt; 0
), "HUB", "")</f>
        <v/>
      </c>
      <c r="O104" s="371" t="str">
        <f t="shared" si="26"/>
        <v>STAR異常</v>
      </c>
      <c r="P104" s="238" t="str">
        <f t="shared" si="22"/>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 t="shared" si="23"/>
        <v>1</v>
      </c>
      <c r="U104" s="355"/>
      <c r="V104" s="373">
        <f t="shared" si="24"/>
        <v>1</v>
      </c>
      <c r="W104" s="360" t="str">
        <f>IF(VLOOKUP(A104,'0919門市清單主檔'!B:E,4,FALSE)=0,"",VLOOKUP(A104,'0919門市清單主檔'!B:E,4,FALSE))</f>
        <v/>
      </c>
      <c r="X104" s="3" t="s">
        <v>4398</v>
      </c>
      <c r="Y104" s="5"/>
      <c r="Z104" s="5" t="str">
        <f t="shared" si="25"/>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 t="shared" si="20"/>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 t="shared" si="21"/>
        <v>EDC</v>
      </c>
      <c r="N105" s="339" t="str" cm="1">
        <f t="array" ref="N105">IF(AND(
    SUMPRODUCT(
        (IM!$F$2:$F$2000=A105) *
        ISNUMBER(SEARCH("HUB", IM!$AC$2:$AC$2000)) *
        (IM!$X$2:$X$2000&gt;=$A$1) *
        (IM!$X$2:$X$2000&lt;=$B$1)*(W105="HUB")
    ) &gt; 0
), "HUB", "")</f>
        <v/>
      </c>
      <c r="O105" s="371" t="str">
        <f t="shared" si="26"/>
        <v>已完工</v>
      </c>
      <c r="P105" s="238" t="str">
        <f t="shared" si="22"/>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 t="shared" si="23"/>
        <v>0</v>
      </c>
      <c r="U105" s="355"/>
      <c r="V105" s="373">
        <f t="shared" si="24"/>
        <v>0</v>
      </c>
      <c r="W105" s="360" t="str">
        <f>IF(VLOOKUP(A105,'0919門市清單主檔'!B:E,4,FALSE)=0,"",VLOOKUP(A105,'0919門市清單主檔'!B:E,4,FALSE))</f>
        <v/>
      </c>
      <c r="Y105" s="5"/>
      <c r="Z105" s="5" t="str">
        <f t="shared" si="25"/>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 t="shared" si="20"/>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 t="shared" si="21"/>
        <v>EDC</v>
      </c>
      <c r="N106" s="339" t="str" cm="1">
        <f t="array" ref="N106">IF(AND(
    SUMPRODUCT(
        (IM!$F$2:$F$2000=A106) *
        ISNUMBER(SEARCH("HUB", IM!$AC$2:$AC$2000)) *
        (IM!$X$2:$X$2000&gt;=$A$1) *
        (IM!$X$2:$X$2000&lt;=$B$1)*(W106="HUB")
    ) &gt; 0
), "HUB", "")</f>
        <v/>
      </c>
      <c r="O106" s="371" t="str">
        <f t="shared" si="26"/>
        <v>STAR異常</v>
      </c>
      <c r="P106" s="238" t="str">
        <f t="shared" si="22"/>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 t="shared" si="23"/>
        <v>1</v>
      </c>
      <c r="U106" s="355"/>
      <c r="V106" s="373">
        <f t="shared" si="24"/>
        <v>1</v>
      </c>
      <c r="W106" s="360" t="str">
        <f>IF(VLOOKUP(A106,'0919門市清單主檔'!B:E,4,FALSE)=0,"",VLOOKUP(A106,'0919門市清單主檔'!B:E,4,FALSE))</f>
        <v/>
      </c>
      <c r="X106" s="245"/>
      <c r="Y106" s="246" t="s">
        <v>4140</v>
      </c>
      <c r="Z106" s="5" t="str">
        <f t="shared" si="25"/>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 t="shared" si="20"/>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 t="shared" si="21"/>
        <v>EDC</v>
      </c>
      <c r="N107" s="339" t="str" cm="1">
        <f t="array" ref="N107">IF(AND(
    SUMPRODUCT(
        (IM!$F$2:$F$2000=A107) *
        ISNUMBER(SEARCH("HUB", IM!$AC$2:$AC$2000)) *
        (IM!$X$2:$X$2000&gt;=$A$1) *
        (IM!$X$2:$X$2000&lt;=$B$1)*(W107="HUB")
    ) &gt; 0
), "HUB", "")</f>
        <v/>
      </c>
      <c r="O107" s="371" t="str">
        <f t="shared" si="26"/>
        <v>STAR異常</v>
      </c>
      <c r="P107" s="238" t="str">
        <f t="shared" si="22"/>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 t="shared" si="23"/>
        <v>1</v>
      </c>
      <c r="U107" s="355"/>
      <c r="V107" s="373">
        <f t="shared" si="24"/>
        <v>1</v>
      </c>
      <c r="W107" s="360" t="str">
        <f>IF(VLOOKUP(A107,'0919門市清單主檔'!B:E,4,FALSE)=0,"",VLOOKUP(A107,'0919門市清單主檔'!B:E,4,FALSE))</f>
        <v/>
      </c>
      <c r="Y107" s="5" t="s">
        <v>4193</v>
      </c>
      <c r="Z107" s="5" t="str">
        <f t="shared" si="25"/>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 t="shared" si="20"/>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 t="shared" si="21"/>
        <v>EDC</v>
      </c>
      <c r="N108" s="339" t="str" cm="1">
        <f t="array" ref="N108">IF(AND(
    SUMPRODUCT(
        (IM!$F$2:$F$2000=A108) *
        ISNUMBER(SEARCH("HUB", IM!$AC$2:$AC$2000)) *
        (IM!$X$2:$X$2000&gt;=$A$1) *
        (IM!$X$2:$X$2000&lt;=$B$1)*(W108="HUB")
    ) &gt; 0
), "HUB", "")</f>
        <v/>
      </c>
      <c r="O108" s="371" t="str">
        <f t="shared" si="26"/>
        <v>STAR異常</v>
      </c>
      <c r="P108" s="238" t="str">
        <f t="shared" si="22"/>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 t="shared" si="23"/>
        <v>2</v>
      </c>
      <c r="U108" s="355"/>
      <c r="V108" s="373">
        <f t="shared" si="24"/>
        <v>2</v>
      </c>
      <c r="W108" s="360" t="str">
        <f>IF(VLOOKUP(A108,'0919門市清單主檔'!B:E,4,FALSE)=0,"",VLOOKUP(A108,'0919門市清單主檔'!B:E,4,FALSE))</f>
        <v/>
      </c>
      <c r="X108" s="3" t="s">
        <v>4324</v>
      </c>
      <c r="Y108" s="5" t="s">
        <v>4325</v>
      </c>
      <c r="Z108" s="5" t="str">
        <f t="shared" si="25"/>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 t="shared" si="20"/>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 t="shared" si="21"/>
        <v>EDC</v>
      </c>
      <c r="N109" s="339" t="str" cm="1">
        <f t="array" ref="N109">IF(AND(
    SUMPRODUCT(
        (IM!$F$2:$F$2000=A109) *
        ISNUMBER(SEARCH("HUB", IM!$AC$2:$AC$2000)) *
        (IM!$X$2:$X$2000&gt;=$A$1) *
        (IM!$X$2:$X$2000&lt;=$B$1)*(W109="HUB")
    ) &gt; 0
), "HUB", "")</f>
        <v/>
      </c>
      <c r="O109" s="371" t="str">
        <f t="shared" si="26"/>
        <v>STAR異常</v>
      </c>
      <c r="P109" s="238" t="str">
        <f t="shared" si="22"/>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 t="shared" si="23"/>
        <v>2</v>
      </c>
      <c r="U109" s="355"/>
      <c r="V109" s="373">
        <f t="shared" si="24"/>
        <v>2</v>
      </c>
      <c r="W109" s="360" t="str">
        <f>IF(VLOOKUP(A109,'0919門市清單主檔'!B:E,4,FALSE)=0,"",VLOOKUP(A109,'0919門市清單主檔'!B:E,4,FALSE))</f>
        <v/>
      </c>
      <c r="X109" s="3" t="s">
        <v>4284</v>
      </c>
      <c r="Y109" s="5" t="s">
        <v>4285</v>
      </c>
      <c r="Z109" s="5" t="str">
        <f t="shared" si="25"/>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 t="shared" si="20"/>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 t="shared" si="21"/>
        <v>EDC</v>
      </c>
      <c r="N110" s="339" t="str" cm="1">
        <f t="array" ref="N110">IF(AND(
    SUMPRODUCT(
        (IM!$F$2:$F$2000=A110) *
        ISNUMBER(SEARCH("HUB", IM!$AC$2:$AC$2000)) *
        (IM!$X$2:$X$2000&gt;=$A$1) *
        (IM!$X$2:$X$2000&lt;=$B$1)*(W110="HUB")
    ) &gt; 0
), "HUB", "")</f>
        <v/>
      </c>
      <c r="O110" s="371" t="str">
        <f t="shared" si="26"/>
        <v>STAR異常</v>
      </c>
      <c r="P110" s="238" t="str">
        <f t="shared" si="22"/>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 t="shared" si="23"/>
        <v>2</v>
      </c>
      <c r="U110" s="355"/>
      <c r="V110" s="373">
        <f t="shared" si="24"/>
        <v>2</v>
      </c>
      <c r="W110" s="360" t="str">
        <f>IF(VLOOKUP(A110,'0919門市清單主檔'!B:E,4,FALSE)=0,"",VLOOKUP(A110,'0919門市清單主檔'!B:E,4,FALSE))</f>
        <v/>
      </c>
      <c r="X110" s="3" t="s">
        <v>4286</v>
      </c>
      <c r="Y110" s="5" t="s">
        <v>4287</v>
      </c>
      <c r="Z110" s="5" t="str">
        <f t="shared" si="25"/>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 t="shared" si="20"/>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 t="shared" si="21"/>
        <v>EDC</v>
      </c>
      <c r="N111" s="339" t="str" cm="1">
        <f t="array" ref="N111">IF(AND(
    SUMPRODUCT(
        (IM!$F$2:$F$2000=A111) *
        ISNUMBER(SEARCH("HUB", IM!$AC$2:$AC$2000)) *
        (IM!$X$2:$X$2000&gt;=$A$1) *
        (IM!$X$2:$X$2000&lt;=$B$1)*(W111="HUB")
    ) &gt; 0
), "HUB", "")</f>
        <v/>
      </c>
      <c r="O111" s="371" t="str">
        <f t="shared" si="26"/>
        <v>已完工</v>
      </c>
      <c r="P111" s="238" t="str">
        <f t="shared" si="22"/>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 t="shared" si="23"/>
        <v>0</v>
      </c>
      <c r="U111" s="355"/>
      <c r="V111" s="373">
        <f t="shared" si="24"/>
        <v>0</v>
      </c>
      <c r="W111" s="360" t="str">
        <f>IF(VLOOKUP(A111,'0919門市清單主檔'!B:E,4,FALSE)=0,"",VLOOKUP(A111,'0919門市清單主檔'!B:E,4,FALSE))</f>
        <v/>
      </c>
      <c r="Y111" s="5"/>
      <c r="Z111" s="5" t="str">
        <f t="shared" ref="Z111:Z142" si="27">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 t="shared" si="20"/>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 t="shared" si="21"/>
        <v/>
      </c>
      <c r="N112" s="339" t="str" cm="1">
        <f t="array" ref="N112">IF(AND(
    SUMPRODUCT(
        (IM!$F$2:$F$2000=A112) *
        ISNUMBER(SEARCH("HUB", IM!$AC$2:$AC$2000)) *
        (IM!$X$2:$X$2000&gt;=$A$1) *
        (IM!$X$2:$X$2000&lt;=$B$1)*(W112="HUB")
    ) &gt; 0
), "HUB", "")</f>
        <v/>
      </c>
      <c r="O112" s="371" t="str">
        <f t="shared" si="26"/>
        <v>已完工</v>
      </c>
      <c r="P112" s="238" t="str">
        <f t="shared" si="22"/>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 t="shared" si="23"/>
        <v>0</v>
      </c>
      <c r="U112" s="355"/>
      <c r="V112" s="373">
        <f t="shared" si="24"/>
        <v>0</v>
      </c>
      <c r="W112" s="360" t="str">
        <f>IF(VLOOKUP(A112,'0919門市清單主檔'!B:E,4,FALSE)=0,"",VLOOKUP(A112,'0919門市清單主檔'!B:E,4,FALSE))</f>
        <v/>
      </c>
      <c r="Y112" s="5"/>
      <c r="Z112" s="5" t="str">
        <f t="shared" si="27"/>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 t="shared" si="20"/>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 t="shared" si="21"/>
        <v>EDC</v>
      </c>
      <c r="N113" s="339" t="str" cm="1">
        <f t="array" ref="N113">IF(AND(
    SUMPRODUCT(
        (IM!$F$2:$F$2000=A113) *
        ISNUMBER(SEARCH("HUB", IM!$AC$2:$AC$2000)) *
        (IM!$X$2:$X$2000&gt;=$A$1) *
        (IM!$X$2:$X$2000&lt;=$B$1)*(W113="HUB")
    ) &gt; 0
), "HUB", "")</f>
        <v/>
      </c>
      <c r="O113" s="371" t="str">
        <f t="shared" si="26"/>
        <v>已完工</v>
      </c>
      <c r="P113" s="238" t="str">
        <f t="shared" si="22"/>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 t="shared" si="23"/>
        <v>0</v>
      </c>
      <c r="U113" s="355"/>
      <c r="V113" s="373">
        <f t="shared" si="24"/>
        <v>0</v>
      </c>
      <c r="W113" s="360" t="str">
        <f>IF(VLOOKUP(A113,'0919門市清單主檔'!B:E,4,FALSE)=0,"",VLOOKUP(A113,'0919門市清單主檔'!B:E,4,FALSE))</f>
        <v/>
      </c>
      <c r="Y113" s="5"/>
      <c r="Z113" s="5" t="str">
        <f t="shared" si="27"/>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 t="shared" si="20"/>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 t="shared" si="21"/>
        <v>EDC</v>
      </c>
      <c r="N114" s="339" t="str" cm="1">
        <f t="array" ref="N114">IF(AND(
    SUMPRODUCT(
        (IM!$F$2:$F$2000=A114) *
        ISNUMBER(SEARCH("HUB", IM!$AC$2:$AC$2000)) *
        (IM!$X$2:$X$2000&gt;=$A$1) *
        (IM!$X$2:$X$2000&lt;=$B$1)*(W114="HUB")
    ) &gt; 0
), "HUB", "")</f>
        <v/>
      </c>
      <c r="O114" s="371" t="str">
        <f t="shared" si="26"/>
        <v>已完工</v>
      </c>
      <c r="P114" s="238" t="str">
        <f t="shared" si="22"/>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 t="shared" si="23"/>
        <v>0</v>
      </c>
      <c r="U114" s="355"/>
      <c r="V114" s="373">
        <f t="shared" si="24"/>
        <v>0</v>
      </c>
      <c r="W114" s="360" t="str">
        <f>IF(VLOOKUP(A114,'0919門市清單主檔'!B:E,4,FALSE)=0,"",VLOOKUP(A114,'0919門市清單主檔'!B:E,4,FALSE))</f>
        <v/>
      </c>
      <c r="Y114" s="5"/>
      <c r="Z114" s="5" t="str">
        <f t="shared" si="27"/>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 t="shared" si="20"/>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 t="shared" si="21"/>
        <v>EDC</v>
      </c>
      <c r="N115" s="339" t="str" cm="1">
        <f t="array" ref="N115">IF(AND(
    SUMPRODUCT(
        (IM!$F$2:$F$2000=A115) *
        ISNUMBER(SEARCH("HUB", IM!$AC$2:$AC$2000)) *
        (IM!$X$2:$X$2000&gt;=$A$1) *
        (IM!$X$2:$X$2000&lt;=$B$1)*(W115="HUB")
    ) &gt; 0
), "HUB", "")</f>
        <v/>
      </c>
      <c r="O115" s="371" t="str">
        <f t="shared" si="26"/>
        <v>已完工</v>
      </c>
      <c r="P115" s="238" t="str">
        <f t="shared" si="22"/>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 t="shared" si="23"/>
        <v>0</v>
      </c>
      <c r="U115" s="355"/>
      <c r="V115" s="373">
        <f t="shared" si="24"/>
        <v>0</v>
      </c>
      <c r="W115" s="360" t="str">
        <f>IF(VLOOKUP(A115,'0919門市清單主檔'!B:E,4,FALSE)=0,"",VLOOKUP(A115,'0919門市清單主檔'!B:E,4,FALSE))</f>
        <v/>
      </c>
      <c r="Y115" s="5"/>
      <c r="Z115" s="5" t="str">
        <f t="shared" si="27"/>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 t="shared" si="20"/>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 t="shared" si="21"/>
        <v>EDC+STAR</v>
      </c>
      <c r="N116" s="339" t="str" cm="1">
        <f t="array" ref="N116">IF(AND(
    SUMPRODUCT(
        (IM!$F$2:$F$2000=A116) *
        ISNUMBER(SEARCH("HUB", IM!$AC$2:$AC$2000)) *
        (IM!$X$2:$X$2000&gt;=$A$1) *
        (IM!$X$2:$X$2000&lt;=$B$1)*(W116="HUB")
    ) &gt; 0
), "HUB", "")</f>
        <v/>
      </c>
      <c r="O116" s="371" t="str">
        <f t="shared" si="26"/>
        <v>完工已補裝</v>
      </c>
      <c r="P116" s="238" t="str">
        <f t="shared" si="22"/>
        <v>20250509-D620-北縣三愛三店(定保)</v>
      </c>
      <c r="Q116" s="357" t="str" cm="1">
        <f t="array" ref="Q116">IF(AND(SUMPRODUCT((IM!$F$2:$F$2000=A116)*(ISNUMBER(SEARCH("EDC", IM!$AC$2:$AC$2000))))&gt;0), "EDC", "")</f>
        <v>EDC</v>
      </c>
      <c r="R116" s="358" t="str" cm="1">
        <f t="array" ref="R116">IF(AND(SUMPRODUCT((IM!$F$2:$F$2000=A116)*(ISNUMBER(SEARCH("STAR", IM!$AC$2:$AC$2000))))&gt;0), "STAR", "")</f>
        <v>STAR</v>
      </c>
      <c r="S116" s="359" cm="1">
        <f t="array" ref="S116">IFERROR(INDEX(IM!$X$2:$X$650, MATCH(1, (IM!$F$2:$F$650=A116) * (ISNUMBER(SEARCH($D$1, IM!$AC$2:$AC$650))), 0)), "")</f>
        <v>45798.487500000003</v>
      </c>
      <c r="T116" s="355">
        <f t="shared" si="23"/>
        <v>2</v>
      </c>
      <c r="U116" s="355"/>
      <c r="V116" s="373">
        <f t="shared" si="24"/>
        <v>2</v>
      </c>
      <c r="W116" s="360" t="str">
        <f>IF(VLOOKUP(A116,'0919門市清單主檔'!B:E,4,FALSE)=0,"",VLOOKUP(A116,'0919門市清單主檔'!B:E,4,FALSE))</f>
        <v/>
      </c>
      <c r="X116" s="3" t="s">
        <v>4297</v>
      </c>
      <c r="Y116" s="5" t="s">
        <v>4298</v>
      </c>
      <c r="Z116" s="5" t="str">
        <f t="shared" si="27"/>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 t="shared" si="20"/>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 t="shared" si="21"/>
        <v>EDC</v>
      </c>
      <c r="N117" s="339" t="str" cm="1">
        <f t="array" ref="N117">IF(AND(
    SUMPRODUCT(
        (IM!$F$2:$F$2000=A117) *
        ISNUMBER(SEARCH("HUB", IM!$AC$2:$AC$2000)) *
        (IM!$X$2:$X$2000&gt;=$A$1) *
        (IM!$X$2:$X$2000&lt;=$B$1)*(W117="HUB")
    ) &gt; 0
), "HUB", "")</f>
        <v/>
      </c>
      <c r="O117" s="371" t="str">
        <f t="shared" si="26"/>
        <v>STAR異常</v>
      </c>
      <c r="P117" s="238" t="str">
        <f t="shared" si="22"/>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 t="shared" si="23"/>
        <v>2</v>
      </c>
      <c r="U117" s="355"/>
      <c r="V117" s="373">
        <f t="shared" si="24"/>
        <v>2</v>
      </c>
      <c r="W117" s="360" t="str">
        <f>IF(VLOOKUP(A117,'0919門市清單主檔'!B:E,4,FALSE)=0,"",VLOOKUP(A117,'0919門市清單主檔'!B:E,4,FALSE))</f>
        <v/>
      </c>
      <c r="X117" s="3" t="s">
        <v>4316</v>
      </c>
      <c r="Y117" s="5" t="s">
        <v>4317</v>
      </c>
      <c r="Z117" s="5" t="str">
        <f t="shared" si="27"/>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 t="shared" si="20"/>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 t="shared" si="21"/>
        <v>EDC</v>
      </c>
      <c r="N118" s="339" t="str" cm="1">
        <f t="array" ref="N118">IF(AND(
    SUMPRODUCT(
        (IM!$F$2:$F$2000=A118) *
        ISNUMBER(SEARCH("HUB", IM!$AC$2:$AC$2000)) *
        (IM!$X$2:$X$2000&gt;=$A$1) *
        (IM!$X$2:$X$2000&lt;=$B$1)*(W118="HUB")
    ) &gt; 0
), "HUB", "")</f>
        <v/>
      </c>
      <c r="O118" s="371" t="str">
        <f t="shared" si="26"/>
        <v>STAR異常</v>
      </c>
      <c r="P118" s="238" t="str">
        <f t="shared" si="22"/>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 t="shared" si="23"/>
        <v>1</v>
      </c>
      <c r="U118" s="355"/>
      <c r="V118" s="373">
        <f t="shared" si="24"/>
        <v>1</v>
      </c>
      <c r="W118" s="360" t="str">
        <f>IF(VLOOKUP(A118,'0919門市清單主檔'!B:E,4,FALSE)=0,"",VLOOKUP(A118,'0919門市清單主檔'!B:E,4,FALSE))</f>
        <v/>
      </c>
      <c r="Y118" s="5" t="s">
        <v>4264</v>
      </c>
      <c r="Z118" s="5" t="str">
        <f t="shared" si="27"/>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 t="shared" si="20"/>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 t="shared" si="21"/>
        <v>EDC</v>
      </c>
      <c r="N119" s="339" t="str" cm="1">
        <f t="array" ref="N119">IF(AND(
    SUMPRODUCT(
        (IM!$F$2:$F$2000=A119) *
        ISNUMBER(SEARCH("HUB", IM!$AC$2:$AC$2000)) *
        (IM!$X$2:$X$2000&gt;=$A$1) *
        (IM!$X$2:$X$2000&lt;=$B$1)*(W119="HUB")
    ) &gt; 0
), "HUB", "")</f>
        <v/>
      </c>
      <c r="O119" s="371" t="str">
        <f t="shared" si="26"/>
        <v>已完工</v>
      </c>
      <c r="P119" s="238" t="str">
        <f t="shared" si="22"/>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 t="shared" si="23"/>
        <v>0</v>
      </c>
      <c r="U119" s="355"/>
      <c r="V119" s="373">
        <f t="shared" si="24"/>
        <v>0</v>
      </c>
      <c r="W119" s="360" t="str">
        <f>IF(VLOOKUP(A119,'0919門市清單主檔'!B:E,4,FALSE)=0,"",VLOOKUP(A119,'0919門市清單主檔'!B:E,4,FALSE))</f>
        <v/>
      </c>
      <c r="Y119" s="5"/>
      <c r="Z119" s="5" t="str">
        <f t="shared" si="27"/>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 t="shared" si="20"/>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 t="shared" si="21"/>
        <v>EDC</v>
      </c>
      <c r="N120" s="339" t="str" cm="1">
        <f t="array" ref="N120">IF(AND(
    SUMPRODUCT(
        (IM!$F$2:$F$2000=A120) *
        ISNUMBER(SEARCH("HUB", IM!$AC$2:$AC$2000)) *
        (IM!$X$2:$X$2000&gt;=$A$1) *
        (IM!$X$2:$X$2000&lt;=$B$1)*(W120="HUB")
    ) &gt; 0
), "HUB", "")</f>
        <v/>
      </c>
      <c r="O120" s="371" t="str">
        <f t="shared" si="26"/>
        <v>STAR異常</v>
      </c>
      <c r="P120" s="238" t="str">
        <f t="shared" si="22"/>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 t="shared" si="23"/>
        <v>2</v>
      </c>
      <c r="U120" s="355"/>
      <c r="V120" s="373">
        <f t="shared" si="24"/>
        <v>2</v>
      </c>
      <c r="W120" s="360" t="str">
        <f>IF(VLOOKUP(A120,'0919門市清單主檔'!B:E,4,FALSE)=0,"",VLOOKUP(A120,'0919門市清單主檔'!B:E,4,FALSE))</f>
        <v/>
      </c>
      <c r="X120" s="3" t="s">
        <v>4301</v>
      </c>
      <c r="Y120" s="5" t="s">
        <v>4302</v>
      </c>
      <c r="Z120" s="5" t="str">
        <f t="shared" si="27"/>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 t="shared" si="20"/>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 t="shared" si="21"/>
        <v>EDC</v>
      </c>
      <c r="N121" s="339" t="str" cm="1">
        <f t="array" ref="N121">IF(AND(
    SUMPRODUCT(
        (IM!$F$2:$F$2000=A121) *
        ISNUMBER(SEARCH("HUB", IM!$AC$2:$AC$2000)) *
        (IM!$X$2:$X$2000&gt;=$A$1) *
        (IM!$X$2:$X$2000&lt;=$B$1)*(W121="HUB")
    ) &gt; 0
), "HUB", "")</f>
        <v/>
      </c>
      <c r="O121" s="371" t="str">
        <f t="shared" si="26"/>
        <v>STAR異常</v>
      </c>
      <c r="P121" s="238" t="str">
        <f t="shared" si="22"/>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 t="shared" si="23"/>
        <v>2</v>
      </c>
      <c r="U121" s="355"/>
      <c r="V121" s="373">
        <f t="shared" si="24"/>
        <v>2</v>
      </c>
      <c r="W121" s="360" t="str">
        <f>IF(VLOOKUP(A121,'0919門市清單主檔'!B:E,4,FALSE)=0,"",VLOOKUP(A121,'0919門市清單主檔'!B:E,4,FALSE))</f>
        <v/>
      </c>
      <c r="X121" s="3" t="s">
        <v>4259</v>
      </c>
      <c r="Y121" s="5" t="s">
        <v>4260</v>
      </c>
      <c r="Z121" s="5" t="str">
        <f t="shared" si="27"/>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 t="shared" si="20"/>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 t="shared" si="21"/>
        <v>EDC</v>
      </c>
      <c r="N122" s="339" t="str" cm="1">
        <f t="array" ref="N122">IF(AND(
    SUMPRODUCT(
        (IM!$F$2:$F$2000=A122) *
        ISNUMBER(SEARCH("HUB", IM!$AC$2:$AC$2000)) *
        (IM!$X$2:$X$2000&gt;=$A$1) *
        (IM!$X$2:$X$2000&lt;=$B$1)*(W122="HUB")
    ) &gt; 0
), "HUB", "")</f>
        <v/>
      </c>
      <c r="O122" s="371" t="str">
        <f t="shared" si="26"/>
        <v>STAR異常</v>
      </c>
      <c r="P122" s="238" t="str">
        <f t="shared" si="22"/>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 t="shared" si="23"/>
        <v>2</v>
      </c>
      <c r="U122" s="355"/>
      <c r="V122" s="373">
        <f t="shared" si="24"/>
        <v>2</v>
      </c>
      <c r="W122" s="360" t="str">
        <f>IF(VLOOKUP(A122,'0919門市清單主檔'!B:E,4,FALSE)=0,"",VLOOKUP(A122,'0919門市清單主檔'!B:E,4,FALSE))</f>
        <v/>
      </c>
      <c r="X122" s="3" t="s">
        <v>4299</v>
      </c>
      <c r="Y122" s="5" t="s">
        <v>4300</v>
      </c>
      <c r="Z122" s="5" t="str">
        <f t="shared" si="27"/>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 t="shared" si="20"/>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 t="shared" si="21"/>
        <v>EDC</v>
      </c>
      <c r="N123" s="339" t="str" cm="1">
        <f t="array" ref="N123">IF(AND(
    SUMPRODUCT(
        (IM!$F$2:$F$2000=A123) *
        ISNUMBER(SEARCH("HUB", IM!$AC$2:$AC$2000)) *
        (IM!$X$2:$X$2000&gt;=$A$1) *
        (IM!$X$2:$X$2000&lt;=$B$1)*(W123="HUB")
    ) &gt; 0
), "HUB", "")</f>
        <v>HUB</v>
      </c>
      <c r="O123" s="371" t="str">
        <f t="shared" si="26"/>
        <v>已完工</v>
      </c>
      <c r="P123" s="238" t="str">
        <f t="shared" si="22"/>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 t="shared" si="23"/>
        <v>0</v>
      </c>
      <c r="U123" s="355"/>
      <c r="V123" s="373">
        <f t="shared" si="24"/>
        <v>0</v>
      </c>
      <c r="W123" s="360" t="str">
        <f>IF(VLOOKUP(A123,'0919門市清單主檔'!B:E,4,FALSE)=0,"",VLOOKUP(A123,'0919門市清單主檔'!B:E,4,FALSE))</f>
        <v>HUB</v>
      </c>
      <c r="X123" s="245"/>
      <c r="Y123" s="246"/>
      <c r="Z123" s="246" t="str">
        <f t="shared" si="27"/>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 t="shared" si="20"/>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 t="shared" si="21"/>
        <v>EDC</v>
      </c>
      <c r="N124" s="339" t="str" cm="1">
        <f t="array" ref="N124">IF(AND(
    SUMPRODUCT(
        (IM!$F$2:$F$2000=A124) *
        ISNUMBER(SEARCH("HUB", IM!$AC$2:$AC$2000)) *
        (IM!$X$2:$X$2000&gt;=$A$1) *
        (IM!$X$2:$X$2000&lt;=$B$1)*(W124="HUB")
    ) &gt; 0
), "HUB", "")</f>
        <v/>
      </c>
      <c r="O124" s="371" t="str">
        <f t="shared" si="26"/>
        <v>STAR異常</v>
      </c>
      <c r="P124" s="238" t="str">
        <f t="shared" si="22"/>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 t="shared" si="23"/>
        <v>2</v>
      </c>
      <c r="U124" s="355"/>
      <c r="V124" s="373">
        <f t="shared" si="24"/>
        <v>2</v>
      </c>
      <c r="W124" s="360" t="str">
        <f>IF(VLOOKUP(A124,'0919門市清單主檔'!B:E,4,FALSE)=0,"",VLOOKUP(A124,'0919門市清單主檔'!B:E,4,FALSE))</f>
        <v/>
      </c>
      <c r="X124" s="3" t="s">
        <v>4249</v>
      </c>
      <c r="Y124" s="5" t="s">
        <v>4250</v>
      </c>
      <c r="Z124" s="5" t="str">
        <f t="shared" si="27"/>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 t="shared" si="20"/>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 t="shared" si="21"/>
        <v>EDC</v>
      </c>
      <c r="N125" s="339" t="str" cm="1">
        <f t="array" ref="N125">IF(AND(
    SUMPRODUCT(
        (IM!$F$2:$F$2000=A125) *
        ISNUMBER(SEARCH("HUB", IM!$AC$2:$AC$2000)) *
        (IM!$X$2:$X$2000&gt;=$A$1) *
        (IM!$X$2:$X$2000&lt;=$B$1)*(W125="HUB")
    ) &gt; 0
), "HUB", "")</f>
        <v/>
      </c>
      <c r="O125" s="371" t="str">
        <f t="shared" si="26"/>
        <v>已完工</v>
      </c>
      <c r="P125" s="238" t="str">
        <f t="shared" si="22"/>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 t="shared" si="23"/>
        <v>0</v>
      </c>
      <c r="U125" s="355"/>
      <c r="V125" s="373">
        <f t="shared" si="24"/>
        <v>0</v>
      </c>
      <c r="W125" s="360" t="str">
        <f>IF(VLOOKUP(A125,'0919門市清單主檔'!B:E,4,FALSE)=0,"",VLOOKUP(A125,'0919門市清單主檔'!B:E,4,FALSE))</f>
        <v/>
      </c>
      <c r="Y125" s="5"/>
      <c r="Z125" s="5" t="str">
        <f t="shared" si="27"/>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 t="shared" si="20"/>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 t="shared" si="21"/>
        <v>EDC</v>
      </c>
      <c r="N126" s="339" t="str" cm="1">
        <f t="array" ref="N126">IF(AND(
    SUMPRODUCT(
        (IM!$F$2:$F$2000=A126) *
        ISNUMBER(SEARCH("HUB", IM!$AC$2:$AC$2000)) *
        (IM!$X$2:$X$2000&gt;=$A$1) *
        (IM!$X$2:$X$2000&lt;=$B$1)*(W126="HUB")
    ) &gt; 0
), "HUB", "")</f>
        <v/>
      </c>
      <c r="O126" s="371" t="str">
        <f t="shared" si="26"/>
        <v>STAR異常</v>
      </c>
      <c r="P126" s="238" t="str">
        <f t="shared" si="22"/>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 t="shared" si="23"/>
        <v>1</v>
      </c>
      <c r="U126" s="355"/>
      <c r="V126" s="373">
        <f t="shared" si="24"/>
        <v>1</v>
      </c>
      <c r="W126" s="360" t="str">
        <f>IF(VLOOKUP(A126,'0919門市清單主檔'!B:E,4,FALSE)=0,"",VLOOKUP(A126,'0919門市清單主檔'!B:E,4,FALSE))</f>
        <v/>
      </c>
      <c r="Y126" s="5" t="s">
        <v>4209</v>
      </c>
      <c r="Z126" s="5" t="str">
        <f t="shared" si="27"/>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 t="shared" si="20"/>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 t="shared" si="21"/>
        <v>EDC</v>
      </c>
      <c r="N127" s="339" t="str" cm="1">
        <f t="array" ref="N127">IF(AND(
    SUMPRODUCT(
        (IM!$F$2:$F$2000=A127) *
        ISNUMBER(SEARCH("HUB", IM!$AC$2:$AC$2000)) *
        (IM!$X$2:$X$2000&gt;=$A$1) *
        (IM!$X$2:$X$2000&lt;=$B$1)*(W127="HUB")
    ) &gt; 0
), "HUB", "")</f>
        <v/>
      </c>
      <c r="O127" s="371" t="str">
        <f t="shared" si="26"/>
        <v>STAR異常</v>
      </c>
      <c r="P127" s="238" t="str">
        <f t="shared" si="22"/>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 t="shared" si="23"/>
        <v>2</v>
      </c>
      <c r="U127" s="355"/>
      <c r="V127" s="373">
        <f t="shared" si="24"/>
        <v>2</v>
      </c>
      <c r="W127" s="360" t="str">
        <f>IF(VLOOKUP(A127,'0919門市清單主檔'!B:E,4,FALSE)=0,"",VLOOKUP(A127,'0919門市清單主檔'!B:E,4,FALSE))</f>
        <v/>
      </c>
      <c r="X127" s="3" t="s">
        <v>4251</v>
      </c>
      <c r="Y127" s="5" t="s">
        <v>4252</v>
      </c>
      <c r="Z127" s="5" t="str">
        <f t="shared" si="27"/>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 t="shared" si="20"/>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 t="shared" si="21"/>
        <v>EDC</v>
      </c>
      <c r="N128" s="339" t="str" cm="1">
        <f t="array" ref="N128">IF(AND(
    SUMPRODUCT(
        (IM!$F$2:$F$2000=A128) *
        ISNUMBER(SEARCH("HUB", IM!$AC$2:$AC$2000)) *
        (IM!$X$2:$X$2000&gt;=$A$1) *
        (IM!$X$2:$X$2000&lt;=$B$1)*(W128="HUB")
    ) &gt; 0
), "HUB", "")</f>
        <v/>
      </c>
      <c r="O128" s="371" t="str">
        <f t="shared" si="26"/>
        <v>STAR異常</v>
      </c>
      <c r="P128" s="238" t="str">
        <f t="shared" si="22"/>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 t="shared" si="23"/>
        <v>2</v>
      </c>
      <c r="U128" s="355"/>
      <c r="V128" s="373">
        <f t="shared" si="24"/>
        <v>2</v>
      </c>
      <c r="W128" s="360" t="str">
        <f>IF(VLOOKUP(A128,'0919門市清單主檔'!B:E,4,FALSE)=0,"",VLOOKUP(A128,'0919門市清單主檔'!B:E,4,FALSE))</f>
        <v/>
      </c>
      <c r="X128" s="3" t="s">
        <v>4207</v>
      </c>
      <c r="Y128" s="5" t="s">
        <v>4208</v>
      </c>
      <c r="Z128" s="5" t="str">
        <f t="shared" si="27"/>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 t="shared" si="20"/>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 t="shared" si="21"/>
        <v>EDC</v>
      </c>
      <c r="N129" s="339" t="str" cm="1">
        <f t="array" ref="N129">IF(AND(
    SUMPRODUCT(
        (IM!$F$2:$F$2000=A129) *
        ISNUMBER(SEARCH("HUB", IM!$AC$2:$AC$2000)) *
        (IM!$X$2:$X$2000&gt;=$A$1) *
        (IM!$X$2:$X$2000&lt;=$B$1)*(W129="HUB")
    ) &gt; 0
), "HUB", "")</f>
        <v/>
      </c>
      <c r="O129" s="371" t="str">
        <f t="shared" si="26"/>
        <v>已完工</v>
      </c>
      <c r="P129" s="238" t="str">
        <f t="shared" si="22"/>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 t="shared" si="23"/>
        <v>0</v>
      </c>
      <c r="U129" s="355"/>
      <c r="V129" s="373">
        <f t="shared" si="24"/>
        <v>0</v>
      </c>
      <c r="W129" s="360" t="str">
        <f>IF(VLOOKUP(A129,'0919門市清單主檔'!B:E,4,FALSE)=0,"",VLOOKUP(A129,'0919門市清單主檔'!B:E,4,FALSE))</f>
        <v/>
      </c>
      <c r="Y129" s="5"/>
      <c r="Z129" s="5" t="str">
        <f t="shared" si="27"/>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 t="shared" si="20"/>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 t="shared" si="21"/>
        <v>EDC</v>
      </c>
      <c r="N130" s="339" t="str" cm="1">
        <f t="array" ref="N130">IF(AND(
    SUMPRODUCT(
        (IM!$F$2:$F$2000=A130) *
        ISNUMBER(SEARCH("HUB", IM!$AC$2:$AC$2000)) *
        (IM!$X$2:$X$2000&gt;=$A$1) *
        (IM!$X$2:$X$2000&lt;=$B$1)*(W130="HUB")
    ) &gt; 0
), "HUB", "")</f>
        <v/>
      </c>
      <c r="O130" s="371" t="str">
        <f t="shared" si="26"/>
        <v>STAR異常</v>
      </c>
      <c r="P130" s="238" t="str">
        <f t="shared" si="22"/>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 t="shared" si="23"/>
        <v>1</v>
      </c>
      <c r="U130" s="355"/>
      <c r="V130" s="373">
        <f t="shared" si="24"/>
        <v>1</v>
      </c>
      <c r="W130" s="360" t="str">
        <f>IF(VLOOKUP(A130,'0919門市清單主檔'!B:E,4,FALSE)=0,"",VLOOKUP(A130,'0919門市清單主檔'!B:E,4,FALSE))</f>
        <v/>
      </c>
      <c r="Y130" s="5" t="s">
        <v>4333</v>
      </c>
      <c r="Z130" s="5" t="str">
        <f t="shared" si="27"/>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 t="shared" si="20"/>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 t="shared" si="21"/>
        <v>EDC</v>
      </c>
      <c r="N131" s="339" t="str" cm="1">
        <f t="array" ref="N131">IF(AND(
    SUMPRODUCT(
        (IM!$F$2:$F$2000=A131) *
        ISNUMBER(SEARCH("HUB", IM!$AC$2:$AC$2000)) *
        (IM!$X$2:$X$2000&gt;=$A$1) *
        (IM!$X$2:$X$2000&lt;=$B$1)*(W131="HUB")
    ) &gt; 0
), "HUB", "")</f>
        <v/>
      </c>
      <c r="O131" s="371" t="str">
        <f t="shared" si="26"/>
        <v>已完工</v>
      </c>
      <c r="P131" s="238" t="str">
        <f t="shared" si="22"/>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 t="shared" si="23"/>
        <v>0</v>
      </c>
      <c r="U131" s="355"/>
      <c r="V131" s="373">
        <f t="shared" si="24"/>
        <v>0</v>
      </c>
      <c r="W131" s="360" t="str">
        <f>IF(VLOOKUP(A131,'0919門市清單主檔'!B:E,4,FALSE)=0,"",VLOOKUP(A131,'0919門市清單主檔'!B:E,4,FALSE))</f>
        <v/>
      </c>
      <c r="Y131" s="5"/>
      <c r="Z131" s="5" t="str">
        <f t="shared" si="27"/>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 t="shared" si="20"/>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 t="shared" si="21"/>
        <v>EDC</v>
      </c>
      <c r="N132" s="339" t="str" cm="1">
        <f t="array" ref="N132">IF(AND(
    SUMPRODUCT(
        (IM!$F$2:$F$2000=A132) *
        ISNUMBER(SEARCH("HUB", IM!$AC$2:$AC$2000)) *
        (IM!$X$2:$X$2000&gt;=$A$1) *
        (IM!$X$2:$X$2000&lt;=$B$1)*(W132="HUB")
    ) &gt; 0
), "HUB", "")</f>
        <v/>
      </c>
      <c r="O132" s="371" t="str">
        <f t="shared" si="26"/>
        <v>STAR異常</v>
      </c>
      <c r="P132" s="238" t="str">
        <f t="shared" si="22"/>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 t="shared" si="23"/>
        <v>2</v>
      </c>
      <c r="U132" s="355"/>
      <c r="V132" s="373">
        <f t="shared" si="24"/>
        <v>2</v>
      </c>
      <c r="W132" s="360" t="str">
        <f>IF(VLOOKUP(A132,'0919門市清單主檔'!B:E,4,FALSE)=0,"",VLOOKUP(A132,'0919門市清單主檔'!B:E,4,FALSE))</f>
        <v/>
      </c>
      <c r="X132" s="3" t="s">
        <v>4281</v>
      </c>
      <c r="Y132" s="5" t="s">
        <v>4282</v>
      </c>
      <c r="Z132" s="5" t="str">
        <f t="shared" si="27"/>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 t="shared" si="20"/>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 t="shared" si="21"/>
        <v>EDC</v>
      </c>
      <c r="N133" s="339" t="str" cm="1">
        <f t="array" ref="N133">IF(AND(
    SUMPRODUCT(
        (IM!$F$2:$F$2000=A133) *
        ISNUMBER(SEARCH("HUB", IM!$AC$2:$AC$2000)) *
        (IM!$X$2:$X$2000&gt;=$A$1) *
        (IM!$X$2:$X$2000&lt;=$B$1)*(W133="HUB")
    ) &gt; 0
), "HUB", "")</f>
        <v/>
      </c>
      <c r="O133" s="371" t="str">
        <f t="shared" si="26"/>
        <v>STAR異常</v>
      </c>
      <c r="P133" s="238" t="str">
        <f t="shared" si="22"/>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 t="shared" si="23"/>
        <v>2</v>
      </c>
      <c r="U133" s="355"/>
      <c r="V133" s="373">
        <f t="shared" si="24"/>
        <v>2</v>
      </c>
      <c r="W133" s="360" t="str">
        <f>IF(VLOOKUP(A133,'0919門市清單主檔'!B:E,4,FALSE)=0,"",VLOOKUP(A133,'0919門市清單主檔'!B:E,4,FALSE))</f>
        <v/>
      </c>
      <c r="X133" s="3" t="s">
        <v>4305</v>
      </c>
      <c r="Y133" s="5" t="s">
        <v>4306</v>
      </c>
      <c r="Z133" s="5" t="str">
        <f t="shared" si="27"/>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 t="shared" si="20"/>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 t="shared" si="21"/>
        <v>EDC</v>
      </c>
      <c r="N134" s="339" t="str" cm="1">
        <f t="array" ref="N134">IF(AND(
    SUMPRODUCT(
        (IM!$F$2:$F$2000=A134) *
        ISNUMBER(SEARCH("HUB", IM!$AC$2:$AC$2000)) *
        (IM!$X$2:$X$2000&gt;=$A$1) *
        (IM!$X$2:$X$2000&lt;=$B$1)*(W134="HUB")
    ) &gt; 0
), "HUB", "")</f>
        <v/>
      </c>
      <c r="O134" s="371" t="str">
        <f t="shared" si="26"/>
        <v>STAR異常</v>
      </c>
      <c r="P134" s="238" t="str">
        <f t="shared" si="22"/>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 t="shared" si="23"/>
        <v>2</v>
      </c>
      <c r="U134" s="355"/>
      <c r="V134" s="373">
        <f t="shared" si="24"/>
        <v>2</v>
      </c>
      <c r="W134" s="360" t="str">
        <f>IF(VLOOKUP(A134,'0919門市清單主檔'!B:E,4,FALSE)=0,"",VLOOKUP(A134,'0919門市清單主檔'!B:E,4,FALSE))</f>
        <v/>
      </c>
      <c r="X134" s="3" t="s">
        <v>4214</v>
      </c>
      <c r="Y134" s="5" t="s">
        <v>4215</v>
      </c>
      <c r="Z134" s="5" t="str">
        <f t="shared" si="27"/>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 t="shared" si="20"/>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 t="shared" si="21"/>
        <v>EDC</v>
      </c>
      <c r="N135" s="339" t="str" cm="1">
        <f t="array" ref="N135">IF(AND(
    SUMPRODUCT(
        (IM!$F$2:$F$2000=A135) *
        ISNUMBER(SEARCH("HUB", IM!$AC$2:$AC$2000)) *
        (IM!$X$2:$X$2000&gt;=$A$1) *
        (IM!$X$2:$X$2000&lt;=$B$1)*(W135="HUB")
    ) &gt; 0
), "HUB", "")</f>
        <v/>
      </c>
      <c r="O135" s="371" t="str">
        <f t="shared" si="26"/>
        <v>STAR異常</v>
      </c>
      <c r="P135" s="238" t="str">
        <f t="shared" si="22"/>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 t="shared" si="23"/>
        <v>2</v>
      </c>
      <c r="U135" s="355"/>
      <c r="V135" s="373">
        <f t="shared" si="24"/>
        <v>2</v>
      </c>
      <c r="W135" s="360" t="str">
        <f>IF(VLOOKUP(A135,'0919門市清單主檔'!B:E,4,FALSE)=0,"",VLOOKUP(A135,'0919門市清單主檔'!B:E,4,FALSE))</f>
        <v/>
      </c>
      <c r="X135" s="3" t="s">
        <v>4322</v>
      </c>
      <c r="Y135" s="5" t="s">
        <v>4323</v>
      </c>
      <c r="Z135" s="5" t="str">
        <f t="shared" si="27"/>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 t="shared" si="20"/>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 t="shared" si="21"/>
        <v>EDC+STAR</v>
      </c>
      <c r="N136" s="339" t="str" cm="1">
        <f t="array" ref="N136">IF(AND(
    SUMPRODUCT(
        (IM!$F$2:$F$2000=A136) *
        ISNUMBER(SEARCH("HUB", IM!$AC$2:$AC$2000)) *
        (IM!$X$2:$X$2000&gt;=$A$1) *
        (IM!$X$2:$X$2000&lt;=$B$1)*(W136="HUB")
    ) &gt; 0
), "HUB", "")</f>
        <v/>
      </c>
      <c r="O136" s="371" t="str">
        <f t="shared" si="26"/>
        <v>完工已補裝</v>
      </c>
      <c r="P136" s="238" t="str">
        <f t="shared" si="22"/>
        <v>20250515-D138-三重中興北二(定保)</v>
      </c>
      <c r="Q136" s="357" t="str" cm="1">
        <f t="array" ref="Q136">IF(AND(SUMPRODUCT((IM!$F$2:$F$2000=A136)*(ISNUMBER(SEARCH("EDC", IM!$AC$2:$AC$2000))))&gt;0), "EDC", "")</f>
        <v>EDC</v>
      </c>
      <c r="R136" s="358" t="str" cm="1">
        <f t="array" ref="R136">IF(AND(SUMPRODUCT((IM!$F$2:$F$2000=A136)*(ISNUMBER(SEARCH("STAR", IM!$AC$2:$AC$2000))))&gt;0), "STAR", "")</f>
        <v>STAR</v>
      </c>
      <c r="S136" s="359" cm="1">
        <f t="array" ref="S136">IFERROR(INDEX(IM!$X$2:$X$650, MATCH(1, (IM!$F$2:$F$650=A136) * (ISNUMBER(SEARCH($D$1, IM!$AC$2:$AC$650))), 0)), "")</f>
        <v>45798.604166666664</v>
      </c>
      <c r="T136" s="355">
        <f t="shared" si="23"/>
        <v>2</v>
      </c>
      <c r="U136" s="355">
        <v>1</v>
      </c>
      <c r="V136" s="373">
        <f t="shared" si="24"/>
        <v>2</v>
      </c>
      <c r="W136" s="360" t="str">
        <f>IF(VLOOKUP(A136,'0919門市清單主檔'!B:E,4,FALSE)=0,"",VLOOKUP(A136,'0919門市清單主檔'!B:E,4,FALSE))</f>
        <v/>
      </c>
      <c r="X136" s="3" t="s">
        <v>4262</v>
      </c>
      <c r="Y136" s="5" t="s">
        <v>4263</v>
      </c>
      <c r="Z136" s="5" t="str">
        <f t="shared" si="27"/>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 t="shared" si="20"/>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 t="shared" si="21"/>
        <v>EDC</v>
      </c>
      <c r="N137" s="339" t="str" cm="1">
        <f t="array" ref="N137">IF(AND(
    SUMPRODUCT(
        (IM!$F$2:$F$2000=A137) *
        ISNUMBER(SEARCH("HUB", IM!$AC$2:$AC$2000)) *
        (IM!$X$2:$X$2000&gt;=$A$1) *
        (IM!$X$2:$X$2000&lt;=$B$1)*(W137="HUB")
    ) &gt; 0
), "HUB", "")</f>
        <v/>
      </c>
      <c r="O137" s="371" t="str">
        <f t="shared" si="26"/>
        <v>STAR異常</v>
      </c>
      <c r="P137" s="238" t="str">
        <f t="shared" si="22"/>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 t="shared" si="23"/>
        <v>1</v>
      </c>
      <c r="U137" s="355"/>
      <c r="V137" s="373">
        <f t="shared" si="24"/>
        <v>1</v>
      </c>
      <c r="W137" s="360" t="str">
        <f>IF(VLOOKUP(A137,'0919門市清單主檔'!B:E,4,FALSE)=0,"",VLOOKUP(A137,'0919門市清單主檔'!B:E,4,FALSE))</f>
        <v/>
      </c>
      <c r="X137" s="3" t="s">
        <v>4154</v>
      </c>
      <c r="Y137" s="5"/>
      <c r="Z137" s="5" t="str">
        <f t="shared" si="27"/>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 t="shared" si="20"/>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 t="shared" si="21"/>
        <v>EDC</v>
      </c>
      <c r="N138" s="339" t="str" cm="1">
        <f t="array" ref="N138">IF(AND(
    SUMPRODUCT(
        (IM!$F$2:$F$2000=A138) *
        ISNUMBER(SEARCH("HUB", IM!$AC$2:$AC$2000)) *
        (IM!$X$2:$X$2000&gt;=$A$1) *
        (IM!$X$2:$X$2000&lt;=$B$1)*(W138="HUB")
    ) &gt; 0
), "HUB", "")</f>
        <v/>
      </c>
      <c r="O138" s="371" t="str">
        <f t="shared" si="26"/>
        <v>STAR異常</v>
      </c>
      <c r="P138" s="238" t="str">
        <f t="shared" si="22"/>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 t="shared" si="23"/>
        <v>2</v>
      </c>
      <c r="U138" s="355"/>
      <c r="V138" s="373">
        <f t="shared" si="24"/>
        <v>2</v>
      </c>
      <c r="W138" s="360" t="str">
        <f>IF(VLOOKUP(A138,'0919門市清單主檔'!B:E,4,FALSE)=0,"",VLOOKUP(A138,'0919門市清單主檔'!B:E,4,FALSE))</f>
        <v/>
      </c>
      <c r="X138" s="3" t="s">
        <v>4160</v>
      </c>
      <c r="Y138" s="5" t="s">
        <v>4161</v>
      </c>
      <c r="Z138" s="5" t="str">
        <f t="shared" si="27"/>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 t="shared" si="20"/>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 t="shared" si="21"/>
        <v>EDC</v>
      </c>
      <c r="N139" s="339" t="str" cm="1">
        <f t="array" ref="N139">IF(AND(
    SUMPRODUCT(
        (IM!$F$2:$F$2000=A139) *
        ISNUMBER(SEARCH("HUB", IM!$AC$2:$AC$2000)) *
        (IM!$X$2:$X$2000&gt;=$A$1) *
        (IM!$X$2:$X$2000&lt;=$B$1)*(W139="HUB")
    ) &gt; 0
), "HUB", "")</f>
        <v/>
      </c>
      <c r="O139" s="371" t="str">
        <f t="shared" si="26"/>
        <v>STAR異常</v>
      </c>
      <c r="P139" s="238" t="str">
        <f t="shared" si="22"/>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 t="shared" si="23"/>
        <v>1</v>
      </c>
      <c r="U139" s="355"/>
      <c r="V139" s="373">
        <f t="shared" si="24"/>
        <v>1</v>
      </c>
      <c r="W139" s="360" t="str">
        <f>IF(VLOOKUP(A139,'0919門市清單主檔'!B:E,4,FALSE)=0,"",VLOOKUP(A139,'0919門市清單主檔'!B:E,4,FALSE))</f>
        <v/>
      </c>
      <c r="Y139" s="5" t="s">
        <v>4347</v>
      </c>
      <c r="Z139" s="5" t="str">
        <f t="shared" si="27"/>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 t="shared" si="20"/>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 t="shared" si="21"/>
        <v>EDC</v>
      </c>
      <c r="N140" s="339" t="str" cm="1">
        <f t="array" ref="N140">IF(AND(
    SUMPRODUCT(
        (IM!$F$2:$F$2000=A140) *
        ISNUMBER(SEARCH("HUB", IM!$AC$2:$AC$2000)) *
        (IM!$X$2:$X$2000&gt;=$A$1) *
        (IM!$X$2:$X$2000&lt;=$B$1)*(W140="HUB")
    ) &gt; 0
), "HUB", "")</f>
        <v/>
      </c>
      <c r="O140" s="371" t="str">
        <f t="shared" si="26"/>
        <v>STAR異常</v>
      </c>
      <c r="P140" s="238" t="str">
        <f t="shared" si="22"/>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 t="shared" si="23"/>
        <v>2</v>
      </c>
      <c r="U140" s="355"/>
      <c r="V140" s="373">
        <f t="shared" si="24"/>
        <v>2</v>
      </c>
      <c r="W140" s="360" t="str">
        <f>IF(VLOOKUP(A140,'0919門市清單主檔'!B:E,4,FALSE)=0,"",VLOOKUP(A140,'0919門市清單主檔'!B:E,4,FALSE))</f>
        <v/>
      </c>
      <c r="X140" s="3" t="s">
        <v>4412</v>
      </c>
      <c r="Y140" s="5" t="s">
        <v>4413</v>
      </c>
      <c r="Z140" s="5" t="str">
        <f t="shared" si="27"/>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 t="shared" si="20"/>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 t="shared" si="21"/>
        <v>EDC+STAR</v>
      </c>
      <c r="N141" s="339" t="str" cm="1">
        <f t="array" ref="N141">IF(AND(
    SUMPRODUCT(
        (IM!$F$2:$F$2000=A141) *
        ISNUMBER(SEARCH("HUB", IM!$AC$2:$AC$2000)) *
        (IM!$X$2:$X$2000&gt;=$A$1) *
        (IM!$X$2:$X$2000&lt;=$B$1)*(W141="HUB")
    ) &gt; 0
), "HUB", "")</f>
        <v/>
      </c>
      <c r="O141" s="371" t="str">
        <f t="shared" si="26"/>
        <v>已完工</v>
      </c>
      <c r="P141" s="238" t="str">
        <f t="shared" si="22"/>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 t="shared" si="23"/>
        <v>1</v>
      </c>
      <c r="U141" s="355"/>
      <c r="V141" s="373">
        <f t="shared" si="24"/>
        <v>1</v>
      </c>
      <c r="W141" s="360" t="str">
        <f>IF(VLOOKUP(A141,'0919門市清單主檔'!B:E,4,FALSE)=0,"",VLOOKUP(A141,'0919門市清單主檔'!B:E,4,FALSE))</f>
        <v/>
      </c>
      <c r="Y141" s="5" t="s">
        <v>4157</v>
      </c>
      <c r="Z141" s="5" t="str">
        <f t="shared" si="27"/>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 t="shared" si="20"/>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 t="shared" si="21"/>
        <v>EDC+STAR</v>
      </c>
      <c r="N142" s="339" t="str" cm="1">
        <f t="array" ref="N142">IF(AND(
    SUMPRODUCT(
        (IM!$F$2:$F$2000=A142) *
        ISNUMBER(SEARCH("HUB", IM!$AC$2:$AC$2000)) *
        (IM!$X$2:$X$2000&gt;=$A$1) *
        (IM!$X$2:$X$2000&lt;=$B$1)*(W142="HUB")
    ) &gt; 0
), "HUB", "")</f>
        <v/>
      </c>
      <c r="O142" s="371" t="str">
        <f t="shared" si="26"/>
        <v>已完工</v>
      </c>
      <c r="P142" s="238" t="str">
        <f t="shared" si="22"/>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 t="shared" si="23"/>
        <v>2</v>
      </c>
      <c r="U142" s="355"/>
      <c r="V142" s="373">
        <f t="shared" si="24"/>
        <v>2</v>
      </c>
      <c r="W142" s="360" t="str">
        <f>IF(VLOOKUP(A142,'0919門市清單主檔'!B:E,4,FALSE)=0,"",VLOOKUP(A142,'0919門市清單主檔'!B:E,4,FALSE))</f>
        <v/>
      </c>
      <c r="X142" s="3" t="s">
        <v>4269</v>
      </c>
      <c r="Y142" s="5" t="s">
        <v>4270</v>
      </c>
      <c r="Z142" s="5" t="str">
        <f t="shared" si="27"/>
        <v>STAR</v>
      </c>
    </row>
    <row r="143" spans="1:26" ht="15.75" customHeight="1">
      <c r="A143" s="174" t="s">
        <v>34</v>
      </c>
      <c r="B143" s="175" t="str">
        <f>VLOOKUP(A143,'0919門市清單主檔'!B:C,2,FALSE)</f>
        <v>板橋寶翠店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 t="shared" ref="H143:H206" si="28">IF(I143&gt;0,(TEXT(I143,"yyyymmdd")&amp;$S$2&amp;A143&amp;$S$2&amp;B143&amp;$Q$2),"")</f>
        <v>20250520-D767-板橋寶翠店(定保)</v>
      </c>
      <c r="I143" s="184">
        <v>45797.510416666664</v>
      </c>
      <c r="J143" s="183" cm="1">
        <f t="array" ref="J143">IFERROR(INDEX(IM!$X$2:$X$650, MATCH(1, (IM!$F$2:$F$650=A143) * (ISNUMBER(SEARCH($C$1, IM!$AC$2:$AC$650))), 0)), "")</f>
        <v>45797.510416666664</v>
      </c>
      <c r="K143" s="154">
        <f>COUNTIFS(IM!F:F,A143,IM!AD:AD,"O",IM!X:X,"&gt;="&amp;$A$1,IM!X:X,"&lt;="&amp;$B$1)</f>
        <v>1</v>
      </c>
      <c r="L143" s="220" t="str" cm="1">
        <f t="array" ref="L143">IF(K143&gt;0,IFERROR(HYPERLINK("#'IM'!AC"&amp;MATCH(1,(IM!$F$1:$F$7700=A143)*(ISNUMBER(SEARCH("PMQ2",IM!$AC$1:$AC$7700))),0),"檢核"),"未登錄"),"")</f>
        <v>檢核</v>
      </c>
      <c r="M143" s="369" t="str">
        <f t="shared" ref="M143:M206" si="29">Q143&amp;IF(R143&lt;&gt;"",$P$2,"")&amp;R143</f>
        <v>EDC+STAR</v>
      </c>
      <c r="N143" s="339" t="str" cm="1">
        <f t="array" ref="N143">IF(AND(
    SUMPRODUCT(
        (IM!$F$2:$F$2000=A143) *
        ISNUMBER(SEARCH("HUB", IM!$AC$2:$AC$2000)) *
        (IM!$X$2:$X$2000&gt;=$A$1) *
        (IM!$X$2:$X$2000&lt;=$B$1)*(W143="HUB")
    ) &gt; 0
), "HUB", "")</f>
        <v/>
      </c>
      <c r="O143" s="371" t="str">
        <f t="shared" si="26"/>
        <v>已完工</v>
      </c>
      <c r="P143" s="238" t="str">
        <f t="shared" ref="P143:P206" si="30">(TEXT(I143,"yyyymmdd"))&amp;$S$2&amp;A143&amp;$S$2&amp;B143&amp;$Q$2</f>
        <v>20250520-D767-板橋寶翠店(定保)</v>
      </c>
      <c r="Q143" s="357" t="str" cm="1">
        <f t="array" ref="Q143">IF(AND(SUMPRODUCT((IM!$F$2:$F$2000=A143)*(ISNUMBER(SEARCH("EDC", IM!$AC$2:$AC$2000))))&gt;0), "EDC", "")</f>
        <v>EDC</v>
      </c>
      <c r="R143" s="358" t="str" cm="1">
        <f t="array" ref="R143">IF(AND(SUMPRODUCT((IM!$F$2:$F$2000=A143)*(ISNUMBER(SEARCH("STAR", IM!$AC$2:$AC$2000))))&gt;0), "STAR", "")</f>
        <v>STAR</v>
      </c>
      <c r="S143" s="359" cm="1">
        <f t="array" ref="S143">IFERROR(INDEX(IM!$X$2:$X$650, MATCH(1, (IM!$F$2:$F$650=A143) * (ISNUMBER(SEARCH($D$1, IM!$AC$2:$AC$650))), 0)), "")</f>
        <v>45797.510416666664</v>
      </c>
      <c r="T143" s="355">
        <f t="shared" ref="T143:T206" si="31">IF(AND(X143&lt;&gt;"", Y143&lt;&gt;""), 2, IF(OR(X143&lt;&gt;"", Y143&lt;&gt;""), 1, 0))</f>
        <v>2</v>
      </c>
      <c r="U143" s="355"/>
      <c r="V143" s="373">
        <f t="shared" ref="V143:V206" si="32">IF(OR(R143="STAR", T143="", U143=""), T143,
"總數：" &amp; T143 &amp; CHAR(10) &amp;
"已維修：" &amp; U143 &amp; CHAR(10) &amp;
"未更換：" &amp; (T143 - U143))</f>
        <v>2</v>
      </c>
      <c r="W143" s="360" t="str">
        <f>IF(VLOOKUP(A143,'0919門市清單主檔'!B:E,4,FALSE)=0,"",VLOOKUP(A143,'0919門市清單主檔'!B:E,4,FALSE))</f>
        <v/>
      </c>
      <c r="X143" s="3" t="s">
        <v>4152</v>
      </c>
      <c r="Y143" s="5" t="s">
        <v>4153</v>
      </c>
      <c r="Z143" s="5" t="str">
        <f t="shared" ref="Z143:Z163" si="33">IF(T143&gt;0,"STAR","")</f>
        <v>STAR</v>
      </c>
    </row>
    <row r="144" spans="1:26" ht="15.75" customHeight="1">
      <c r="A144" s="174" t="s">
        <v>22</v>
      </c>
      <c r="B144" s="175" t="str">
        <f>VLOOKUP(A144,'0919門市清單主檔'!B:C,2,FALSE)</f>
        <v>三重中興北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 t="shared" si="28"/>
        <v>20250520-D087-三重中興北(定保)</v>
      </c>
      <c r="I144" s="184">
        <v>45797.682638888888</v>
      </c>
      <c r="J144" s="183" cm="1">
        <f t="array" ref="J144">IFERROR(INDEX(IM!$X$2:$X$650, MATCH(1, (IM!$F$2:$F$650=A144) * (ISNUMBER(SEARCH($C$1, IM!$AC$2:$AC$650))), 0)), "")</f>
        <v>45797.682638888888</v>
      </c>
      <c r="K144" s="154">
        <f>COUNTIFS(IM!F:F,A144,IM!AD:AD,"O",IM!X:X,"&gt;="&amp;$A$1,IM!X:X,"&lt;="&amp;$B$1)</f>
        <v>1</v>
      </c>
      <c r="L144" s="220" t="str" cm="1">
        <f t="array" ref="L144">IF(K144&gt;0,IFERROR(HYPERLINK("#'IM'!AC"&amp;MATCH(1,(IM!$F$1:$F$7700=A144)*(ISNUMBER(SEARCH("PMQ2",IM!$AC$1:$AC$7700))),0),"檢核"),"未登錄"),"")</f>
        <v>檢核</v>
      </c>
      <c r="M144" s="369" t="str">
        <f t="shared" si="29"/>
        <v>EDC+STAR</v>
      </c>
      <c r="N144" s="339" t="str" cm="1">
        <f t="array" ref="N144">IF(AND(
    SUMPRODUCT(
        (IM!$F$2:$F$2000=A144) *
        ISNUMBER(SEARCH("HUB", IM!$AC$2:$AC$2000)) *
        (IM!$X$2:$X$2000&gt;=$A$1) *
        (IM!$X$2:$X$2000&lt;=$B$1)*(W144="HUB")
    ) &gt; 0
), "HUB", "")</f>
        <v/>
      </c>
      <c r="O144" s="371" t="str">
        <f t="shared" ref="O144:O207" si="34">IF(I144="","未到店",
IF(AND(S144&gt;I144, R144="STAR", NOT(AND(G144&lt;&gt;"萊到店 WebPOS", Q144&lt;&gt;"EDC"))), "完工已補裝",
IF(AND(G144&lt;&gt;"萊到店 WebPOS", Q144&lt;&gt;"EDC"), "EDC異常",
IF(AND(W144="HUB", N144=""), "HUB異常",
IF(OR(AND(Z144="STAR", R144="STAR"), AND(Z144&lt;&gt;"STAR", R144="")), "已完工", "STAR異常")
))))</f>
        <v>已完工</v>
      </c>
      <c r="P144" s="238" t="str">
        <f t="shared" si="30"/>
        <v>20250520-D087-三重中興北(定保)</v>
      </c>
      <c r="Q144" s="357" t="str" cm="1">
        <f t="array" ref="Q144">IF(AND(SUMPRODUCT((IM!$F$2:$F$2000=A144)*(ISNUMBER(SEARCH("EDC", IM!$AC$2:$AC$2000))))&gt;0), "EDC", "")</f>
        <v>EDC</v>
      </c>
      <c r="R144" s="358" t="str" cm="1">
        <f t="array" ref="R144">IF(AND(SUMPRODUCT((IM!$F$2:$F$2000=A144)*(ISNUMBER(SEARCH("STAR", IM!$AC$2:$AC$2000))))&gt;0), "STAR", "")</f>
        <v>STAR</v>
      </c>
      <c r="S144" s="359" cm="1">
        <f t="array" ref="S144">IFERROR(INDEX(IM!$X$2:$X$650, MATCH(1, (IM!$F$2:$F$650=A144) * (ISNUMBER(SEARCH($D$1, IM!$AC$2:$AC$650))), 0)), "")</f>
        <v>45797.682638888888</v>
      </c>
      <c r="T144" s="355">
        <f t="shared" si="31"/>
        <v>1</v>
      </c>
      <c r="U144" s="355"/>
      <c r="V144" s="373">
        <f t="shared" si="32"/>
        <v>1</v>
      </c>
      <c r="W144" s="360" t="str">
        <f>IF(VLOOKUP(A144,'0919門市清單主檔'!B:E,4,FALSE)=0,"",VLOOKUP(A144,'0919門市清單主檔'!B:E,4,FALSE))</f>
        <v/>
      </c>
      <c r="Y144" s="5" t="s">
        <v>4261</v>
      </c>
      <c r="Z144" s="5" t="str">
        <f t="shared" si="33"/>
        <v>STAR</v>
      </c>
    </row>
    <row r="145" spans="1:26" ht="15.75" customHeight="1">
      <c r="A145" s="174">
        <v>4483</v>
      </c>
      <c r="B145" s="175" t="str">
        <f>VLOOKUP(A145,'0919門市清單主檔'!B:C,2,FALSE)</f>
        <v>林口築夢店</v>
      </c>
      <c r="C145" s="176" t="str">
        <f>VLOOKUP($A145,'0919門市清單主檔'!B:V,20,FALSE)</f>
        <v>新北市</v>
      </c>
      <c r="D145" s="177" t="str">
        <f>VLOOKUP($A145,'0919門市清單主檔'!B:V,21,FALSE)</f>
        <v>林口區</v>
      </c>
      <c r="E145" s="178" t="str">
        <f>VLOOKUP(D145,區域表!A:B,2,FALSE)</f>
        <v>湯家瑋</v>
      </c>
      <c r="F145" s="179" t="str">
        <f>IFERROR(IF(VLOOKUP(A145,門市狀態!A:D,4,FALSE)=0,"",VLOOKUP(A145,門市狀態!A:D,4,FALSE)),"")</f>
        <v/>
      </c>
      <c r="G145" s="180" t="s">
        <v>1742</v>
      </c>
      <c r="H145" s="181" t="str">
        <f t="shared" si="28"/>
        <v>20250521-4483-林口築夢店(定保)</v>
      </c>
      <c r="I145" s="184">
        <v>45798.5</v>
      </c>
      <c r="J145" s="183" cm="1">
        <f t="array" ref="J145">IFERROR(INDEX(IM!$X$2:$X$650, MATCH(1, (IM!$F$2:$F$650=A145) * (ISNUMBER(SEARCH($C$1, IM!$AC$2:$AC$650))), 0)), "")</f>
        <v>45798.5</v>
      </c>
      <c r="K145" s="154">
        <f>COUNTIFS(IM!F:F,A145,IM!AD:AD,"O",IM!X:X,"&gt;="&amp;$A$1,IM!X:X,"&lt;="&amp;$B$1)</f>
        <v>2</v>
      </c>
      <c r="L145" s="220" t="str" cm="1">
        <f t="array" ref="L145">IF(K145&gt;0,IFERROR(HYPERLINK("#'IM'!AC"&amp;MATCH(1,(IM!$F$1:$F$7700=A145)*(ISNUMBER(SEARCH("PMQ2",IM!$AC$1:$AC$7700))),0),"檢核"),"未登錄"),"")</f>
        <v>檢核</v>
      </c>
      <c r="M145" s="369" t="str">
        <f t="shared" si="29"/>
        <v>EDC+STAR</v>
      </c>
      <c r="N145" s="339" t="str" cm="1">
        <f t="array" ref="N145">IF(AND(
    SUMPRODUCT(
        (IM!$F$2:$F$2000=A145) *
        ISNUMBER(SEARCH("HUB", IM!$AC$2:$AC$2000)) *
        (IM!$X$2:$X$2000&gt;=$A$1) *
        (IM!$X$2:$X$2000&lt;=$B$1)*(W145="HUB")
    ) &gt; 0
), "HUB", "")</f>
        <v/>
      </c>
      <c r="O145" s="371" t="str">
        <f t="shared" si="34"/>
        <v>已完工</v>
      </c>
      <c r="P145" s="238" t="str">
        <f t="shared" si="30"/>
        <v>20250521-4483-林口築夢店(定保)</v>
      </c>
      <c r="Q145" s="357" t="str" cm="1">
        <f t="array" ref="Q145">IF(AND(SUMPRODUCT((IM!$F$2:$F$2000=A145)*(ISNUMBER(SEARCH("EDC", IM!$AC$2:$AC$2000))))&gt;0), "EDC", "")</f>
        <v>EDC</v>
      </c>
      <c r="R145" s="358" t="str" cm="1">
        <f t="array" ref="R145">IF(AND(SUMPRODUCT((IM!$F$2:$F$2000=A145)*(ISNUMBER(SEARCH("STAR", IM!$AC$2:$AC$2000))))&gt;0), "STAR", "")</f>
        <v>STAR</v>
      </c>
      <c r="S145" s="359" cm="1">
        <f t="array" ref="S145">IFERROR(INDEX(IM!$X$2:$X$650, MATCH(1, (IM!$F$2:$F$650=A145) * (ISNUMBER(SEARCH($D$1, IM!$AC$2:$AC$650))), 0)), "")</f>
        <v>45798.5</v>
      </c>
      <c r="T145" s="355">
        <f t="shared" si="31"/>
        <v>1</v>
      </c>
      <c r="U145" s="355"/>
      <c r="V145" s="373">
        <f t="shared" si="32"/>
        <v>1</v>
      </c>
      <c r="W145" s="360" t="str">
        <f>IF(VLOOKUP(A145,'0919門市清單主檔'!B:E,4,FALSE)=0,"",VLOOKUP(A145,'0919門市清單主檔'!B:E,4,FALSE))</f>
        <v/>
      </c>
      <c r="X145" s="3" t="s">
        <v>4401</v>
      </c>
      <c r="Y145" s="5"/>
      <c r="Z145" s="5" t="str">
        <f t="shared" si="33"/>
        <v>STAR</v>
      </c>
    </row>
    <row r="146" spans="1:26" ht="15.75" customHeight="1">
      <c r="A146" s="174">
        <v>4514</v>
      </c>
      <c r="B146" s="175" t="str">
        <f>VLOOKUP(A146,'0919門市清單主檔'!B:C,2,FALSE)</f>
        <v>林口老師店</v>
      </c>
      <c r="C146" s="176" t="str">
        <f>VLOOKUP($A146,'0919門市清單主檔'!B:V,20,FALSE)</f>
        <v>新北市</v>
      </c>
      <c r="D146" s="177" t="str">
        <f>VLOOKUP($A146,'0919門市清單主檔'!B:V,21,FALSE)</f>
        <v>林口區</v>
      </c>
      <c r="E146" s="178" t="str">
        <f>VLOOKUP(D146,區域表!A:B,2,FALSE)</f>
        <v>湯家瑋</v>
      </c>
      <c r="F146" s="179" t="str">
        <f>IFERROR(IF(VLOOKUP(A146,門市狀態!A:D,4,FALSE)=0,"",VLOOKUP(A146,門市狀態!A:D,4,FALSE)),"")</f>
        <v/>
      </c>
      <c r="G146" s="180" t="s">
        <v>1742</v>
      </c>
      <c r="H146" s="181" t="str">
        <f t="shared" si="28"/>
        <v>20250521-4514-林口老師店(定保)</v>
      </c>
      <c r="I146" s="184">
        <v>45798.618055555555</v>
      </c>
      <c r="J146" s="183" cm="1">
        <f t="array" ref="J146">IFERROR(INDEX(IM!$X$2:$X$650, MATCH(1, (IM!$F$2:$F$650=A146) * (ISNUMBER(SEARCH($C$1, IM!$AC$2:$AC$650))), 0)), "")</f>
        <v>45798.618055555555</v>
      </c>
      <c r="K146" s="154">
        <f>COUNTIFS(IM!F:F,A146,IM!AD:AD,"O",IM!X:X,"&gt;="&amp;$A$1,IM!X:X,"&lt;="&amp;$B$1)</f>
        <v>1</v>
      </c>
      <c r="L146" s="220" t="str" cm="1">
        <f t="array" ref="L146">IF(K146&gt;0,IFERROR(HYPERLINK("#'IM'!AC"&amp;MATCH(1,(IM!$F$1:$F$7700=A146)*(ISNUMBER(SEARCH("PMQ2",IM!$AC$1:$AC$7700))),0),"檢核"),"未登錄"),"")</f>
        <v>檢核</v>
      </c>
      <c r="M146" s="369" t="str">
        <f t="shared" si="29"/>
        <v>EDC</v>
      </c>
      <c r="N146" s="339" t="str" cm="1">
        <f t="array" ref="N146">IF(AND(
    SUMPRODUCT(
        (IM!$F$2:$F$2000=A146) *
        ISNUMBER(SEARCH("HUB", IM!$AC$2:$AC$2000)) *
        (IM!$X$2:$X$2000&gt;=$A$1) *
        (IM!$X$2:$X$2000&lt;=$B$1)*(W146="HUB")
    ) &gt; 0
), "HUB", "")</f>
        <v/>
      </c>
      <c r="O146" s="371" t="str">
        <f t="shared" si="34"/>
        <v>已完工</v>
      </c>
      <c r="P146" s="238" t="str">
        <f t="shared" si="30"/>
        <v>20250521-4514-林口老師店(定保)</v>
      </c>
      <c r="Q146" s="357" t="str" cm="1">
        <f t="array" ref="Q146">IF(AND(SUMPRODUCT((IM!$F$2:$F$2000=A146)*(ISNUMBER(SEARCH("EDC", IM!$AC$2:$AC$2000))))&gt;0), "EDC", "")</f>
        <v>EDC</v>
      </c>
      <c r="R146" s="358" t="str" cm="1">
        <f t="array" ref="R146">IF(AND(SUMPRODUCT((IM!$F$2:$F$2000=A146)*(ISNUMBER(SEARCH("STAR", IM!$AC$2:$AC$2000))))&gt;0), "STAR", "")</f>
        <v/>
      </c>
      <c r="S146" s="359" t="str" cm="1">
        <f t="array" ref="S146">IFERROR(INDEX(IM!$X$2:$X$650, MATCH(1, (IM!$F$2:$F$650=A146) * (ISNUMBER(SEARCH($D$1, IM!$AC$2:$AC$650))), 0)), "")</f>
        <v/>
      </c>
      <c r="T146" s="355">
        <f t="shared" si="31"/>
        <v>0</v>
      </c>
      <c r="U146" s="355"/>
      <c r="V146" s="373">
        <f t="shared" si="32"/>
        <v>0</v>
      </c>
      <c r="W146" s="360" t="str">
        <f>IF(VLOOKUP(A146,'0919門市清單主檔'!B:E,4,FALSE)=0,"",VLOOKUP(A146,'0919門市清單主檔'!B:E,4,FALSE))</f>
        <v/>
      </c>
      <c r="Y146" s="5"/>
      <c r="Z146" s="5" t="str">
        <f t="shared" si="33"/>
        <v/>
      </c>
    </row>
    <row r="147" spans="1:26" ht="15.75" customHeight="1">
      <c r="A147" s="174">
        <v>3137</v>
      </c>
      <c r="B147" s="175" t="str">
        <f>VLOOKUP(A147,'0919門市清單主檔'!B:C,2,FALSE)</f>
        <v>北縣黎明店</v>
      </c>
      <c r="C147" s="176" t="str">
        <f>VLOOKUP($A147,'0919門市清單主檔'!B:V,20,FALSE)</f>
        <v>新北市</v>
      </c>
      <c r="D147" s="177" t="str">
        <f>VLOOKUP($A147,'0919門市清單主檔'!B:V,21,FALSE)</f>
        <v>泰山區</v>
      </c>
      <c r="E147" s="178" t="str">
        <f>VLOOKUP(D147,區域表!A:B,2,FALSE)</f>
        <v>湯家瑋</v>
      </c>
      <c r="F147" s="179" t="str">
        <f>IFERROR(IF(VLOOKUP(A147,門市狀態!A:D,4,FALSE)=0,"",VLOOKUP(A147,門市狀態!A:D,4,FALSE)),"")</f>
        <v/>
      </c>
      <c r="G147" s="180" t="s">
        <v>4081</v>
      </c>
      <c r="H147" s="181" t="str">
        <f t="shared" si="28"/>
        <v>20250521-3137-北縣黎明店(定保)</v>
      </c>
      <c r="I147" s="184">
        <v>45798.635416666664</v>
      </c>
      <c r="J147" s="183" cm="1">
        <f t="array" ref="J147">IFERROR(INDEX(IM!$X$2:$X$650, MATCH(1, (IM!$F$2:$F$650=A147) * (ISNUMBER(SEARCH($C$1, IM!$AC$2:$AC$650))), 0)), "")</f>
        <v>45798.635416666664</v>
      </c>
      <c r="K147" s="154">
        <f>COUNTIFS(IM!F:F,A147,IM!AD:AD,"O",IM!X:X,"&gt;="&amp;$A$1,IM!X:X,"&lt;="&amp;$B$1)</f>
        <v>1</v>
      </c>
      <c r="L147" s="220" t="str" cm="1">
        <f t="array" ref="L147">IF(K147&gt;0,IFERROR(HYPERLINK("#'IM'!AC"&amp;MATCH(1,(IM!$F$1:$F$7700=A147)*(ISNUMBER(SEARCH("PMQ2",IM!$AC$1:$AC$7700))),0),"檢核"),"未登錄"),"")</f>
        <v>檢核</v>
      </c>
      <c r="M147" s="369" t="str">
        <f t="shared" si="29"/>
        <v>EDC</v>
      </c>
      <c r="N147" s="339" t="str" cm="1">
        <f t="array" ref="N147">IF(AND(
    SUMPRODUCT(
        (IM!$F$2:$F$2000=A147) *
        ISNUMBER(SEARCH("HUB", IM!$AC$2:$AC$2000)) *
        (IM!$X$2:$X$2000&gt;=$A$1) *
        (IM!$X$2:$X$2000&lt;=$B$1)*(W147="HUB")
    ) &gt; 0
), "HUB", "")</f>
        <v/>
      </c>
      <c r="O147" s="371" t="str">
        <f t="shared" si="34"/>
        <v>已完工</v>
      </c>
      <c r="P147" s="238" t="str">
        <f t="shared" si="30"/>
        <v>20250521-3137-北縣黎明店(定保)</v>
      </c>
      <c r="Q147" s="357" t="str" cm="1">
        <f t="array" ref="Q147">IF(AND(SUMPRODUCT((IM!$F$2:$F$2000=A147)*(ISNUMBER(SEARCH("EDC", IM!$AC$2:$AC$2000))))&gt;0), "EDC", "")</f>
        <v>EDC</v>
      </c>
      <c r="R147" s="358" t="str" cm="1">
        <f t="array" ref="R147">IF(AND(SUMPRODUCT((IM!$F$2:$F$2000=A147)*(ISNUMBER(SEARCH("STAR", IM!$AC$2:$AC$2000))))&gt;0), "STAR", "")</f>
        <v/>
      </c>
      <c r="S147" s="359" t="str" cm="1">
        <f t="array" ref="S147">IFERROR(INDEX(IM!$X$2:$X$650, MATCH(1, (IM!$F$2:$F$650=A147) * (ISNUMBER(SEARCH($D$1, IM!$AC$2:$AC$650))), 0)), "")</f>
        <v/>
      </c>
      <c r="T147" s="355">
        <f t="shared" si="31"/>
        <v>0</v>
      </c>
      <c r="U147" s="355"/>
      <c r="V147" s="373">
        <f t="shared" si="32"/>
        <v>0</v>
      </c>
      <c r="W147" s="360" t="str">
        <f>IF(VLOOKUP(A147,'0919門市清單主檔'!B:E,4,FALSE)=0,"",VLOOKUP(A147,'0919門市清單主檔'!B:E,4,FALSE))</f>
        <v/>
      </c>
      <c r="Y147" s="5"/>
      <c r="Z147" s="5" t="str">
        <f t="shared" si="33"/>
        <v/>
      </c>
    </row>
    <row r="148" spans="1:26" ht="15.75" customHeight="1">
      <c r="A148" s="174">
        <v>4977</v>
      </c>
      <c r="B148" s="175" t="str">
        <f>VLOOKUP(A148,'0919門市清單主檔'!B:C,2,FALSE)</f>
        <v>三重初戀店</v>
      </c>
      <c r="C148" s="176" t="str">
        <f>VLOOKUP($A148,'0919門市清單主檔'!B:V,20,FALSE)</f>
        <v>新北市</v>
      </c>
      <c r="D148" s="177" t="str">
        <f>VLOOKUP($A148,'0919門市清單主檔'!B:V,21,FALSE)</f>
        <v>三重區</v>
      </c>
      <c r="E148" s="178" t="str">
        <f>VLOOKUP(D148,區域表!A:B,2,FALSE)</f>
        <v>吳宗鴻</v>
      </c>
      <c r="F148" s="179" t="str">
        <f>IFERROR(IF(VLOOKUP(A148,門市狀態!A:D,4,FALSE)=0,"",VLOOKUP(A148,門市狀態!A:D,4,FALSE)),"")</f>
        <v/>
      </c>
      <c r="G148" s="180" t="s">
        <v>1742</v>
      </c>
      <c r="H148" s="181" t="str">
        <f t="shared" si="28"/>
        <v>20250521-4977-三重初戀店(定保)</v>
      </c>
      <c r="I148" s="184">
        <v>45798.665972222225</v>
      </c>
      <c r="J148" s="183" cm="1">
        <f t="array" ref="J148">IFERROR(INDEX(IM!$X$2:$X$650, MATCH(1, (IM!$F$2:$F$650=A148) * (ISNUMBER(SEARCH($C$1, IM!$AC$2:$AC$650))), 0)), "")</f>
        <v>45798.665972222225</v>
      </c>
      <c r="K148" s="154">
        <f>COUNTIFS(IM!F:F,A148,IM!AD:AD,"O",IM!X:X,"&gt;="&amp;$A$1,IM!X:X,"&lt;="&amp;$B$1)</f>
        <v>1</v>
      </c>
      <c r="L148" s="220" t="str" cm="1">
        <f t="array" ref="L148">IF(K148&gt;0,IFERROR(HYPERLINK("#'IM'!AC"&amp;MATCH(1,(IM!$F$1:$F$7700=A148)*(ISNUMBER(SEARCH("PMQ2",IM!$AC$1:$AC$7700))),0),"檢核"),"未登錄"),"")</f>
        <v>檢核</v>
      </c>
      <c r="M148" s="369" t="str">
        <f t="shared" si="29"/>
        <v>EDC+STAR</v>
      </c>
      <c r="N148" s="339" t="str" cm="1">
        <f t="array" ref="N148">IF(AND(
    SUMPRODUCT(
        (IM!$F$2:$F$2000=A148) *
        ISNUMBER(SEARCH("HUB", IM!$AC$2:$AC$2000)) *
        (IM!$X$2:$X$2000&gt;=$A$1) *
        (IM!$X$2:$X$2000&lt;=$B$1)*(W148="HUB")
    ) &gt; 0
), "HUB", "")</f>
        <v/>
      </c>
      <c r="O148" s="371" t="str">
        <f t="shared" si="34"/>
        <v>已完工</v>
      </c>
      <c r="P148" s="238" t="str">
        <f t="shared" si="30"/>
        <v>20250521-4977-三重初戀店(定保)</v>
      </c>
      <c r="Q148" s="357" t="str" cm="1">
        <f t="array" ref="Q148">IF(AND(SUMPRODUCT((IM!$F$2:$F$2000=A148)*(ISNUMBER(SEARCH("EDC", IM!$AC$2:$AC$2000))))&gt;0), "EDC", "")</f>
        <v>EDC</v>
      </c>
      <c r="R148" s="358" t="str" cm="1">
        <f t="array" ref="R148">IF(AND(SUMPRODUCT((IM!$F$2:$F$2000=A148)*(ISNUMBER(SEARCH("STAR", IM!$AC$2:$AC$2000))))&gt;0), "STAR", "")</f>
        <v>STAR</v>
      </c>
      <c r="S148" s="359" cm="1">
        <f t="array" ref="S148">IFERROR(INDEX(IM!$X$2:$X$650, MATCH(1, (IM!$F$2:$F$650=A148) * (ISNUMBER(SEARCH($D$1, IM!$AC$2:$AC$650))), 0)), "")</f>
        <v>45743.524305555555</v>
      </c>
      <c r="T148" s="355">
        <f t="shared" si="31"/>
        <v>2</v>
      </c>
      <c r="U148" s="355"/>
      <c r="V148" s="373">
        <f t="shared" si="32"/>
        <v>2</v>
      </c>
      <c r="W148" s="360" t="str">
        <f>IF(VLOOKUP(A148,'0919門市清單主檔'!B:E,4,FALSE)=0,"",VLOOKUP(A148,'0919門市清單主檔'!B:E,4,FALSE))</f>
        <v/>
      </c>
      <c r="X148" s="3" t="s">
        <v>4244</v>
      </c>
      <c r="Y148" s="5" t="s">
        <v>4245</v>
      </c>
      <c r="Z148" s="5" t="str">
        <f t="shared" si="33"/>
        <v>STAR</v>
      </c>
    </row>
    <row r="149" spans="1:26" ht="15.75" customHeight="1">
      <c r="A149" s="174">
        <v>3890</v>
      </c>
      <c r="B149" s="175" t="str">
        <f>VLOOKUP(A149,'0919門市清單主檔'!B:C,2,FALSE)</f>
        <v>三重美堤店</v>
      </c>
      <c r="C149" s="176" t="str">
        <f>VLOOKUP($A149,'0919門市清單主檔'!B:V,20,FALSE)</f>
        <v>新北市</v>
      </c>
      <c r="D149" s="177" t="str">
        <f>VLOOKUP($A149,'0919門市清單主檔'!B:V,21,FALSE)</f>
        <v>三重區</v>
      </c>
      <c r="E149" s="178" t="str">
        <f>VLOOKUP(D149,區域表!A:B,2,FALSE)</f>
        <v>吳宗鴻</v>
      </c>
      <c r="F149" s="179" t="str">
        <f>IFERROR(IF(VLOOKUP(A149,門市狀態!A:D,4,FALSE)=0,"",VLOOKUP(A149,門市狀態!A:D,4,FALSE)),"")</f>
        <v/>
      </c>
      <c r="G149" s="180" t="s">
        <v>1742</v>
      </c>
      <c r="H149" s="181" t="str">
        <f t="shared" si="28"/>
        <v>-3890-三重美堤店(定保)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 t="shared" si="29"/>
        <v/>
      </c>
      <c r="N149" s="339" t="str" cm="1">
        <f t="array" ref="N149">IF(AND(
    SUMPRODUCT(
        (IM!$F$2:$F$2000=A149) *
        ISNUMBER(SEARCH("HUB", IM!$AC$2:$AC$2000)) *
        (IM!$X$2:$X$2000&gt;=$A$1) *
        (IM!$X$2:$X$2000&lt;=$B$1)*(W149="HUB")
    ) &gt; 0
), "HUB", "")</f>
        <v/>
      </c>
      <c r="O149" s="371" t="str">
        <f t="shared" si="34"/>
        <v>未到店</v>
      </c>
      <c r="P149" s="238" t="str">
        <f t="shared" si="30"/>
        <v>-3890-三重美堤店(定保)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 t="shared" si="31"/>
        <v>2</v>
      </c>
      <c r="U149" s="355"/>
      <c r="V149" s="373">
        <f t="shared" si="32"/>
        <v>2</v>
      </c>
      <c r="W149" s="360" t="str">
        <f>IF(VLOOKUP(A149,'0919門市清單主檔'!B:E,4,FALSE)=0,"",VLOOKUP(A149,'0919門市清單主檔'!B:E,4,FALSE))</f>
        <v/>
      </c>
      <c r="X149" s="3" t="s">
        <v>4141</v>
      </c>
      <c r="Y149" s="5" t="s">
        <v>4142</v>
      </c>
      <c r="Z149" s="5" t="str">
        <f t="shared" si="33"/>
        <v>STAR</v>
      </c>
    </row>
    <row r="150" spans="1:26" ht="15.75" customHeight="1">
      <c r="A150" s="174" t="s">
        <v>17</v>
      </c>
      <c r="B150" s="175" t="str">
        <f>VLOOKUP(A150,'0919門市清單主檔'!B:C,2,FALSE)</f>
        <v>蘆洲權義店</v>
      </c>
      <c r="C150" s="176" t="str">
        <f>VLOOKUP($A150,'0919門市清單主檔'!B:V,20,FALSE)</f>
        <v>新北市</v>
      </c>
      <c r="D150" s="177" t="str">
        <f>VLOOKUP($A150,'0919門市清單主檔'!B:V,21,FALSE)</f>
        <v>蘆洲區</v>
      </c>
      <c r="E150" s="178" t="str">
        <f>VLOOKUP(D150,區域表!A:B,2,FALSE)</f>
        <v>吳宗鴻</v>
      </c>
      <c r="F150" s="179" t="str">
        <f>IFERROR(IF(VLOOKUP(A150,門市狀態!A:D,4,FALSE)=0,"",VLOOKUP(A150,門市狀態!A:D,4,FALSE)),"")</f>
        <v/>
      </c>
      <c r="G150" s="180" t="s">
        <v>1742</v>
      </c>
      <c r="H150" s="181" t="str">
        <f t="shared" si="28"/>
        <v>-D193-蘆洲權義店(定保)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 t="shared" si="29"/>
        <v/>
      </c>
      <c r="N150" s="339" t="str" cm="1">
        <f t="array" ref="N150">IF(AND(
    SUMPRODUCT(
        (IM!$F$2:$F$2000=A150) *
        ISNUMBER(SEARCH("HUB", IM!$AC$2:$AC$2000)) *
        (IM!$X$2:$X$2000&gt;=$A$1) *
        (IM!$X$2:$X$2000&lt;=$B$1)*(W150="HUB")
    ) &gt; 0
), "HUB", "")</f>
        <v/>
      </c>
      <c r="O150" s="371" t="str">
        <f t="shared" si="34"/>
        <v>未到店</v>
      </c>
      <c r="P150" s="238" t="str">
        <f t="shared" si="30"/>
        <v>-D193-蘆洲權義店(定保)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 t="shared" si="31"/>
        <v>2</v>
      </c>
      <c r="U150" s="355"/>
      <c r="V150" s="373">
        <f t="shared" si="32"/>
        <v>2</v>
      </c>
      <c r="W150" s="360" t="str">
        <f>IF(VLOOKUP(A150,'0919門市清單主檔'!B:E,4,FALSE)=0,"",VLOOKUP(A150,'0919門市清單主檔'!B:E,4,FALSE))</f>
        <v/>
      </c>
      <c r="X150" s="3" t="s">
        <v>4158</v>
      </c>
      <c r="Y150" s="5" t="s">
        <v>4159</v>
      </c>
      <c r="Z150" s="5" t="str">
        <f t="shared" si="33"/>
        <v>STAR</v>
      </c>
    </row>
    <row r="151" spans="1:26" ht="15.75" customHeight="1">
      <c r="A151" s="174" t="s">
        <v>38</v>
      </c>
      <c r="B151" s="175" t="str">
        <f>VLOOKUP(A151,'0919門市清單主檔'!B:C,2,FALSE)</f>
        <v>三重大有店</v>
      </c>
      <c r="C151" s="176" t="str">
        <f>VLOOKUP($A151,'0919門市清單主檔'!B:V,20,FALSE)</f>
        <v>新北市</v>
      </c>
      <c r="D151" s="177" t="str">
        <f>VLOOKUP($A151,'0919門市清單主檔'!B:V,21,FALSE)</f>
        <v>三重區</v>
      </c>
      <c r="E151" s="178" t="str">
        <f>VLOOKUP(D151,區域表!A:B,2,FALSE)</f>
        <v>吳宗鴻</v>
      </c>
      <c r="F151" s="179" t="str">
        <f>IFERROR(IF(VLOOKUP(A151,門市狀態!A:D,4,FALSE)=0,"",VLOOKUP(A151,門市狀態!A:D,4,FALSE)),"")</f>
        <v/>
      </c>
      <c r="G151" s="180" t="s">
        <v>1742</v>
      </c>
      <c r="H151" s="181" t="str">
        <f t="shared" si="28"/>
        <v>-D390-三重大有店(定保)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 t="shared" si="29"/>
        <v/>
      </c>
      <c r="N151" s="339" t="str" cm="1">
        <f t="array" ref="N151">IF(AND(
    SUMPRODUCT(
        (IM!$F$2:$F$2000=A151) *
        ISNUMBER(SEARCH("HUB", IM!$AC$2:$AC$2000)) *
        (IM!$X$2:$X$2000&gt;=$A$1) *
        (IM!$X$2:$X$2000&lt;=$B$1)*(W151="HUB")
    ) &gt; 0
), "HUB", "")</f>
        <v/>
      </c>
      <c r="O151" s="371" t="str">
        <f t="shared" si="34"/>
        <v>未到店</v>
      </c>
      <c r="P151" s="238" t="str">
        <f t="shared" si="30"/>
        <v>-D390-三重大有店(定保)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 t="shared" si="31"/>
        <v>2</v>
      </c>
      <c r="U151" s="355"/>
      <c r="V151" s="373">
        <f t="shared" si="32"/>
        <v>2</v>
      </c>
      <c r="W151" s="360" t="str">
        <f>IF(VLOOKUP(A151,'0919門市清單主檔'!B:E,4,FALSE)=0,"",VLOOKUP(A151,'0919門市清單主檔'!B:E,4,FALSE))</f>
        <v/>
      </c>
      <c r="X151" s="3" t="s">
        <v>4163</v>
      </c>
      <c r="Y151" s="5" t="s">
        <v>4164</v>
      </c>
      <c r="Z151" s="5" t="str">
        <f t="shared" si="33"/>
        <v>STAR</v>
      </c>
    </row>
    <row r="152" spans="1:26" ht="15.75" customHeight="1">
      <c r="A152" s="174">
        <v>4968</v>
      </c>
      <c r="B152" s="175" t="str">
        <f>VLOOKUP(A152,'0919門市清單主檔'!B:C,2,FALSE)</f>
        <v>三重太璞宮</v>
      </c>
      <c r="C152" s="176" t="str">
        <f>VLOOKUP($A152,'0919門市清單主檔'!B:V,20,FALSE)</f>
        <v>新北市</v>
      </c>
      <c r="D152" s="177" t="str">
        <f>VLOOKUP($A152,'0919門市清單主檔'!B:V,21,FALSE)</f>
        <v>三重區</v>
      </c>
      <c r="E152" s="178" t="str">
        <f>VLOOKUP(D152,區域表!A:B,2,FALSE)</f>
        <v>吳宗鴻</v>
      </c>
      <c r="F152" s="179" t="str">
        <f>IFERROR(IF(VLOOKUP(A152,門市狀態!A:D,4,FALSE)=0,"",VLOOKUP(A152,門市狀態!A:D,4,FALSE)),"")</f>
        <v/>
      </c>
      <c r="G152" s="180" t="s">
        <v>1742</v>
      </c>
      <c r="H152" s="181" t="str">
        <f t="shared" si="28"/>
        <v>-4968-三重太璞宮(定保)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 t="shared" si="29"/>
        <v/>
      </c>
      <c r="N152" s="339" t="str" cm="1">
        <f t="array" ref="N152">IF(AND(
    SUMPRODUCT(
        (IM!$F$2:$F$2000=A152) *
        ISNUMBER(SEARCH("HUB", IM!$AC$2:$AC$2000)) *
        (IM!$X$2:$X$2000&gt;=$A$1) *
        (IM!$X$2:$X$2000&lt;=$B$1)*(W152="HUB")
    ) &gt; 0
), "HUB", "")</f>
        <v/>
      </c>
      <c r="O152" s="371" t="str">
        <f t="shared" si="34"/>
        <v>未到店</v>
      </c>
      <c r="P152" s="238" t="str">
        <f t="shared" si="30"/>
        <v>-4968-三重太璞宮(定保)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 t="shared" si="31"/>
        <v>1</v>
      </c>
      <c r="U152" s="355"/>
      <c r="V152" s="373">
        <f t="shared" si="32"/>
        <v>1</v>
      </c>
      <c r="W152" s="360" t="str">
        <f>IF(VLOOKUP(A152,'0919門市清單主檔'!B:E,4,FALSE)=0,"",VLOOKUP(A152,'0919門市清單主檔'!B:E,4,FALSE))</f>
        <v/>
      </c>
      <c r="X152" s="3" t="s">
        <v>4165</v>
      </c>
      <c r="Y152" s="5"/>
      <c r="Z152" s="5" t="str">
        <f t="shared" si="33"/>
        <v>STAR</v>
      </c>
    </row>
    <row r="153" spans="1:26" ht="15.75" customHeight="1">
      <c r="A153" s="174">
        <v>4819</v>
      </c>
      <c r="B153" s="175" t="str">
        <f>VLOOKUP(A153,'0919門市清單主檔'!B:C,2,FALSE)</f>
        <v>五股凌雲店</v>
      </c>
      <c r="C153" s="176" t="str">
        <f>VLOOKUP($A153,'0919門市清單主檔'!B:V,20,FALSE)</f>
        <v>新北市</v>
      </c>
      <c r="D153" s="177" t="str">
        <f>VLOOKUP($A153,'0919門市清單主檔'!B:V,21,FALSE)</f>
        <v>五股區</v>
      </c>
      <c r="E153" s="178" t="str">
        <f>VLOOKUP(D153,區域表!A:B,2,FALSE)</f>
        <v>湯家瑋</v>
      </c>
      <c r="F153" s="179" t="str">
        <f>IFERROR(IF(VLOOKUP(A153,門市狀態!A:D,4,FALSE)=0,"",VLOOKUP(A153,門市狀態!A:D,4,FALSE)),"")</f>
        <v/>
      </c>
      <c r="G153" s="180" t="s">
        <v>1742</v>
      </c>
      <c r="H153" s="181" t="str">
        <f t="shared" si="28"/>
        <v>-4819-五股凌雲店(定保)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 t="shared" si="29"/>
        <v/>
      </c>
      <c r="N153" s="339" t="str" cm="1">
        <f t="array" ref="N153">IF(AND(
    SUMPRODUCT(
        (IM!$F$2:$F$2000=A153) *
        ISNUMBER(SEARCH("HUB", IM!$AC$2:$AC$2000)) *
        (IM!$X$2:$X$2000&gt;=$A$1) *
        (IM!$X$2:$X$2000&lt;=$B$1)*(W153="HUB")
    ) &gt; 0
), "HUB", "")</f>
        <v/>
      </c>
      <c r="O153" s="371" t="str">
        <f t="shared" si="34"/>
        <v>未到店</v>
      </c>
      <c r="P153" s="238" t="str">
        <f t="shared" si="30"/>
        <v>-4819-五股凌雲店(定保)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 t="shared" si="31"/>
        <v>2</v>
      </c>
      <c r="U153" s="355"/>
      <c r="V153" s="373">
        <f t="shared" si="32"/>
        <v>2</v>
      </c>
      <c r="W153" s="360" t="str">
        <f>IF(VLOOKUP(A153,'0919門市清單主檔'!B:E,4,FALSE)=0,"",VLOOKUP(A153,'0919門市清單主檔'!B:E,4,FALSE))</f>
        <v/>
      </c>
      <c r="X153" s="3" t="s">
        <v>4210</v>
      </c>
      <c r="Y153" s="5" t="s">
        <v>4211</v>
      </c>
      <c r="Z153" s="5" t="str">
        <f t="shared" si="33"/>
        <v>STAR</v>
      </c>
    </row>
    <row r="154" spans="1:26" ht="15.75" customHeight="1">
      <c r="A154" s="174">
        <v>4801</v>
      </c>
      <c r="B154" s="175" t="str">
        <f>VLOOKUP(A154,'0919門市清單主檔'!B:C,2,FALSE)</f>
        <v>五股成州店</v>
      </c>
      <c r="C154" s="176" t="str">
        <f>VLOOKUP($A154,'0919門市清單主檔'!B:V,20,FALSE)</f>
        <v>新北市</v>
      </c>
      <c r="D154" s="177" t="str">
        <f>VLOOKUP($A154,'0919門市清單主檔'!B:V,21,FALSE)</f>
        <v>五股區</v>
      </c>
      <c r="E154" s="178" t="str">
        <f>VLOOKUP(D154,區域表!A:B,2,FALSE)</f>
        <v>湯家瑋</v>
      </c>
      <c r="F154" s="179" t="str">
        <f>IFERROR(IF(VLOOKUP(A154,門市狀態!A:D,4,FALSE)=0,"",VLOOKUP(A154,門市狀態!A:D,4,FALSE)),"")</f>
        <v/>
      </c>
      <c r="G154" s="180" t="s">
        <v>1742</v>
      </c>
      <c r="H154" s="181" t="str">
        <f t="shared" si="28"/>
        <v>-4801-五股成州店(定保)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 t="shared" si="29"/>
        <v/>
      </c>
      <c r="N154" s="339" t="str" cm="1">
        <f t="array" ref="N154">IF(AND(
    SUMPRODUCT(
        (IM!$F$2:$F$2000=A154) *
        ISNUMBER(SEARCH("HUB", IM!$AC$2:$AC$2000)) *
        (IM!$X$2:$X$2000&gt;=$A$1) *
        (IM!$X$2:$X$2000&lt;=$B$1)*(W154="HUB")
    ) &gt; 0
), "HUB", "")</f>
        <v/>
      </c>
      <c r="O154" s="371" t="str">
        <f t="shared" si="34"/>
        <v>未到店</v>
      </c>
      <c r="P154" s="238" t="str">
        <f t="shared" si="30"/>
        <v>-4801-五股成州店(定保)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 t="shared" si="31"/>
        <v>2</v>
      </c>
      <c r="U154" s="355"/>
      <c r="V154" s="373">
        <f t="shared" si="32"/>
        <v>2</v>
      </c>
      <c r="W154" s="360" t="str">
        <f>IF(VLOOKUP(A154,'0919門市清單主檔'!B:E,4,FALSE)=0,"",VLOOKUP(A154,'0919門市清單主檔'!B:E,4,FALSE))</f>
        <v/>
      </c>
      <c r="X154" s="3" t="s">
        <v>4212</v>
      </c>
      <c r="Y154" s="5" t="s">
        <v>4213</v>
      </c>
      <c r="Z154" s="5" t="str">
        <f t="shared" si="33"/>
        <v>STAR</v>
      </c>
    </row>
    <row r="155" spans="1:26" ht="15.75" customHeight="1">
      <c r="A155" s="174">
        <v>3770</v>
      </c>
      <c r="B155" s="175" t="str">
        <f>VLOOKUP(A155,'0919門市清單主檔'!B:C,2,FALSE)</f>
        <v>北縣西雲店</v>
      </c>
      <c r="C155" s="176" t="str">
        <f>VLOOKUP($A155,'0919門市清單主檔'!B:V,20,FALSE)</f>
        <v>新北市</v>
      </c>
      <c r="D155" s="177" t="str">
        <f>VLOOKUP($A155,'0919門市清單主檔'!B:V,21,FALSE)</f>
        <v>五股區</v>
      </c>
      <c r="E155" s="178" t="str">
        <f>VLOOKUP(D155,區域表!A:B,2,FALSE)</f>
        <v>湯家瑋</v>
      </c>
      <c r="F155" s="179" t="str">
        <f>IFERROR(IF(VLOOKUP(A155,門市狀態!A:D,4,FALSE)=0,"",VLOOKUP(A155,門市狀態!A:D,4,FALSE)),"")</f>
        <v/>
      </c>
      <c r="G155" s="180" t="s">
        <v>1742</v>
      </c>
      <c r="H155" s="181" t="str">
        <f t="shared" si="28"/>
        <v>-3770-北縣西雲店(定保)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 t="shared" si="29"/>
        <v/>
      </c>
      <c r="N155" s="339" t="str" cm="1">
        <f t="array" ref="N155">IF(AND(
    SUMPRODUCT(
        (IM!$F$2:$F$2000=A155) *
        ISNUMBER(SEARCH("HUB", IM!$AC$2:$AC$2000)) *
        (IM!$X$2:$X$2000&gt;=$A$1) *
        (IM!$X$2:$X$2000&lt;=$B$1)*(W155="HUB")
    ) &gt; 0
), "HUB", "")</f>
        <v/>
      </c>
      <c r="O155" s="371" t="str">
        <f t="shared" si="34"/>
        <v>未到店</v>
      </c>
      <c r="P155" s="238" t="str">
        <f t="shared" si="30"/>
        <v>-3770-北縣西雲店(定保)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 t="shared" si="31"/>
        <v>1</v>
      </c>
      <c r="U155" s="355"/>
      <c r="V155" s="373">
        <f t="shared" si="32"/>
        <v>1</v>
      </c>
      <c r="W155" s="360" t="str">
        <f>IF(VLOOKUP(A155,'0919門市清單主檔'!B:E,4,FALSE)=0,"",VLOOKUP(A155,'0919門市清單主檔'!B:E,4,FALSE))</f>
        <v/>
      </c>
      <c r="Y155" s="5" t="s">
        <v>4216</v>
      </c>
      <c r="Z155" s="5" t="str">
        <f t="shared" si="33"/>
        <v>STAR</v>
      </c>
    </row>
    <row r="156" spans="1:26" ht="15.75" customHeight="1">
      <c r="A156" s="174">
        <v>2325</v>
      </c>
      <c r="B156" s="175" t="str">
        <f>VLOOKUP(A156,'0919門市清單主檔'!B:C,2,FALSE)</f>
        <v>北縣五泰店</v>
      </c>
      <c r="C156" s="176" t="str">
        <f>VLOOKUP($A156,'0919門市清單主檔'!B:V,20,FALSE)</f>
        <v>新北市</v>
      </c>
      <c r="D156" s="177" t="str">
        <f>VLOOKUP($A156,'0919門市清單主檔'!B:V,21,FALSE)</f>
        <v>五股區</v>
      </c>
      <c r="E156" s="178" t="str">
        <f>VLOOKUP(D156,區域表!A:B,2,FALSE)</f>
        <v>湯家瑋</v>
      </c>
      <c r="F156" s="179" t="str">
        <f>IFERROR(IF(VLOOKUP(A156,門市狀態!A:D,4,FALSE)=0,"",VLOOKUP(A156,門市狀態!A:D,4,FALSE)),"")</f>
        <v/>
      </c>
      <c r="G156" s="180" t="s">
        <v>1742</v>
      </c>
      <c r="H156" s="181" t="str">
        <f t="shared" si="28"/>
        <v>-2325-北縣五泰店(定保)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 t="shared" si="29"/>
        <v/>
      </c>
      <c r="N156" s="339" t="str" cm="1">
        <f t="array" ref="N156">IF(AND(
    SUMPRODUCT(
        (IM!$F$2:$F$2000=A156) *
        ISNUMBER(SEARCH("HUB", IM!$AC$2:$AC$2000)) *
        (IM!$X$2:$X$2000&gt;=$A$1) *
        (IM!$X$2:$X$2000&lt;=$B$1)*(W156="HUB")
    ) &gt; 0
), "HUB", "")</f>
        <v/>
      </c>
      <c r="O156" s="371" t="str">
        <f t="shared" si="34"/>
        <v>未到店</v>
      </c>
      <c r="P156" s="238" t="str">
        <f t="shared" si="30"/>
        <v>-2325-北縣五泰店(定保)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 t="shared" si="31"/>
        <v>2</v>
      </c>
      <c r="U156" s="355"/>
      <c r="V156" s="373">
        <f t="shared" si="32"/>
        <v>2</v>
      </c>
      <c r="W156" s="360" t="str">
        <f>IF(VLOOKUP(A156,'0919門市清單主檔'!B:E,4,FALSE)=0,"",VLOOKUP(A156,'0919門市清單主檔'!B:E,4,FALSE))</f>
        <v/>
      </c>
      <c r="X156" s="3" t="s">
        <v>4217</v>
      </c>
      <c r="Y156" s="5" t="s">
        <v>4218</v>
      </c>
      <c r="Z156" s="5" t="str">
        <f t="shared" si="33"/>
        <v>STAR</v>
      </c>
    </row>
    <row r="157" spans="1:26" ht="15.75" customHeight="1">
      <c r="A157" s="174">
        <v>4983</v>
      </c>
      <c r="B157" s="175" t="str">
        <f>VLOOKUP(A157,'0919門市清單主檔'!B:C,2,FALSE)</f>
        <v>板橋藝文店</v>
      </c>
      <c r="C157" s="176" t="str">
        <f>VLOOKUP($A157,'0919門市清單主檔'!B:V,20,FALSE)</f>
        <v>新北市</v>
      </c>
      <c r="D157" s="177" t="str">
        <f>VLOOKUP($A157,'0919門市清單主檔'!B:V,21,FALSE)</f>
        <v>板橋區</v>
      </c>
      <c r="E157" s="178" t="str">
        <f>VLOOKUP(D157,區域表!A:B,2,FALSE)</f>
        <v>狄澤洋</v>
      </c>
      <c r="F157" s="179" t="str">
        <f>IFERROR(IF(VLOOKUP(A157,門市狀態!A:D,4,FALSE)=0,"",VLOOKUP(A157,門市狀態!A:D,4,FALSE)),"")</f>
        <v/>
      </c>
      <c r="G157" s="180" t="s">
        <v>1742</v>
      </c>
      <c r="H157" s="181" t="str">
        <f t="shared" si="28"/>
        <v>-4983-板橋藝文店(定保)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 t="shared" si="29"/>
        <v/>
      </c>
      <c r="N157" s="339" t="str" cm="1">
        <f t="array" ref="N157">IF(AND(
    SUMPRODUCT(
        (IM!$F$2:$F$2000=A157) *
        ISNUMBER(SEARCH("HUB", IM!$AC$2:$AC$2000)) *
        (IM!$X$2:$X$2000&gt;=$A$1) *
        (IM!$X$2:$X$2000&lt;=$B$1)*(W157="HUB")
    ) &gt; 0
), "HUB", "")</f>
        <v/>
      </c>
      <c r="O157" s="371" t="str">
        <f t="shared" si="34"/>
        <v>未到店</v>
      </c>
      <c r="P157" s="238" t="str">
        <f t="shared" si="30"/>
        <v>-4983-板橋藝文店(定保)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 t="shared" si="31"/>
        <v>0</v>
      </c>
      <c r="U157" s="355"/>
      <c r="V157" s="373">
        <f t="shared" si="32"/>
        <v>0</v>
      </c>
      <c r="W157" s="360" t="str">
        <f>IF(VLOOKUP(A157,'0919門市清單主檔'!B:E,4,FALSE)=0,"",VLOOKUP(A157,'0919門市清單主檔'!B:E,4,FALSE))</f>
        <v/>
      </c>
      <c r="Y157" s="5"/>
      <c r="Z157" s="5" t="str">
        <f t="shared" si="33"/>
        <v/>
      </c>
    </row>
    <row r="158" spans="1:26" ht="15.75" customHeight="1">
      <c r="A158" s="174">
        <v>4680</v>
      </c>
      <c r="B158" s="175" t="str">
        <f>VLOOKUP(A158,'0919門市清單主檔'!B:C,2,FALSE)</f>
        <v>板橋江寧店</v>
      </c>
      <c r="C158" s="176" t="str">
        <f>VLOOKUP($A158,'0919門市清單主檔'!B:V,20,FALSE)</f>
        <v>新北市</v>
      </c>
      <c r="D158" s="177" t="str">
        <f>VLOOKUP($A158,'0919門市清單主檔'!B:V,21,FALSE)</f>
        <v>板橋區</v>
      </c>
      <c r="E158" s="178" t="str">
        <f>VLOOKUP(D158,區域表!A:B,2,FALSE)</f>
        <v>狄澤洋</v>
      </c>
      <c r="F158" s="179" t="str">
        <f>IFERROR(IF(VLOOKUP(A158,門市狀態!A:D,4,FALSE)=0,"",VLOOKUP(A158,門市狀態!A:D,4,FALSE)),"")</f>
        <v/>
      </c>
      <c r="G158" s="180" t="s">
        <v>1742</v>
      </c>
      <c r="H158" s="181" t="str">
        <f t="shared" si="28"/>
        <v>-4680-板橋江寧店(定保)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 t="shared" si="29"/>
        <v/>
      </c>
      <c r="N158" s="339" t="str" cm="1">
        <f t="array" ref="N158">IF(AND(
    SUMPRODUCT(
        (IM!$F$2:$F$2000=A158) *
        ISNUMBER(SEARCH("HUB", IM!$AC$2:$AC$2000)) *
        (IM!$X$2:$X$2000&gt;=$A$1) *
        (IM!$X$2:$X$2000&lt;=$B$1)*(W158="HUB")
    ) &gt; 0
), "HUB", "")</f>
        <v/>
      </c>
      <c r="O158" s="371" t="str">
        <f t="shared" si="34"/>
        <v>未到店</v>
      </c>
      <c r="P158" s="238" t="str">
        <f t="shared" si="30"/>
        <v>-4680-板橋江寧店(定保)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 t="shared" si="31"/>
        <v>0</v>
      </c>
      <c r="U158" s="355"/>
      <c r="V158" s="373">
        <f t="shared" si="32"/>
        <v>0</v>
      </c>
      <c r="W158" s="360" t="str">
        <f>IF(VLOOKUP(A158,'0919門市清單主檔'!B:E,4,FALSE)=0,"",VLOOKUP(A158,'0919門市清單主檔'!B:E,4,FALSE))</f>
        <v/>
      </c>
      <c r="Y158" s="5"/>
      <c r="Z158" s="5" t="str">
        <f t="shared" si="33"/>
        <v/>
      </c>
    </row>
    <row r="159" spans="1:26" ht="15.75" customHeight="1">
      <c r="A159" s="174">
        <v>3853</v>
      </c>
      <c r="B159" s="175" t="str">
        <f>VLOOKUP(A159,'0919門市清單主檔'!B:C,2,FALSE)</f>
        <v>板橋互助店</v>
      </c>
      <c r="C159" s="176" t="str">
        <f>VLOOKUP($A159,'0919門市清單主檔'!B:V,20,FALSE)</f>
        <v>新北市</v>
      </c>
      <c r="D159" s="177" t="str">
        <f>VLOOKUP($A159,'0919門市清單主檔'!B:V,21,FALSE)</f>
        <v>板橋區</v>
      </c>
      <c r="E159" s="178" t="str">
        <f>VLOOKUP(D159,區域表!A:B,2,FALSE)</f>
        <v>狄澤洋</v>
      </c>
      <c r="F159" s="179" t="str">
        <f>IFERROR(IF(VLOOKUP(A159,門市狀態!A:D,4,FALSE)=0,"",VLOOKUP(A159,門市狀態!A:D,4,FALSE)),"")</f>
        <v/>
      </c>
      <c r="G159" s="180" t="s">
        <v>1742</v>
      </c>
      <c r="H159" s="181" t="str">
        <f t="shared" si="28"/>
        <v>-3853-板橋互助店(定保)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 t="shared" si="29"/>
        <v/>
      </c>
      <c r="N159" s="339" t="str" cm="1">
        <f t="array" ref="N159">IF(AND(
    SUMPRODUCT(
        (IM!$F$2:$F$2000=A159) *
        ISNUMBER(SEARCH("HUB", IM!$AC$2:$AC$2000)) *
        (IM!$X$2:$X$2000&gt;=$A$1) *
        (IM!$X$2:$X$2000&lt;=$B$1)*(W159="HUB")
    ) &gt; 0
), "HUB", "")</f>
        <v/>
      </c>
      <c r="O159" s="371" t="str">
        <f t="shared" si="34"/>
        <v>未到店</v>
      </c>
      <c r="P159" s="238" t="str">
        <f t="shared" si="30"/>
        <v>-3853-板橋互助店(定保)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 t="shared" si="31"/>
        <v>0</v>
      </c>
      <c r="U159" s="355"/>
      <c r="V159" s="373">
        <f t="shared" si="32"/>
        <v>0</v>
      </c>
      <c r="W159" s="360" t="str">
        <f>IF(VLOOKUP(A159,'0919門市清單主檔'!B:E,4,FALSE)=0,"",VLOOKUP(A159,'0919門市清單主檔'!B:E,4,FALSE))</f>
        <v/>
      </c>
      <c r="Y159" s="5"/>
      <c r="Z159" s="5" t="str">
        <f t="shared" si="33"/>
        <v/>
      </c>
    </row>
    <row r="160" spans="1:26" ht="15.75" customHeight="1">
      <c r="A160" s="174">
        <v>4057</v>
      </c>
      <c r="B160" s="175" t="str">
        <f>VLOOKUP(A160,'0919門市清單主檔'!B:C,2,FALSE)</f>
        <v>林口香澄店</v>
      </c>
      <c r="C160" s="176" t="str">
        <f>VLOOKUP($A160,'0919門市清單主檔'!B:V,20,FALSE)</f>
        <v>新北市</v>
      </c>
      <c r="D160" s="177" t="str">
        <f>VLOOKUP($A160,'0919門市清單主檔'!B:V,21,FALSE)</f>
        <v>林口區</v>
      </c>
      <c r="E160" s="178" t="str">
        <f>VLOOKUP(D160,區域表!A:B,2,FALSE)</f>
        <v>湯家瑋</v>
      </c>
      <c r="F160" s="179" t="str">
        <f>IFERROR(IF(VLOOKUP(A160,門市狀態!A:D,4,FALSE)=0,"",VLOOKUP(A160,門市狀態!A:D,4,FALSE)),"")</f>
        <v/>
      </c>
      <c r="G160" s="180" t="s">
        <v>1742</v>
      </c>
      <c r="H160" s="181" t="str">
        <f t="shared" si="28"/>
        <v>-4057-林口香澄店(定保)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 t="shared" si="29"/>
        <v/>
      </c>
      <c r="N160" s="339" t="str" cm="1">
        <f t="array" ref="N160">IF(AND(
    SUMPRODUCT(
        (IM!$F$2:$F$2000=A160) *
        ISNUMBER(SEARCH("HUB", IM!$AC$2:$AC$2000)) *
        (IM!$X$2:$X$2000&gt;=$A$1) *
        (IM!$X$2:$X$2000&lt;=$B$1)*(W160="HUB")
    ) &gt; 0
), "HUB", "")</f>
        <v/>
      </c>
      <c r="O160" s="371" t="str">
        <f t="shared" si="34"/>
        <v>未到店</v>
      </c>
      <c r="P160" s="238" t="str">
        <f t="shared" si="30"/>
        <v>-4057-林口香澄店(定保)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 t="shared" si="31"/>
        <v>2</v>
      </c>
      <c r="U160" s="355"/>
      <c r="V160" s="373">
        <f t="shared" si="32"/>
        <v>2</v>
      </c>
      <c r="W160" s="360" t="str">
        <f>IF(VLOOKUP(A160,'0919門市清單主檔'!B:E,4,FALSE)=0,"",VLOOKUP(A160,'0919門市清單主檔'!B:E,4,FALSE))</f>
        <v/>
      </c>
      <c r="X160" s="3" t="s">
        <v>4232</v>
      </c>
      <c r="Y160" s="5" t="s">
        <v>4233</v>
      </c>
      <c r="Z160" s="5" t="str">
        <f t="shared" si="33"/>
        <v>STAR</v>
      </c>
    </row>
    <row r="161" spans="1:26" ht="15.75" customHeight="1">
      <c r="A161" s="174">
        <v>4906</v>
      </c>
      <c r="B161" s="175" t="str">
        <f>VLOOKUP(A161,'0919門市清單主檔'!B:C,2,FALSE)</f>
        <v>金山銀山店</v>
      </c>
      <c r="C161" s="176" t="str">
        <f>VLOOKUP($A161,'0919門市清單主檔'!B:V,20,FALSE)</f>
        <v>新北市</v>
      </c>
      <c r="D161" s="177" t="str">
        <f>VLOOKUP($A161,'0919門市清單主檔'!B:V,21,FALSE)</f>
        <v>金山區</v>
      </c>
      <c r="E161" s="178" t="str">
        <f>VLOOKUP(D161,區域表!A:B,2,FALSE)</f>
        <v>吳宗鴻</v>
      </c>
      <c r="F161" s="179" t="str">
        <f>IFERROR(IF(VLOOKUP(A161,門市狀態!A:D,4,FALSE)=0,"",VLOOKUP(A161,門市狀態!A:D,4,FALSE)),"")</f>
        <v/>
      </c>
      <c r="G161" s="180" t="s">
        <v>1742</v>
      </c>
      <c r="H161" s="181" t="str">
        <f t="shared" si="28"/>
        <v>-4906-金山銀山店(定保)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 t="shared" si="29"/>
        <v/>
      </c>
      <c r="N161" s="339" t="str" cm="1">
        <f t="array" ref="N161">IF(AND(
    SUMPRODUCT(
        (IM!$F$2:$F$2000=A161) *
        ISNUMBER(SEARCH("HUB", IM!$AC$2:$AC$2000)) *
        (IM!$X$2:$X$2000&gt;=$A$1) *
        (IM!$X$2:$X$2000&lt;=$B$1)*(W161="HUB")
    ) &gt; 0
), "HUB", "")</f>
        <v/>
      </c>
      <c r="O161" s="371" t="str">
        <f t="shared" si="34"/>
        <v>未到店</v>
      </c>
      <c r="P161" s="238" t="str">
        <f t="shared" si="30"/>
        <v>-4906-金山銀山店(定保)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 t="shared" si="31"/>
        <v>0</v>
      </c>
      <c r="U161" s="355"/>
      <c r="V161" s="373">
        <f t="shared" si="32"/>
        <v>0</v>
      </c>
      <c r="W161" s="360" t="str">
        <f>IF(VLOOKUP(A161,'0919門市清單主檔'!B:E,4,FALSE)=0,"",VLOOKUP(A161,'0919門市清單主檔'!B:E,4,FALSE))</f>
        <v/>
      </c>
      <c r="Y161" s="5"/>
      <c r="Z161" s="5" t="str">
        <f t="shared" si="33"/>
        <v/>
      </c>
    </row>
    <row r="162" spans="1:26" ht="15.75" customHeight="1">
      <c r="A162" s="174">
        <v>4144</v>
      </c>
      <c r="B162" s="175" t="str">
        <f>VLOOKUP(A162,'0919門市清單主檔'!B:C,2,FALSE)</f>
        <v>新莊頭前店</v>
      </c>
      <c r="C162" s="176" t="str">
        <f>VLOOKUP($A162,'0919門市清單主檔'!B:V,20,FALSE)</f>
        <v>新北市</v>
      </c>
      <c r="D162" s="177" t="str">
        <f>VLOOKUP($A162,'0919門市清單主檔'!B:V,21,FALSE)</f>
        <v>新莊區</v>
      </c>
      <c r="E162" s="178" t="str">
        <f>VLOOKUP(D162,區域表!A:B,2,FALSE)</f>
        <v>湯家瑋</v>
      </c>
      <c r="F162" s="179" t="str">
        <f>IFERROR(IF(VLOOKUP(A162,門市狀態!A:D,4,FALSE)=0,"",VLOOKUP(A162,門市狀態!A:D,4,FALSE)),"")</f>
        <v/>
      </c>
      <c r="G162" s="180" t="s">
        <v>1742</v>
      </c>
      <c r="H162" s="181" t="str">
        <f t="shared" si="28"/>
        <v>-4144-新莊頭前店(定保)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 t="shared" si="29"/>
        <v/>
      </c>
      <c r="N162" s="339" t="str" cm="1">
        <f t="array" ref="N162">IF(AND(
    SUMPRODUCT(
        (IM!$F$2:$F$2000=A162) *
        ISNUMBER(SEARCH("HUB", IM!$AC$2:$AC$2000)) *
        (IM!$X$2:$X$2000&gt;=$A$1) *
        (IM!$X$2:$X$2000&lt;=$B$1)*(W162="HUB")
    ) &gt; 0
), "HUB", "")</f>
        <v/>
      </c>
      <c r="O162" s="371" t="str">
        <f t="shared" si="34"/>
        <v>未到店</v>
      </c>
      <c r="P162" s="238" t="str">
        <f t="shared" si="30"/>
        <v>-4144-新莊頭前店(定保)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 t="shared" si="31"/>
        <v>2</v>
      </c>
      <c r="U162" s="355"/>
      <c r="V162" s="373">
        <f t="shared" si="32"/>
        <v>2</v>
      </c>
      <c r="W162" s="360" t="str">
        <f>IF(VLOOKUP(A162,'0919門市清單主檔'!B:E,4,FALSE)=0,"",VLOOKUP(A162,'0919門市清單主檔'!B:E,4,FALSE))</f>
        <v/>
      </c>
      <c r="X162" s="3" t="s">
        <v>4238</v>
      </c>
      <c r="Y162" s="5" t="s">
        <v>4239</v>
      </c>
      <c r="Z162" s="5" t="str">
        <f t="shared" si="33"/>
        <v>STAR</v>
      </c>
    </row>
    <row r="163" spans="1:26" ht="15.75" customHeight="1">
      <c r="A163" s="174">
        <v>4529</v>
      </c>
      <c r="B163" s="175" t="str">
        <f>VLOOKUP(A163,'0919門市清單主檔'!B:C,2,FALSE)</f>
        <v>淡水新洲店</v>
      </c>
      <c r="C163" s="176" t="str">
        <f>VLOOKUP($A163,'0919門市清單主檔'!B:V,20,FALSE)</f>
        <v>新北市</v>
      </c>
      <c r="D163" s="177" t="str">
        <f>VLOOKUP($A163,'0919門市清單主檔'!B:V,21,FALSE)</f>
        <v>淡水區</v>
      </c>
      <c r="E163" s="178" t="str">
        <f>VLOOKUP(D163,區域表!A:B,2,FALSE)</f>
        <v>吳宗鴻</v>
      </c>
      <c r="F163" s="179" t="str">
        <f>IFERROR(IF(VLOOKUP(A163,門市狀態!A:D,4,FALSE)=0,"",VLOOKUP(A163,門市狀態!A:D,4,FALSE)),"")</f>
        <v/>
      </c>
      <c r="G163" s="180" t="s">
        <v>1742</v>
      </c>
      <c r="H163" s="181" t="str">
        <f t="shared" si="28"/>
        <v>-4529-淡水新洲店(定保)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 t="shared" si="29"/>
        <v/>
      </c>
      <c r="N163" s="339" t="str" cm="1">
        <f t="array" ref="N163">IF(AND(
    SUMPRODUCT(
        (IM!$F$2:$F$2000=A163) *
        ISNUMBER(SEARCH("HUB", IM!$AC$2:$AC$2000)) *
        (IM!$X$2:$X$2000&gt;=$A$1) *
        (IM!$X$2:$X$2000&lt;=$B$1)*(W163="HUB")
    ) &gt; 0
), "HUB", "")</f>
        <v/>
      </c>
      <c r="O163" s="371" t="str">
        <f t="shared" si="34"/>
        <v>未到店</v>
      </c>
      <c r="P163" s="238" t="str">
        <f t="shared" si="30"/>
        <v>-4529-淡水新洲店(定保)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 t="shared" si="31"/>
        <v>2</v>
      </c>
      <c r="U163" s="355"/>
      <c r="V163" s="373">
        <f t="shared" si="32"/>
        <v>2</v>
      </c>
      <c r="W163" s="360" t="str">
        <f>IF(VLOOKUP(A163,'0919門市清單主檔'!B:E,4,FALSE)=0,"",VLOOKUP(A163,'0919門市清單主檔'!B:E,4,FALSE))</f>
        <v/>
      </c>
      <c r="X163" s="3" t="s">
        <v>4247</v>
      </c>
      <c r="Y163" s="5" t="s">
        <v>4248</v>
      </c>
      <c r="Z163" s="5" t="str">
        <f t="shared" si="33"/>
        <v>STAR</v>
      </c>
    </row>
    <row r="164" spans="1:26" ht="15.75" customHeight="1">
      <c r="A164" s="174">
        <v>4316</v>
      </c>
      <c r="B164" s="175" t="str">
        <f>VLOOKUP(A164,'0919門市清單主檔'!B:C,2,FALSE)</f>
        <v>五股工商店</v>
      </c>
      <c r="C164" s="176" t="str">
        <f>VLOOKUP($A164,'0919門市清單主檔'!B:V,20,FALSE)</f>
        <v>新北市</v>
      </c>
      <c r="D164" s="177" t="str">
        <f>VLOOKUP($A164,'0919門市清單主檔'!B:V,21,FALSE)</f>
        <v>五股區</v>
      </c>
      <c r="E164" s="178" t="str">
        <f>VLOOKUP(D164,區域表!A:B,2,FALSE)</f>
        <v>湯家瑋</v>
      </c>
      <c r="F164" s="179" t="str">
        <f>IFERROR(IF(VLOOKUP(A164,門市狀態!A:D,4,FALSE)=0,"",VLOOKUP(A164,門市狀態!A:D,4,FALSE)),"")</f>
        <v/>
      </c>
      <c r="G164" s="180" t="s">
        <v>1742</v>
      </c>
      <c r="H164" s="181" t="str">
        <f t="shared" si="28"/>
        <v>-4316-五股工商店(定保)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 t="shared" si="29"/>
        <v>+STAR</v>
      </c>
      <c r="N164" s="339" t="str" cm="1">
        <f t="array" ref="N164">IF(AND(
    SUMPRODUCT(
        (IM!$F$2:$F$2000=A164) *
        ISNUMBER(SEARCH("HUB", IM!$AC$2:$AC$2000)) *
        (IM!$X$2:$X$2000&gt;=$A$1) *
        (IM!$X$2:$X$2000&lt;=$B$1)*(W164="HUB")
    ) &gt; 0
), "HUB", "")</f>
        <v/>
      </c>
      <c r="O164" s="371" t="str">
        <f t="shared" si="34"/>
        <v>未到店</v>
      </c>
      <c r="P164" s="238" t="str">
        <f t="shared" si="30"/>
        <v>-4316-五股工商店(定保)</v>
      </c>
      <c r="Q164" s="357" t="str" cm="1">
        <f t="array" ref="Q164">IF(AND(SUMPRODUCT((IM!$F$2:$F$2000=A164)*(ISNUMBER(SEARCH("EDC", IM!$AC$2:$AC$2000))))&gt;0), "EDC", "")</f>
        <v/>
      </c>
      <c r="R164" s="358" t="str" cm="1">
        <f t="array" ref="R164">IF(AND(SUMPRODUCT((IM!$F$2:$F$2000=A164)*(ISNUMBER(SEARCH("STAR", IM!$AC$2:$AC$2000))))&gt;0), "STAR", "")</f>
        <v>STAR</v>
      </c>
      <c r="S164" s="359" cm="1">
        <f t="array" ref="S164">IFERROR(INDEX(IM!$X$2:$X$650, MATCH(1, (IM!$F$2:$F$650=A164) * (ISNUMBER(SEARCH($D$1, IM!$AC$2:$AC$650))), 0)), "")</f>
        <v>45726.465277777781</v>
      </c>
      <c r="T164" s="355">
        <f t="shared" si="31"/>
        <v>0</v>
      </c>
      <c r="U164" s="355"/>
      <c r="V164" s="373">
        <f t="shared" si="32"/>
        <v>0</v>
      </c>
      <c r="W164" s="360" t="str">
        <f>IF(VLOOKUP(A164,'0919門市清單主檔'!B:E,4,FALSE)=0,"",VLOOKUP(A164,'0919門市清單主檔'!B:E,4,FALSE))</f>
        <v/>
      </c>
      <c r="Y164" s="5"/>
      <c r="Z164" s="262" t="s">
        <v>5029</v>
      </c>
    </row>
    <row r="165" spans="1:26" ht="15.75" customHeight="1">
      <c r="A165" s="174">
        <v>4538</v>
      </c>
      <c r="B165" s="175" t="str">
        <f>VLOOKUP(A165,'0919門市清單主檔'!B:C,2,FALSE)</f>
        <v>林口童樂店</v>
      </c>
      <c r="C165" s="176" t="str">
        <f>VLOOKUP($A165,'0919門市清單主檔'!B:V,20,FALSE)</f>
        <v>新北市</v>
      </c>
      <c r="D165" s="177" t="str">
        <f>VLOOKUP($A165,'0919門市清單主檔'!B:V,21,FALSE)</f>
        <v>林口區</v>
      </c>
      <c r="E165" s="178" t="str">
        <f>VLOOKUP(D165,區域表!A:B,2,FALSE)</f>
        <v>湯家瑋</v>
      </c>
      <c r="F165" s="179" t="str">
        <f>IFERROR(IF(VLOOKUP(A165,門市狀態!A:D,4,FALSE)=0,"",VLOOKUP(A165,門市狀態!A:D,4,FALSE)),"")</f>
        <v/>
      </c>
      <c r="G165" s="180" t="s">
        <v>1742</v>
      </c>
      <c r="H165" s="181" t="str">
        <f t="shared" si="28"/>
        <v>-4538-林口童樂店(定保)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 t="shared" si="29"/>
        <v/>
      </c>
      <c r="N165" s="339" t="str" cm="1">
        <f t="array" ref="N165">IF(AND(
    SUMPRODUCT(
        (IM!$F$2:$F$2000=A165) *
        ISNUMBER(SEARCH("HUB", IM!$AC$2:$AC$2000)) *
        (IM!$X$2:$X$2000&gt;=$A$1) *
        (IM!$X$2:$X$2000&lt;=$B$1)*(W165="HUB")
    ) &gt; 0
), "HUB", "")</f>
        <v/>
      </c>
      <c r="O165" s="371" t="str">
        <f t="shared" si="34"/>
        <v>未到店</v>
      </c>
      <c r="P165" s="238" t="str">
        <f t="shared" si="30"/>
        <v>-4538-林口童樂店(定保)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 t="shared" si="31"/>
        <v>0</v>
      </c>
      <c r="U165" s="355"/>
      <c r="V165" s="373">
        <f t="shared" si="32"/>
        <v>0</v>
      </c>
      <c r="W165" s="360" t="str">
        <f>IF(VLOOKUP(A165,'0919門市清單主檔'!B:E,4,FALSE)=0,"",VLOOKUP(A165,'0919門市清單主檔'!B:E,4,FALSE))</f>
        <v/>
      </c>
      <c r="Y165" s="5"/>
      <c r="Z165" s="5" t="str">
        <f t="shared" ref="Z165:Z196" si="35">IF(T165&gt;0,"STAR","")</f>
        <v/>
      </c>
    </row>
    <row r="166" spans="1:26" ht="15.75" customHeight="1">
      <c r="A166" s="174">
        <v>3785</v>
      </c>
      <c r="B166" s="175" t="str">
        <f>VLOOKUP(A166,'0919門市清單主檔'!B:C,2,FALSE)</f>
        <v>北縣莊榮店</v>
      </c>
      <c r="C166" s="176" t="str">
        <f>VLOOKUP($A166,'0919門市清單主檔'!B:V,20,FALSE)</f>
        <v>新北市</v>
      </c>
      <c r="D166" s="177" t="str">
        <f>VLOOKUP($A166,'0919門市清單主檔'!B:V,21,FALSE)</f>
        <v>新莊區</v>
      </c>
      <c r="E166" s="178" t="str">
        <f>VLOOKUP(D166,區域表!A:B,2,FALSE)</f>
        <v>湯家瑋</v>
      </c>
      <c r="F166" s="179" t="str">
        <f>IFERROR(IF(VLOOKUP(A166,門市狀態!A:D,4,FALSE)=0,"",VLOOKUP(A166,門市狀態!A:D,4,FALSE)),"")</f>
        <v/>
      </c>
      <c r="G166" s="180" t="s">
        <v>1742</v>
      </c>
      <c r="H166" s="181" t="str">
        <f t="shared" si="28"/>
        <v>-3785-北縣莊榮店(定保)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 t="shared" si="29"/>
        <v/>
      </c>
      <c r="N166" s="339" t="str" cm="1">
        <f t="array" ref="N166">IF(AND(
    SUMPRODUCT(
        (IM!$F$2:$F$2000=A166) *
        ISNUMBER(SEARCH("HUB", IM!$AC$2:$AC$2000)) *
        (IM!$X$2:$X$2000&gt;=$A$1) *
        (IM!$X$2:$X$2000&lt;=$B$1)*(W166="HUB")
    ) &gt; 0
), "HUB", "")</f>
        <v/>
      </c>
      <c r="O166" s="371" t="str">
        <f t="shared" si="34"/>
        <v>未到店</v>
      </c>
      <c r="P166" s="238" t="str">
        <f t="shared" si="30"/>
        <v>-3785-北縣莊榮店(定保)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 t="shared" si="31"/>
        <v>0</v>
      </c>
      <c r="U166" s="355"/>
      <c r="V166" s="373">
        <f t="shared" si="32"/>
        <v>0</v>
      </c>
      <c r="W166" s="360" t="str">
        <f>IF(VLOOKUP(A166,'0919門市清單主檔'!B:E,4,FALSE)=0,"",VLOOKUP(A166,'0919門市清單主檔'!B:E,4,FALSE))</f>
        <v/>
      </c>
      <c r="Y166" s="5"/>
      <c r="Z166" s="5" t="str">
        <f t="shared" si="35"/>
        <v/>
      </c>
    </row>
    <row r="167" spans="1:26" ht="15.75" customHeight="1">
      <c r="A167" s="174">
        <v>4698</v>
      </c>
      <c r="B167" s="175" t="str">
        <f>VLOOKUP(A167,'0919門市清單主檔'!B:C,2,FALSE)</f>
        <v>三重頂崁店</v>
      </c>
      <c r="C167" s="176" t="str">
        <f>VLOOKUP($A167,'0919門市清單主檔'!B:V,20,FALSE)</f>
        <v>新北市</v>
      </c>
      <c r="D167" s="177" t="str">
        <f>VLOOKUP($A167,'0919門市清單主檔'!B:V,21,FALSE)</f>
        <v>三重區</v>
      </c>
      <c r="E167" s="178" t="str">
        <f>VLOOKUP(D167,區域表!A:B,2,FALSE)</f>
        <v>吳宗鴻</v>
      </c>
      <c r="F167" s="179" t="str">
        <f>IFERROR(IF(VLOOKUP(A167,門市狀態!A:D,4,FALSE)=0,"",VLOOKUP(A167,門市狀態!A:D,4,FALSE)),"")</f>
        <v/>
      </c>
      <c r="G167" s="180" t="s">
        <v>1742</v>
      </c>
      <c r="H167" s="181" t="str">
        <f t="shared" si="28"/>
        <v>-4698-三重頂崁店(定保)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 t="shared" si="29"/>
        <v/>
      </c>
      <c r="N167" s="339" t="str" cm="1">
        <f t="array" ref="N167">IF(AND(
    SUMPRODUCT(
        (IM!$F$2:$F$2000=A167) *
        ISNUMBER(SEARCH("HUB", IM!$AC$2:$AC$2000)) *
        (IM!$X$2:$X$2000&gt;=$A$1) *
        (IM!$X$2:$X$2000&lt;=$B$1)*(W167="HUB")
    ) &gt; 0
), "HUB", "")</f>
        <v/>
      </c>
      <c r="O167" s="371" t="str">
        <f t="shared" si="34"/>
        <v>未到店</v>
      </c>
      <c r="P167" s="238" t="str">
        <f t="shared" si="30"/>
        <v>-4698-三重頂崁店(定保)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 t="shared" si="31"/>
        <v>2</v>
      </c>
      <c r="U167" s="355"/>
      <c r="V167" s="373">
        <f t="shared" si="32"/>
        <v>2</v>
      </c>
      <c r="W167" s="360" t="str">
        <f>IF(VLOOKUP(A167,'0919門市清單主檔'!B:E,4,FALSE)=0,"",VLOOKUP(A167,'0919門市清單主檔'!B:E,4,FALSE))</f>
        <v/>
      </c>
      <c r="X167" s="3" t="s">
        <v>4265</v>
      </c>
      <c r="Y167" s="5" t="s">
        <v>4266</v>
      </c>
      <c r="Z167" s="5" t="str">
        <f t="shared" si="35"/>
        <v>STAR</v>
      </c>
    </row>
    <row r="168" spans="1:26" ht="15.75" customHeight="1">
      <c r="A168" s="174">
        <v>3183</v>
      </c>
      <c r="B168" s="175" t="str">
        <f>VLOOKUP(A168,'0919門市清單主檔'!B:C,2,FALSE)</f>
        <v>北縣板好店</v>
      </c>
      <c r="C168" s="176" t="str">
        <f>VLOOKUP($A168,'0919門市清單主檔'!B:V,20,FALSE)</f>
        <v>新北市</v>
      </c>
      <c r="D168" s="177" t="str">
        <f>VLOOKUP($A168,'0919門市清單主檔'!B:V,21,FALSE)</f>
        <v>板橋區</v>
      </c>
      <c r="E168" s="178" t="str">
        <f>VLOOKUP(D168,區域表!A:B,2,FALSE)</f>
        <v>狄澤洋</v>
      </c>
      <c r="F168" s="179" t="str">
        <f>IFERROR(IF(VLOOKUP(A168,門市狀態!A:D,4,FALSE)=0,"",VLOOKUP(A168,門市狀態!A:D,4,FALSE)),"")</f>
        <v/>
      </c>
      <c r="G168" s="180" t="s">
        <v>1742</v>
      </c>
      <c r="H168" s="181" t="str">
        <f t="shared" si="28"/>
        <v>-3183-北縣板好店(定保)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 t="shared" si="29"/>
        <v/>
      </c>
      <c r="N168" s="339" t="str" cm="1">
        <f t="array" ref="N168">IF(AND(
    SUMPRODUCT(
        (IM!$F$2:$F$2000=A168) *
        ISNUMBER(SEARCH("HUB", IM!$AC$2:$AC$2000)) *
        (IM!$X$2:$X$2000&gt;=$A$1) *
        (IM!$X$2:$X$2000&lt;=$B$1)*(W168="HUB")
    ) &gt; 0
), "HUB", "")</f>
        <v/>
      </c>
      <c r="O168" s="371" t="str">
        <f t="shared" si="34"/>
        <v>未到店</v>
      </c>
      <c r="P168" s="238" t="str">
        <f t="shared" si="30"/>
        <v>-3183-北縣板好店(定保)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 t="shared" si="31"/>
        <v>2</v>
      </c>
      <c r="U168" s="355"/>
      <c r="V168" s="373">
        <f t="shared" si="32"/>
        <v>2</v>
      </c>
      <c r="W168" s="360" t="str">
        <f>IF(VLOOKUP(A168,'0919門市清單主檔'!B:E,4,FALSE)=0,"",VLOOKUP(A168,'0919門市清單主檔'!B:E,4,FALSE))</f>
        <v/>
      </c>
      <c r="X168" s="3" t="s">
        <v>4267</v>
      </c>
      <c r="Y168" s="5" t="s">
        <v>4268</v>
      </c>
      <c r="Z168" s="5" t="str">
        <f t="shared" si="35"/>
        <v>STAR</v>
      </c>
    </row>
    <row r="169" spans="1:26" ht="15.75" customHeight="1">
      <c r="A169" s="174">
        <v>4194</v>
      </c>
      <c r="B169" s="175" t="str">
        <f>VLOOKUP(A169,'0919門市清單主檔'!B:C,2,FALSE)</f>
        <v>新莊鼎苑店</v>
      </c>
      <c r="C169" s="176" t="str">
        <f>VLOOKUP($A169,'0919門市清單主檔'!B:V,20,FALSE)</f>
        <v>新北市</v>
      </c>
      <c r="D169" s="177" t="str">
        <f>VLOOKUP($A169,'0919門市清單主檔'!B:V,21,FALSE)</f>
        <v>新莊區</v>
      </c>
      <c r="E169" s="178" t="str">
        <f>VLOOKUP(D169,區域表!A:B,2,FALSE)</f>
        <v>湯家瑋</v>
      </c>
      <c r="F169" s="179" t="str">
        <f>IFERROR(IF(VLOOKUP(A169,門市狀態!A:D,4,FALSE)=0,"",VLOOKUP(A169,門市狀態!A:D,4,FALSE)),"")</f>
        <v/>
      </c>
      <c r="G169" s="180" t="s">
        <v>1742</v>
      </c>
      <c r="H169" s="181" t="str">
        <f t="shared" si="28"/>
        <v>-4194-新莊鼎苑店(定保)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 t="shared" si="29"/>
        <v/>
      </c>
      <c r="N169" s="339" t="str" cm="1">
        <f t="array" ref="N169">IF(AND(
    SUMPRODUCT(
        (IM!$F$2:$F$2000=A169) *
        ISNUMBER(SEARCH("HUB", IM!$AC$2:$AC$2000)) *
        (IM!$X$2:$X$2000&gt;=$A$1) *
        (IM!$X$2:$X$2000&lt;=$B$1)*(W169="HUB")
    ) &gt; 0
), "HUB", "")</f>
        <v/>
      </c>
      <c r="O169" s="371" t="str">
        <f t="shared" si="34"/>
        <v>未到店</v>
      </c>
      <c r="P169" s="238" t="str">
        <f t="shared" si="30"/>
        <v>-4194-新莊鼎苑店(定保)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 t="shared" si="31"/>
        <v>2</v>
      </c>
      <c r="U169" s="355"/>
      <c r="V169" s="373">
        <f t="shared" si="32"/>
        <v>2</v>
      </c>
      <c r="W169" s="360" t="str">
        <f>IF(VLOOKUP(A169,'0919門市清單主檔'!B:E,4,FALSE)=0,"",VLOOKUP(A169,'0919門市清單主檔'!B:E,4,FALSE))</f>
        <v/>
      </c>
      <c r="X169" s="3" t="s">
        <v>4275</v>
      </c>
      <c r="Y169" s="5" t="s">
        <v>4276</v>
      </c>
      <c r="Z169" s="5" t="str">
        <f t="shared" si="35"/>
        <v>STAR</v>
      </c>
    </row>
    <row r="170" spans="1:26" ht="15.75" customHeight="1">
      <c r="A170" s="174">
        <v>4388</v>
      </c>
      <c r="B170" s="175" t="str">
        <f>VLOOKUP(A170,'0919門市清單主檔'!B:C,2,FALSE)</f>
        <v>三重薔薇店</v>
      </c>
      <c r="C170" s="176" t="str">
        <f>VLOOKUP($A170,'0919門市清單主檔'!B:V,20,FALSE)</f>
        <v>新北市</v>
      </c>
      <c r="D170" s="177" t="str">
        <f>VLOOKUP($A170,'0919門市清單主檔'!B:V,21,FALSE)</f>
        <v>三重區</v>
      </c>
      <c r="E170" s="178" t="str">
        <f>VLOOKUP(D170,區域表!A:B,2,FALSE)</f>
        <v>吳宗鴻</v>
      </c>
      <c r="F170" s="179" t="str">
        <f>IFERROR(IF(VLOOKUP(A170,門市狀態!A:D,4,FALSE)=0,"",VLOOKUP(A170,門市狀態!A:D,4,FALSE)),"")</f>
        <v/>
      </c>
      <c r="G170" s="180" t="s">
        <v>1742</v>
      </c>
      <c r="H170" s="181" t="str">
        <f t="shared" si="28"/>
        <v>-4388-三重薔薇店(定保)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 t="shared" si="29"/>
        <v/>
      </c>
      <c r="N170" s="339" t="str" cm="1">
        <f t="array" ref="N170">IF(AND(
    SUMPRODUCT(
        (IM!$F$2:$F$2000=A170) *
        ISNUMBER(SEARCH("HUB", IM!$AC$2:$AC$2000)) *
        (IM!$X$2:$X$2000&gt;=$A$1) *
        (IM!$X$2:$X$2000&lt;=$B$1)*(W170="HUB")
    ) &gt; 0
), "HUB", "")</f>
        <v/>
      </c>
      <c r="O170" s="371" t="str">
        <f t="shared" si="34"/>
        <v>未到店</v>
      </c>
      <c r="P170" s="238" t="str">
        <f t="shared" si="30"/>
        <v>-4388-三重薔薇店(定保)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 t="shared" si="31"/>
        <v>2</v>
      </c>
      <c r="U170" s="355"/>
      <c r="V170" s="373">
        <f t="shared" si="32"/>
        <v>2</v>
      </c>
      <c r="W170" s="360" t="str">
        <f>IF(VLOOKUP(A170,'0919門市清單主檔'!B:E,4,FALSE)=0,"",VLOOKUP(A170,'0919門市清單主檔'!B:E,4,FALSE))</f>
        <v/>
      </c>
      <c r="X170" s="3" t="s">
        <v>4290</v>
      </c>
      <c r="Y170" s="5" t="s">
        <v>4291</v>
      </c>
      <c r="Z170" s="5" t="str">
        <f t="shared" si="35"/>
        <v>STAR</v>
      </c>
    </row>
    <row r="171" spans="1:26" ht="15.75" customHeight="1">
      <c r="A171" s="174">
        <v>2890</v>
      </c>
      <c r="B171" s="175" t="str">
        <f>VLOOKUP(A171,'0919門市清單主檔'!B:C,2,FALSE)</f>
        <v>蘆洲鷺江店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 t="shared" si="28"/>
        <v>-2890-蘆洲鷺江店(定保)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 t="shared" si="29"/>
        <v/>
      </c>
      <c r="N171" s="339" t="str" cm="1">
        <f t="array" ref="N171">IF(AND(
    SUMPRODUCT(
        (IM!$F$2:$F$2000=A171) *
        ISNUMBER(SEARCH("HUB", IM!$AC$2:$AC$2000)) *
        (IM!$X$2:$X$2000&gt;=$A$1) *
        (IM!$X$2:$X$2000&lt;=$B$1)*(W171="HUB")
    ) &gt; 0
), "HUB", "")</f>
        <v/>
      </c>
      <c r="O171" s="371" t="str">
        <f t="shared" si="34"/>
        <v>未到店</v>
      </c>
      <c r="P171" s="238" t="str">
        <f t="shared" si="30"/>
        <v>-2890-蘆洲鷺江店(定保)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 t="shared" si="31"/>
        <v>2</v>
      </c>
      <c r="U171" s="355"/>
      <c r="V171" s="373">
        <f t="shared" si="32"/>
        <v>2</v>
      </c>
      <c r="W171" s="360" t="str">
        <f>IF(VLOOKUP(A171,'0919門市清單主檔'!B:E,4,FALSE)=0,"",VLOOKUP(A171,'0919門市清單主檔'!B:E,4,FALSE))</f>
        <v/>
      </c>
      <c r="X171" s="3" t="s">
        <v>4345</v>
      </c>
      <c r="Y171" s="5" t="s">
        <v>4346</v>
      </c>
      <c r="Z171" s="5" t="str">
        <f t="shared" si="35"/>
        <v>STAR</v>
      </c>
    </row>
    <row r="172" spans="1:26" ht="15.75" customHeight="1">
      <c r="A172" s="174" t="s">
        <v>21</v>
      </c>
      <c r="B172" s="175" t="str">
        <f>VLOOKUP(A172,'0919門市清單主檔'!B:C,2,FALSE)</f>
        <v>北縣溪尾二店</v>
      </c>
      <c r="C172" s="176" t="str">
        <f>VLOOKUP($A172,'0919門市清單主檔'!B:V,20,FALSE)</f>
        <v>新北市</v>
      </c>
      <c r="D172" s="177" t="str">
        <f>VLOOKUP($A172,'0919門市清單主檔'!B:V,21,FALSE)</f>
        <v>三重區</v>
      </c>
      <c r="E172" s="178" t="str">
        <f>VLOOKUP(D172,區域表!A:B,2,FALSE)</f>
        <v>吳宗鴻</v>
      </c>
      <c r="F172" s="179" t="str">
        <f>IFERROR(IF(VLOOKUP(A172,門市狀態!A:D,4,FALSE)=0,"",VLOOKUP(A172,門市狀態!A:D,4,FALSE)),"")</f>
        <v/>
      </c>
      <c r="G172" s="180" t="s">
        <v>1742</v>
      </c>
      <c r="H172" s="181" t="str">
        <f t="shared" si="28"/>
        <v>-D057-北縣溪尾二店(定保)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 t="shared" si="29"/>
        <v/>
      </c>
      <c r="N172" s="339" t="str" cm="1">
        <f t="array" ref="N172">IF(AND(
    SUMPRODUCT(
        (IM!$F$2:$F$2000=A172) *
        ISNUMBER(SEARCH("HUB", IM!$AC$2:$AC$2000)) *
        (IM!$X$2:$X$2000&gt;=$A$1) *
        (IM!$X$2:$X$2000&lt;=$B$1)*(W172="HUB")
    ) &gt; 0
), "HUB", "")</f>
        <v/>
      </c>
      <c r="O172" s="371" t="str">
        <f t="shared" si="34"/>
        <v>未到店</v>
      </c>
      <c r="P172" s="238" t="str">
        <f t="shared" si="30"/>
        <v>-D057-北縣溪尾二店(定保)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 t="shared" si="31"/>
        <v>2</v>
      </c>
      <c r="U172" s="355"/>
      <c r="V172" s="373">
        <f t="shared" si="32"/>
        <v>2</v>
      </c>
      <c r="W172" s="360" t="str">
        <f>IF(VLOOKUP(A172,'0919門市清單主檔'!B:E,4,FALSE)=0,"",VLOOKUP(A172,'0919門市清單主檔'!B:E,4,FALSE))</f>
        <v/>
      </c>
      <c r="X172" s="3" t="s">
        <v>4318</v>
      </c>
      <c r="Y172" s="5" t="s">
        <v>4319</v>
      </c>
      <c r="Z172" s="5" t="str">
        <f t="shared" si="35"/>
        <v>STAR</v>
      </c>
    </row>
    <row r="173" spans="1:26" ht="15.75" customHeight="1">
      <c r="A173" s="174">
        <v>4125</v>
      </c>
      <c r="B173" s="175" t="str">
        <f>VLOOKUP(A173,'0919門市清單主檔'!B:C,2,FALSE)</f>
        <v>蘆洲長樂店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 t="shared" si="28"/>
        <v>-4125-蘆洲長樂店(定保)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 t="shared" si="29"/>
        <v/>
      </c>
      <c r="N173" s="339" t="str" cm="1">
        <f t="array" ref="N173">IF(AND(
    SUMPRODUCT(
        (IM!$F$2:$F$2000=A173) *
        ISNUMBER(SEARCH("HUB", IM!$AC$2:$AC$2000)) *
        (IM!$X$2:$X$2000&gt;=$A$1) *
        (IM!$X$2:$X$2000&lt;=$B$1)*(W173="HUB")
    ) &gt; 0
), "HUB", "")</f>
        <v/>
      </c>
      <c r="O173" s="371" t="str">
        <f t="shared" si="34"/>
        <v>未到店</v>
      </c>
      <c r="P173" s="238" t="str">
        <f t="shared" si="30"/>
        <v>-4125-蘆洲長樂店(定保)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 t="shared" si="31"/>
        <v>2</v>
      </c>
      <c r="U173" s="355"/>
      <c r="V173" s="373">
        <f t="shared" si="32"/>
        <v>2</v>
      </c>
      <c r="W173" s="360" t="str">
        <f>IF(VLOOKUP(A173,'0919門市清單主檔'!B:E,4,FALSE)=0,"",VLOOKUP(A173,'0919門市清單主檔'!B:E,4,FALSE))</f>
        <v/>
      </c>
      <c r="X173" s="3" t="s">
        <v>4348</v>
      </c>
      <c r="Y173" s="5" t="s">
        <v>4349</v>
      </c>
      <c r="Z173" s="5" t="str">
        <f t="shared" si="35"/>
        <v>STAR</v>
      </c>
    </row>
    <row r="174" spans="1:26" ht="15.75" customHeight="1">
      <c r="A174" s="174">
        <v>4609</v>
      </c>
      <c r="B174" s="175" t="str">
        <f>VLOOKUP(A174,'0919門市清單主檔'!B:C,2,FALSE)</f>
        <v>蘆洲洲正店</v>
      </c>
      <c r="C174" s="176" t="str">
        <f>VLOOKUP($A174,'0919門市清單主檔'!B:V,20,FALSE)</f>
        <v>新北市</v>
      </c>
      <c r="D174" s="177" t="str">
        <f>VLOOKUP($A174,'0919門市清單主檔'!B:V,21,FALSE)</f>
        <v>蘆洲區</v>
      </c>
      <c r="E174" s="178" t="str">
        <f>VLOOKUP(D174,區域表!A:B,2,FALSE)</f>
        <v>吳宗鴻</v>
      </c>
      <c r="F174" s="179" t="str">
        <f>IFERROR(IF(VLOOKUP(A174,門市狀態!A:D,4,FALSE)=0,"",VLOOKUP(A174,門市狀態!A:D,4,FALSE)),"")</f>
        <v/>
      </c>
      <c r="G174" s="180" t="s">
        <v>1742</v>
      </c>
      <c r="H174" s="181" t="str">
        <f t="shared" si="28"/>
        <v>-4609-蘆洲洲正店(定保)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 t="shared" si="29"/>
        <v/>
      </c>
      <c r="N174" s="339" t="str" cm="1">
        <f t="array" ref="N174">IF(AND(
    SUMPRODUCT(
        (IM!$F$2:$F$2000=A174) *
        ISNUMBER(SEARCH("HUB", IM!$AC$2:$AC$2000)) *
        (IM!$X$2:$X$2000&gt;=$A$1) *
        (IM!$X$2:$X$2000&lt;=$B$1)*(W174="HUB")
    ) &gt; 0
), "HUB", "")</f>
        <v/>
      </c>
      <c r="O174" s="371" t="str">
        <f t="shared" si="34"/>
        <v>未到店</v>
      </c>
      <c r="P174" s="238" t="str">
        <f t="shared" si="30"/>
        <v>-4609-蘆洲洲正店(定保)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 t="shared" si="31"/>
        <v>2</v>
      </c>
      <c r="U174" s="355"/>
      <c r="V174" s="373">
        <f t="shared" si="32"/>
        <v>2</v>
      </c>
      <c r="W174" s="360" t="str">
        <f>IF(VLOOKUP(A174,'0919門市清單主檔'!B:E,4,FALSE)=0,"",VLOOKUP(A174,'0919門市清單主檔'!B:E,4,FALSE))</f>
        <v/>
      </c>
      <c r="X174" s="3" t="s">
        <v>4350</v>
      </c>
      <c r="Y174" s="5" t="s">
        <v>4351</v>
      </c>
      <c r="Z174" s="5" t="str">
        <f t="shared" si="35"/>
        <v>STAR</v>
      </c>
    </row>
    <row r="175" spans="1:26" ht="15.75" customHeight="1">
      <c r="A175" s="174">
        <v>2958</v>
      </c>
      <c r="B175" s="175" t="str">
        <f>VLOOKUP(A175,'0919門市清單主檔'!B:C,2,FALSE)</f>
        <v>北縣蘆旺店</v>
      </c>
      <c r="C175" s="176" t="str">
        <f>VLOOKUP($A175,'0919門市清單主檔'!B:V,20,FALSE)</f>
        <v>新北市</v>
      </c>
      <c r="D175" s="177" t="str">
        <f>VLOOKUP($A175,'0919門市清單主檔'!B:V,21,FALSE)</f>
        <v>蘆洲區</v>
      </c>
      <c r="E175" s="178" t="str">
        <f>VLOOKUP(D175,區域表!A:B,2,FALSE)</f>
        <v>吳宗鴻</v>
      </c>
      <c r="F175" s="179" t="str">
        <f>IFERROR(IF(VLOOKUP(A175,門市狀態!A:D,4,FALSE)=0,"",VLOOKUP(A175,門市狀態!A:D,4,FALSE)),"")</f>
        <v/>
      </c>
      <c r="G175" s="180" t="s">
        <v>1742</v>
      </c>
      <c r="H175" s="181" t="str">
        <f t="shared" si="28"/>
        <v>-2958-北縣蘆旺店(定保)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 t="shared" si="29"/>
        <v/>
      </c>
      <c r="N175" s="339" t="str" cm="1">
        <f t="array" ref="N175">IF(AND(
    SUMPRODUCT(
        (IM!$F$2:$F$2000=A175) *
        ISNUMBER(SEARCH("HUB", IM!$AC$2:$AC$2000)) *
        (IM!$X$2:$X$2000&gt;=$A$1) *
        (IM!$X$2:$X$2000&lt;=$B$1)*(W175="HUB")
    ) &gt; 0
), "HUB", "")</f>
        <v/>
      </c>
      <c r="O175" s="371" t="str">
        <f t="shared" si="34"/>
        <v>未到店</v>
      </c>
      <c r="P175" s="238" t="str">
        <f t="shared" si="30"/>
        <v>-2958-北縣蘆旺店(定保)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 t="shared" si="31"/>
        <v>2</v>
      </c>
      <c r="U175" s="355"/>
      <c r="V175" s="373">
        <f t="shared" si="32"/>
        <v>2</v>
      </c>
      <c r="W175" s="360" t="str">
        <f>IF(VLOOKUP(A175,'0919門市清單主檔'!B:E,4,FALSE)=0,"",VLOOKUP(A175,'0919門市清單主檔'!B:E,4,FALSE))</f>
        <v/>
      </c>
      <c r="X175" s="3" t="s">
        <v>4343</v>
      </c>
      <c r="Y175" s="5" t="s">
        <v>4344</v>
      </c>
      <c r="Z175" s="5" t="str">
        <f t="shared" si="35"/>
        <v>STAR</v>
      </c>
    </row>
    <row r="176" spans="1:26" ht="15.75" customHeight="1">
      <c r="A176" s="174">
        <v>4701</v>
      </c>
      <c r="B176" s="175" t="str">
        <f>VLOOKUP(A176,'0919門市清單主檔'!B:C,2,FALSE)</f>
        <v>新莊昌平店</v>
      </c>
      <c r="C176" s="176" t="str">
        <f>VLOOKUP($A176,'0919門市清單主檔'!B:V,20,FALSE)</f>
        <v>新北市</v>
      </c>
      <c r="D176" s="177" t="str">
        <f>VLOOKUP($A176,'0919門市清單主檔'!B:V,21,FALSE)</f>
        <v>新莊區</v>
      </c>
      <c r="E176" s="178" t="str">
        <f>VLOOKUP(D176,區域表!A:B,2,FALSE)</f>
        <v>湯家瑋</v>
      </c>
      <c r="F176" s="179" t="str">
        <f>IFERROR(IF(VLOOKUP(A176,門市狀態!A:D,4,FALSE)=0,"",VLOOKUP(A176,門市狀態!A:D,4,FALSE)),"")</f>
        <v/>
      </c>
      <c r="G176" s="180" t="s">
        <v>1742</v>
      </c>
      <c r="H176" s="181" t="str">
        <f t="shared" si="28"/>
        <v>-4701-新莊昌平店(定保)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 t="shared" si="29"/>
        <v/>
      </c>
      <c r="N176" s="339" t="str" cm="1">
        <f t="array" ref="N176">IF(AND(
    SUMPRODUCT(
        (IM!$F$2:$F$2000=A176) *
        ISNUMBER(SEARCH("HUB", IM!$AC$2:$AC$2000)) *
        (IM!$X$2:$X$2000&gt;=$A$1) *
        (IM!$X$2:$X$2000&lt;=$B$1)*(W176="HUB")
    ) &gt; 0
), "HUB", "")</f>
        <v/>
      </c>
      <c r="O176" s="371" t="str">
        <f t="shared" si="34"/>
        <v>未到店</v>
      </c>
      <c r="P176" s="238" t="str">
        <f t="shared" si="30"/>
        <v>-4701-新莊昌平店(定保)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 t="shared" si="31"/>
        <v>0</v>
      </c>
      <c r="U176" s="355"/>
      <c r="V176" s="373">
        <f t="shared" si="32"/>
        <v>0</v>
      </c>
      <c r="W176" s="360" t="str">
        <f>IF(VLOOKUP(A176,'0919門市清單主檔'!B:E,4,FALSE)=0,"",VLOOKUP(A176,'0919門市清單主檔'!B:E,4,FALSE))</f>
        <v/>
      </c>
      <c r="Y176" s="5"/>
      <c r="Z176" s="5" t="str">
        <f t="shared" si="35"/>
        <v/>
      </c>
    </row>
    <row r="177" spans="1:26" ht="15.75" customHeight="1">
      <c r="A177" s="174">
        <v>3999</v>
      </c>
      <c r="B177" s="175" t="str">
        <f>VLOOKUP(A177,'0919門市清單主檔'!B:C,2,FALSE)</f>
        <v>新莊福祐店</v>
      </c>
      <c r="C177" s="176" t="str">
        <f>VLOOKUP($A177,'0919門市清單主檔'!B:V,20,FALSE)</f>
        <v>新北市</v>
      </c>
      <c r="D177" s="177" t="str">
        <f>VLOOKUP($A177,'0919門市清單主檔'!B:V,21,FALSE)</f>
        <v>新莊區</v>
      </c>
      <c r="E177" s="178" t="str">
        <f>VLOOKUP(D177,區域表!A:B,2,FALSE)</f>
        <v>湯家瑋</v>
      </c>
      <c r="F177" s="179" t="str">
        <f>IFERROR(IF(VLOOKUP(A177,門市狀態!A:D,4,FALSE)=0,"",VLOOKUP(A177,門市狀態!A:D,4,FALSE)),"")</f>
        <v/>
      </c>
      <c r="G177" s="180" t="s">
        <v>1742</v>
      </c>
      <c r="H177" s="181" t="str">
        <f t="shared" si="28"/>
        <v>-3999-新莊福祐店(定保)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 t="shared" si="29"/>
        <v/>
      </c>
      <c r="N177" s="339" t="str" cm="1">
        <f t="array" ref="N177">IF(AND(
    SUMPRODUCT(
        (IM!$F$2:$F$2000=A177) *
        ISNUMBER(SEARCH("HUB", IM!$AC$2:$AC$2000)) *
        (IM!$X$2:$X$2000&gt;=$A$1) *
        (IM!$X$2:$X$2000&lt;=$B$1)*(W177="HUB")
    ) &gt; 0
), "HUB", "")</f>
        <v/>
      </c>
      <c r="O177" s="371" t="str">
        <f t="shared" si="34"/>
        <v>未到店</v>
      </c>
      <c r="P177" s="238" t="str">
        <f t="shared" si="30"/>
        <v>-3999-新莊福祐店(定保)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 t="shared" si="31"/>
        <v>1</v>
      </c>
      <c r="U177" s="355"/>
      <c r="V177" s="373">
        <f t="shared" si="32"/>
        <v>1</v>
      </c>
      <c r="W177" s="360" t="str">
        <f>IF(VLOOKUP(A177,'0919門市清單主檔'!B:E,4,FALSE)=0,"",VLOOKUP(A177,'0919門市清單主檔'!B:E,4,FALSE))</f>
        <v/>
      </c>
      <c r="Y177" s="5" t="s">
        <v>4407</v>
      </c>
      <c r="Z177" s="5" t="str">
        <f t="shared" si="35"/>
        <v>STAR</v>
      </c>
    </row>
    <row r="178" spans="1:26" ht="15.75" customHeight="1">
      <c r="A178" s="174">
        <v>2069</v>
      </c>
      <c r="B178" s="175" t="str">
        <f>VLOOKUP(A178,'0919門市清單主檔'!B:C,2,FALSE)</f>
        <v>板橋江子翠站</v>
      </c>
      <c r="C178" s="176" t="str">
        <f>VLOOKUP($A178,'0919門市清單主檔'!B:V,20,FALSE)</f>
        <v>新北市</v>
      </c>
      <c r="D178" s="177" t="str">
        <f>VLOOKUP($A178,'0919門市清單主檔'!B:V,21,FALSE)</f>
        <v>板橋區</v>
      </c>
      <c r="E178" s="178" t="str">
        <f>VLOOKUP(D178,區域表!A:B,2,FALSE)</f>
        <v>狄澤洋</v>
      </c>
      <c r="F178" s="179" t="str">
        <f>IFERROR(IF(VLOOKUP(A178,門市狀態!A:D,4,FALSE)=0,"",VLOOKUP(A178,門市狀態!A:D,4,FALSE)),"")</f>
        <v/>
      </c>
      <c r="G178" s="180"/>
      <c r="H178" s="181" t="str">
        <f t="shared" si="28"/>
        <v>-2069-板橋江子翠站(定保)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 t="shared" si="29"/>
        <v/>
      </c>
      <c r="N178" s="339" t="str" cm="1">
        <f t="array" ref="N178">IF(AND(
    SUMPRODUCT(
        (IM!$F$2:$F$2000=A178) *
        ISNUMBER(SEARCH("HUB", IM!$AC$2:$AC$2000)) *
        (IM!$X$2:$X$2000&gt;=$A$1) *
        (IM!$X$2:$X$2000&lt;=$B$1)*(W178="HUB")
    ) &gt; 0
), "HUB", "")</f>
        <v/>
      </c>
      <c r="O178" s="371" t="str">
        <f t="shared" si="34"/>
        <v>未到店</v>
      </c>
      <c r="P178" s="238" t="str">
        <f t="shared" si="30"/>
        <v>-2069-板橋江子翠站(定保)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 t="shared" si="31"/>
        <v>2</v>
      </c>
      <c r="U178" s="355"/>
      <c r="V178" s="373">
        <f t="shared" si="32"/>
        <v>2</v>
      </c>
      <c r="W178" s="360" t="str">
        <f>IF(VLOOKUP(A178,'0919門市清單主檔'!B:E,4,FALSE)=0,"",VLOOKUP(A178,'0919門市清單主檔'!B:E,4,FALSE))</f>
        <v/>
      </c>
      <c r="X178" s="3" t="s">
        <v>4374</v>
      </c>
      <c r="Y178" s="5" t="s">
        <v>4375</v>
      </c>
      <c r="Z178" s="5" t="str">
        <f t="shared" si="35"/>
        <v>STAR</v>
      </c>
    </row>
    <row r="179" spans="1:26" ht="15.75" customHeight="1">
      <c r="A179" s="174" t="s">
        <v>27</v>
      </c>
      <c r="B179" s="175" t="str">
        <f>VLOOKUP(A179,'0919門市清單主檔'!B:C,2,FALSE)</f>
        <v>三重車路頭</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 t="shared" si="28"/>
        <v>-D195-三重車路頭(定保)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 t="shared" si="29"/>
        <v/>
      </c>
      <c r="N179" s="339" t="str" cm="1">
        <f t="array" ref="N179">IF(AND(
    SUMPRODUCT(
        (IM!$F$2:$F$2000=A179) *
        ISNUMBER(SEARCH("HUB", IM!$AC$2:$AC$2000)) *
        (IM!$X$2:$X$2000&gt;=$A$1) *
        (IM!$X$2:$X$2000&lt;=$B$1)*(W179="HUB")
    ) &gt; 0
), "HUB", "")</f>
        <v/>
      </c>
      <c r="O179" s="371" t="str">
        <f t="shared" si="34"/>
        <v>未到店</v>
      </c>
      <c r="P179" s="238" t="str">
        <f t="shared" si="30"/>
        <v>-D195-三重車路頭(定保)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 t="shared" si="31"/>
        <v>1</v>
      </c>
      <c r="U179" s="355"/>
      <c r="V179" s="373">
        <f t="shared" si="32"/>
        <v>1</v>
      </c>
      <c r="W179" s="360" t="str">
        <f>IF(VLOOKUP(A179,'0919門市清單主檔'!B:E,4,FALSE)=0,"",VLOOKUP(A179,'0919門市清單主檔'!B:E,4,FALSE))</f>
        <v/>
      </c>
      <c r="X179" s="3">
        <v>8155002442</v>
      </c>
      <c r="Y179" s="5"/>
      <c r="Z179" s="5" t="str">
        <f t="shared" si="35"/>
        <v>STAR</v>
      </c>
    </row>
    <row r="180" spans="1:26" ht="15.75" customHeight="1">
      <c r="A180" s="174">
        <v>2222</v>
      </c>
      <c r="B180" s="175" t="str">
        <f>VLOOKUP(A180,'0919門市清單主檔'!B:C,2,FALSE)</f>
        <v>三重義天店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 t="shared" si="28"/>
        <v>-2222-三重義天店(定保)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 t="shared" si="29"/>
        <v/>
      </c>
      <c r="N180" s="339" t="str" cm="1">
        <f t="array" ref="N180">IF(AND(
    SUMPRODUCT(
        (IM!$F$2:$F$2000=A180) *
        ISNUMBER(SEARCH("HUB", IM!$AC$2:$AC$2000)) *
        (IM!$X$2:$X$2000&gt;=$A$1) *
        (IM!$X$2:$X$2000&lt;=$B$1)*(W180="HUB")
    ) &gt; 0
), "HUB", "")</f>
        <v/>
      </c>
      <c r="O180" s="371" t="str">
        <f t="shared" si="34"/>
        <v>未到店</v>
      </c>
      <c r="P180" s="238" t="str">
        <f t="shared" si="30"/>
        <v>-2222-三重義天店(定保)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 t="shared" si="31"/>
        <v>2</v>
      </c>
      <c r="U180" s="355"/>
      <c r="V180" s="373">
        <f t="shared" si="32"/>
        <v>2</v>
      </c>
      <c r="W180" s="360" t="str">
        <f>IF(VLOOKUP(A180,'0919門市清單主檔'!B:E,4,FALSE)=0,"",VLOOKUP(A180,'0919門市清單主檔'!B:E,4,FALSE))</f>
        <v/>
      </c>
      <c r="X180" s="3" t="s">
        <v>4307</v>
      </c>
      <c r="Y180" s="5" t="s">
        <v>4308</v>
      </c>
      <c r="Z180" s="5" t="str">
        <f t="shared" si="35"/>
        <v>STAR</v>
      </c>
    </row>
    <row r="181" spans="1:26" ht="15.75" customHeight="1">
      <c r="A181" s="174">
        <v>3601</v>
      </c>
      <c r="B181" s="175" t="str">
        <f>VLOOKUP(A181,'0919門市清單主檔'!B:C,2,FALSE)</f>
        <v>北縣重富店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 t="shared" si="28"/>
        <v>-3601-北縣重富店(定保)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 t="shared" si="29"/>
        <v/>
      </c>
      <c r="N181" s="339" t="str" cm="1">
        <f t="array" ref="N181">IF(AND(
    SUMPRODUCT(
        (IM!$F$2:$F$2000=A181) *
        ISNUMBER(SEARCH("HUB", IM!$AC$2:$AC$2000)) *
        (IM!$X$2:$X$2000&gt;=$A$1) *
        (IM!$X$2:$X$2000&lt;=$B$1)*(W181="HUB")
    ) &gt; 0
), "HUB", "")</f>
        <v/>
      </c>
      <c r="O181" s="371" t="str">
        <f t="shared" si="34"/>
        <v>未到店</v>
      </c>
      <c r="P181" s="238" t="str">
        <f t="shared" si="30"/>
        <v>-3601-北縣重富店(定保)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 t="shared" si="31"/>
        <v>2</v>
      </c>
      <c r="U181" s="355"/>
      <c r="V181" s="373">
        <f t="shared" si="32"/>
        <v>2</v>
      </c>
      <c r="W181" s="360" t="str">
        <f>IF(VLOOKUP(A181,'0919門市清單主檔'!B:E,4,FALSE)=0,"",VLOOKUP(A181,'0919門市清單主檔'!B:E,4,FALSE))</f>
        <v/>
      </c>
      <c r="X181" s="3" t="s">
        <v>4326</v>
      </c>
      <c r="Y181" s="5" t="s">
        <v>4327</v>
      </c>
      <c r="Z181" s="5" t="str">
        <f t="shared" si="35"/>
        <v>STAR</v>
      </c>
    </row>
    <row r="182" spans="1:26" ht="15.75" customHeight="1">
      <c r="A182" s="174">
        <v>3796</v>
      </c>
      <c r="B182" s="175" t="str">
        <f>VLOOKUP(A182,'0919門市清單主檔'!B:C,2,FALSE)</f>
        <v>三重進安店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 t="shared" si="28"/>
        <v>-3796-三重進安店(定保)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 t="shared" si="29"/>
        <v/>
      </c>
      <c r="N182" s="339" t="str" cm="1">
        <f t="array" ref="N182">IF(AND(
    SUMPRODUCT(
        (IM!$F$2:$F$2000=A182) *
        ISNUMBER(SEARCH("HUB", IM!$AC$2:$AC$2000)) *
        (IM!$X$2:$X$2000&gt;=$A$1) *
        (IM!$X$2:$X$2000&lt;=$B$1)*(W182="HUB")
    ) &gt; 0
), "HUB", "")</f>
        <v/>
      </c>
      <c r="O182" s="371" t="str">
        <f t="shared" si="34"/>
        <v>未到店</v>
      </c>
      <c r="P182" s="238" t="str">
        <f t="shared" si="30"/>
        <v>-3796-三重進安店(定保)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 t="shared" si="31"/>
        <v>2</v>
      </c>
      <c r="U182" s="355"/>
      <c r="V182" s="373">
        <f t="shared" si="32"/>
        <v>2</v>
      </c>
      <c r="W182" s="360" t="str">
        <f>IF(VLOOKUP(A182,'0919門市清單主檔'!B:E,4,FALSE)=0,"",VLOOKUP(A182,'0919門市清單主檔'!B:E,4,FALSE))</f>
        <v/>
      </c>
      <c r="X182" s="3" t="s">
        <v>4314</v>
      </c>
      <c r="Y182" s="5" t="s">
        <v>4315</v>
      </c>
      <c r="Z182" s="5" t="str">
        <f t="shared" si="35"/>
        <v>STAR</v>
      </c>
    </row>
    <row r="183" spans="1:26" ht="15.75" customHeight="1">
      <c r="A183" s="174" t="s">
        <v>28</v>
      </c>
      <c r="B183" s="175" t="str">
        <f>VLOOKUP(A183,'0919門市清單主檔'!B:C,2,FALSE)</f>
        <v>三重維德店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 t="shared" si="28"/>
        <v>-D346-三重維德店(定保)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 t="shared" si="29"/>
        <v/>
      </c>
      <c r="N183" s="339" t="str" cm="1">
        <f t="array" ref="N183">IF(AND(
    SUMPRODUCT(
        (IM!$F$2:$F$2000=A183) *
        ISNUMBER(SEARCH("HUB", IM!$AC$2:$AC$2000)) *
        (IM!$X$2:$X$2000&gt;=$A$1) *
        (IM!$X$2:$X$2000&lt;=$B$1)*(W183="HUB")
    ) &gt; 0
), "HUB", "")</f>
        <v/>
      </c>
      <c r="O183" s="371" t="str">
        <f t="shared" si="34"/>
        <v>未到店</v>
      </c>
      <c r="P183" s="238" t="str">
        <f t="shared" si="30"/>
        <v>-D346-三重維德店(定保)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 t="shared" si="31"/>
        <v>1</v>
      </c>
      <c r="U183" s="355"/>
      <c r="V183" s="373">
        <f t="shared" si="32"/>
        <v>1</v>
      </c>
      <c r="W183" s="360" t="str">
        <f>IF(VLOOKUP(A183,'0919門市清單主檔'!B:E,4,FALSE)=0,"",VLOOKUP(A183,'0919門市清單主檔'!B:E,4,FALSE))</f>
        <v/>
      </c>
      <c r="Y183" s="5" t="s">
        <v>4294</v>
      </c>
      <c r="Z183" s="5" t="str">
        <f t="shared" si="35"/>
        <v>STAR</v>
      </c>
    </row>
    <row r="184" spans="1:26" ht="15.75" customHeight="1">
      <c r="A184" s="174">
        <v>4098</v>
      </c>
      <c r="B184" s="175" t="str">
        <f>VLOOKUP(A184,'0919門市清單主檔'!B:C,2,FALSE)</f>
        <v>三重仁美店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 t="shared" si="28"/>
        <v>-4098-三重仁美店(定保)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 t="shared" si="29"/>
        <v/>
      </c>
      <c r="N184" s="339" t="str" cm="1">
        <f t="array" ref="N184">IF(AND(
    SUMPRODUCT(
        (IM!$F$2:$F$2000=A184) *
        ISNUMBER(SEARCH("HUB", IM!$AC$2:$AC$2000)) *
        (IM!$X$2:$X$2000&gt;=$A$1) *
        (IM!$X$2:$X$2000&lt;=$B$1)*(W184="HUB")
    ) &gt; 0
), "HUB", "")</f>
        <v/>
      </c>
      <c r="O184" s="371" t="str">
        <f t="shared" si="34"/>
        <v>未到店</v>
      </c>
      <c r="P184" s="238" t="str">
        <f t="shared" si="30"/>
        <v>-4098-三重仁美店(定保)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 t="shared" si="31"/>
        <v>1</v>
      </c>
      <c r="U184" s="355"/>
      <c r="V184" s="373">
        <f t="shared" si="32"/>
        <v>1</v>
      </c>
      <c r="W184" s="360" t="str">
        <f>IF(VLOOKUP(A184,'0919門市清單主檔'!B:E,4,FALSE)=0,"",VLOOKUP(A184,'0919門市清單主檔'!B:E,4,FALSE))</f>
        <v/>
      </c>
      <c r="X184" s="3" t="s">
        <v>4311</v>
      </c>
      <c r="Y184" s="5"/>
      <c r="Z184" s="5" t="str">
        <f t="shared" si="35"/>
        <v>STAR</v>
      </c>
    </row>
    <row r="185" spans="1:26" ht="15.75" customHeight="1">
      <c r="A185" s="174">
        <v>3811</v>
      </c>
      <c r="B185" s="175" t="str">
        <f>VLOOKUP(A185,'0919門市清單主檔'!B:C,2,FALSE)</f>
        <v>三重碧華公園</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 t="shared" si="28"/>
        <v>-3811-三重碧華公園(定保)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 t="shared" si="29"/>
        <v/>
      </c>
      <c r="N185" s="339" t="str" cm="1">
        <f t="array" ref="N185">IF(AND(
    SUMPRODUCT(
        (IM!$F$2:$F$2000=A185) *
        ISNUMBER(SEARCH("HUB", IM!$AC$2:$AC$2000)) *
        (IM!$X$2:$X$2000&gt;=$A$1) *
        (IM!$X$2:$X$2000&lt;=$B$1)*(W185="HUB")
    ) &gt; 0
), "HUB", "")</f>
        <v/>
      </c>
      <c r="O185" s="371" t="str">
        <f t="shared" si="34"/>
        <v>未到店</v>
      </c>
      <c r="P185" s="238" t="str">
        <f t="shared" si="30"/>
        <v>-3811-三重碧華公園(定保)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 t="shared" si="31"/>
        <v>2</v>
      </c>
      <c r="U185" s="355"/>
      <c r="V185" s="373">
        <f t="shared" si="32"/>
        <v>2</v>
      </c>
      <c r="W185" s="360" t="str">
        <f>IF(VLOOKUP(A185,'0919門市清單主檔'!B:E,4,FALSE)=0,"",VLOOKUP(A185,'0919門市清單主檔'!B:E,4,FALSE))</f>
        <v/>
      </c>
      <c r="X185" s="3" t="s">
        <v>4312</v>
      </c>
      <c r="Y185" s="5" t="s">
        <v>4313</v>
      </c>
      <c r="Z185" s="5" t="str">
        <f t="shared" si="35"/>
        <v>STAR</v>
      </c>
    </row>
    <row r="186" spans="1:26" ht="15.75" customHeight="1">
      <c r="A186" s="174" t="s">
        <v>37</v>
      </c>
      <c r="B186" s="175" t="str">
        <f>VLOOKUP(A186,'0919門市清單主檔'!B:C,2,FALSE)</f>
        <v>北縣仁和店</v>
      </c>
      <c r="C186" s="176" t="str">
        <f>VLOOKUP($A186,'0919門市清單主檔'!B:V,20,FALSE)</f>
        <v>新北市</v>
      </c>
      <c r="D186" s="177" t="str">
        <f>VLOOKUP($A186,'0919門市清單主檔'!B:V,21,FALSE)</f>
        <v>三重區</v>
      </c>
      <c r="E186" s="178" t="str">
        <f>VLOOKUP(D186,區域表!A:B,2,FALSE)</f>
        <v>吳宗鴻</v>
      </c>
      <c r="F186" s="179" t="str">
        <f>IFERROR(IF(VLOOKUP(A186,門市狀態!A:D,4,FALSE)=0,"",VLOOKUP(A186,門市狀態!A:D,4,FALSE)),"")</f>
        <v/>
      </c>
      <c r="G186" s="180" t="s">
        <v>1742</v>
      </c>
      <c r="H186" s="181" t="str">
        <f t="shared" si="28"/>
        <v>-D350-北縣仁和店(定保)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 t="shared" si="29"/>
        <v/>
      </c>
      <c r="N186" s="339" t="str" cm="1">
        <f t="array" ref="N186">IF(AND(
    SUMPRODUCT(
        (IM!$F$2:$F$2000=A186) *
        ISNUMBER(SEARCH("HUB", IM!$AC$2:$AC$2000)) *
        (IM!$X$2:$X$2000&gt;=$A$1) *
        (IM!$X$2:$X$2000&lt;=$B$1)*(W186="HUB")
    ) &gt; 0
), "HUB", "")</f>
        <v/>
      </c>
      <c r="O186" s="371" t="str">
        <f t="shared" si="34"/>
        <v>未到店</v>
      </c>
      <c r="P186" s="238" t="str">
        <f t="shared" si="30"/>
        <v>-D350-北縣仁和店(定保)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 t="shared" si="31"/>
        <v>2</v>
      </c>
      <c r="U186" s="355"/>
      <c r="V186" s="373">
        <f t="shared" si="32"/>
        <v>2</v>
      </c>
      <c r="W186" s="360" t="str">
        <f>IF(VLOOKUP(A186,'0919門市清單主檔'!B:E,4,FALSE)=0,"",VLOOKUP(A186,'0919門市清單主檔'!B:E,4,FALSE))</f>
        <v/>
      </c>
      <c r="X186" s="3" t="s">
        <v>4309</v>
      </c>
      <c r="Y186" s="5" t="s">
        <v>4310</v>
      </c>
      <c r="Z186" s="5" t="str">
        <f t="shared" si="35"/>
        <v>STAR</v>
      </c>
    </row>
    <row r="187" spans="1:26" ht="15.75" customHeight="1">
      <c r="A187" s="174">
        <v>3957</v>
      </c>
      <c r="B187" s="175" t="str">
        <f>VLOOKUP(A187,'0919門市清單主檔'!B:C,2,FALSE)</f>
        <v>三重福仁店</v>
      </c>
      <c r="C187" s="176" t="str">
        <f>VLOOKUP($A187,'0919門市清單主檔'!B:V,20,FALSE)</f>
        <v>新北市</v>
      </c>
      <c r="D187" s="177" t="str">
        <f>VLOOKUP($A187,'0919門市清單主檔'!B:V,21,FALSE)</f>
        <v>三重區</v>
      </c>
      <c r="E187" s="178" t="str">
        <f>VLOOKUP(D187,區域表!A:B,2,FALSE)</f>
        <v>吳宗鴻</v>
      </c>
      <c r="F187" s="179" t="str">
        <f>IFERROR(IF(VLOOKUP(A187,門市狀態!A:D,4,FALSE)=0,"",VLOOKUP(A187,門市狀態!A:D,4,FALSE)),"")</f>
        <v/>
      </c>
      <c r="G187" s="180" t="s">
        <v>1742</v>
      </c>
      <c r="H187" s="181" t="str">
        <f t="shared" si="28"/>
        <v>-3957-三重福仁店(定保)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 t="shared" si="29"/>
        <v/>
      </c>
      <c r="N187" s="339" t="str" cm="1">
        <f t="array" ref="N187">IF(AND(
    SUMPRODUCT(
        (IM!$F$2:$F$2000=A187) *
        ISNUMBER(SEARCH("HUB", IM!$AC$2:$AC$2000)) *
        (IM!$X$2:$X$2000&gt;=$A$1) *
        (IM!$X$2:$X$2000&lt;=$B$1)*(W187="HUB")
    ) &gt; 0
), "HUB", "")</f>
        <v/>
      </c>
      <c r="O187" s="371" t="str">
        <f t="shared" si="34"/>
        <v>未到店</v>
      </c>
      <c r="P187" s="238" t="str">
        <f t="shared" si="30"/>
        <v>-3957-三重福仁店(定保)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 t="shared" si="31"/>
        <v>2</v>
      </c>
      <c r="U187" s="355"/>
      <c r="V187" s="373">
        <f t="shared" si="32"/>
        <v>2</v>
      </c>
      <c r="W187" s="360" t="str">
        <f>IF(VLOOKUP(A187,'0919門市清單主檔'!B:E,4,FALSE)=0,"",VLOOKUP(A187,'0919門市清單主檔'!B:E,4,FALSE))</f>
        <v/>
      </c>
      <c r="X187" s="3" t="s">
        <v>4292</v>
      </c>
      <c r="Y187" s="5" t="s">
        <v>4293</v>
      </c>
      <c r="Z187" s="5" t="str">
        <f t="shared" si="35"/>
        <v>STAR</v>
      </c>
    </row>
    <row r="188" spans="1:26" ht="15.75" customHeight="1">
      <c r="A188" s="174">
        <v>3452</v>
      </c>
      <c r="B188" s="175" t="str">
        <f>VLOOKUP(A188,'0919門市清單主檔'!B:C,2,FALSE)</f>
        <v>北縣蘆信店</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 t="shared" si="28"/>
        <v>-3452-北縣蘆信店(定保)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 t="shared" si="29"/>
        <v/>
      </c>
      <c r="N188" s="339" t="str" cm="1">
        <f t="array" ref="N188">IF(AND(
    SUMPRODUCT(
        (IM!$F$2:$F$2000=A188) *
        ISNUMBER(SEARCH("HUB", IM!$AC$2:$AC$2000)) *
        (IM!$X$2:$X$2000&gt;=$A$1) *
        (IM!$X$2:$X$2000&lt;=$B$1)*(W188="HUB")
    ) &gt; 0
), "HUB", "")</f>
        <v/>
      </c>
      <c r="O188" s="371" t="str">
        <f t="shared" si="34"/>
        <v>未到店</v>
      </c>
      <c r="P188" s="238" t="str">
        <f t="shared" si="30"/>
        <v>-3452-北縣蘆信店(定保)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 t="shared" si="31"/>
        <v>2</v>
      </c>
      <c r="U188" s="355"/>
      <c r="V188" s="373">
        <f t="shared" si="32"/>
        <v>2</v>
      </c>
      <c r="W188" s="360" t="str">
        <f>IF(VLOOKUP(A188,'0919門市清單主檔'!B:E,4,FALSE)=0,"",VLOOKUP(A188,'0919門市清單主檔'!B:E,4,FALSE))</f>
        <v/>
      </c>
      <c r="X188" s="3" t="s">
        <v>4340</v>
      </c>
      <c r="Y188" s="5" t="s">
        <v>4341</v>
      </c>
      <c r="Z188" s="5" t="str">
        <f t="shared" si="35"/>
        <v>STAR</v>
      </c>
    </row>
    <row r="189" spans="1:26" ht="15.75" customHeight="1">
      <c r="A189" s="174">
        <v>4218</v>
      </c>
      <c r="B189" s="175" t="str">
        <f>VLOOKUP(A189,'0919門市清單主檔'!B:C,2,FALSE)</f>
        <v>蘆洲湧蓮店</v>
      </c>
      <c r="C189" s="176" t="str">
        <f>VLOOKUP($A189,'0919門市清單主檔'!B:V,20,FALSE)</f>
        <v>新北市</v>
      </c>
      <c r="D189" s="177" t="str">
        <f>VLOOKUP($A189,'0919門市清單主檔'!B:V,21,FALSE)</f>
        <v>蘆洲區</v>
      </c>
      <c r="E189" s="178" t="str">
        <f>VLOOKUP(D189,區域表!A:B,2,FALSE)</f>
        <v>吳宗鴻</v>
      </c>
      <c r="F189" s="179" t="str">
        <f>IFERROR(IF(VLOOKUP(A189,門市狀態!A:D,4,FALSE)=0,"",VLOOKUP(A189,門市狀態!A:D,4,FALSE)),"")</f>
        <v/>
      </c>
      <c r="G189" s="180" t="s">
        <v>1742</v>
      </c>
      <c r="H189" s="181" t="str">
        <f t="shared" si="28"/>
        <v>-4218-蘆洲湧蓮店(定保)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 t="shared" si="29"/>
        <v/>
      </c>
      <c r="N189" s="339" t="str" cm="1">
        <f t="array" ref="N189">IF(AND(
    SUMPRODUCT(
        (IM!$F$2:$F$2000=A189) *
        ISNUMBER(SEARCH("HUB", IM!$AC$2:$AC$2000)) *
        (IM!$X$2:$X$2000&gt;=$A$1) *
        (IM!$X$2:$X$2000&lt;=$B$1)*(W189="HUB")
    ) &gt; 0
), "HUB", "")</f>
        <v/>
      </c>
      <c r="O189" s="371" t="str">
        <f t="shared" si="34"/>
        <v>未到店</v>
      </c>
      <c r="P189" s="238" t="str">
        <f t="shared" si="30"/>
        <v>-4218-蘆洲湧蓮店(定保)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 t="shared" si="31"/>
        <v>1</v>
      </c>
      <c r="U189" s="355"/>
      <c r="V189" s="373">
        <f t="shared" si="32"/>
        <v>1</v>
      </c>
      <c r="W189" s="360" t="str">
        <f>IF(VLOOKUP(A189,'0919門市清單主檔'!B:E,4,FALSE)=0,"",VLOOKUP(A189,'0919門市清單主檔'!B:E,4,FALSE))</f>
        <v/>
      </c>
      <c r="Y189" s="5" t="s">
        <v>4352</v>
      </c>
      <c r="Z189" s="5" t="str">
        <f t="shared" si="35"/>
        <v>STAR</v>
      </c>
    </row>
    <row r="190" spans="1:26" ht="15.75" customHeight="1">
      <c r="A190" s="174">
        <v>3929</v>
      </c>
      <c r="B190" s="175" t="str">
        <f>VLOOKUP(A190,'0919門市清單主檔'!B:C,2,FALSE)</f>
        <v>蘆洲中山一</v>
      </c>
      <c r="C190" s="176" t="str">
        <f>VLOOKUP($A190,'0919門市清單主檔'!B:V,20,FALSE)</f>
        <v>新北市</v>
      </c>
      <c r="D190" s="177" t="str">
        <f>VLOOKUP($A190,'0919門市清單主檔'!B:V,21,FALSE)</f>
        <v>蘆洲區</v>
      </c>
      <c r="E190" s="178" t="str">
        <f>VLOOKUP(D190,區域表!A:B,2,FALSE)</f>
        <v>吳宗鴻</v>
      </c>
      <c r="F190" s="179" t="str">
        <f>IFERROR(IF(VLOOKUP(A190,門市狀態!A:D,4,FALSE)=0,"",VLOOKUP(A190,門市狀態!A:D,4,FALSE)),"")</f>
        <v/>
      </c>
      <c r="G190" s="180" t="s">
        <v>1742</v>
      </c>
      <c r="H190" s="181" t="str">
        <f t="shared" si="28"/>
        <v>-3929-蘆洲中山一(定保)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 t="shared" si="29"/>
        <v/>
      </c>
      <c r="N190" s="339" t="str" cm="1">
        <f t="array" ref="N190">IF(AND(
    SUMPRODUCT(
        (IM!$F$2:$F$2000=A190) *
        ISNUMBER(SEARCH("HUB", IM!$AC$2:$AC$2000)) *
        (IM!$X$2:$X$2000&gt;=$A$1) *
        (IM!$X$2:$X$2000&lt;=$B$1)*(W190="HUB")
    ) &gt; 0
), "HUB", "")</f>
        <v/>
      </c>
      <c r="O190" s="371" t="str">
        <f t="shared" si="34"/>
        <v>未到店</v>
      </c>
      <c r="P190" s="238" t="str">
        <f t="shared" si="30"/>
        <v>-3929-蘆洲中山一(定保)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 t="shared" si="31"/>
        <v>1</v>
      </c>
      <c r="U190" s="355"/>
      <c r="V190" s="373">
        <f t="shared" si="32"/>
        <v>1</v>
      </c>
      <c r="W190" s="360" t="str">
        <f>IF(VLOOKUP(A190,'0919門市清單主檔'!B:E,4,FALSE)=0,"",VLOOKUP(A190,'0919門市清單主檔'!B:E,4,FALSE))</f>
        <v/>
      </c>
      <c r="X190" s="3" t="s">
        <v>4342</v>
      </c>
      <c r="Y190" s="5"/>
      <c r="Z190" s="5" t="str">
        <f t="shared" si="35"/>
        <v>STAR</v>
      </c>
    </row>
    <row r="191" spans="1:26" ht="15.75" customHeight="1">
      <c r="A191" s="174">
        <v>4658</v>
      </c>
      <c r="B191" s="175" t="str">
        <f>VLOOKUP(A191,'0919門市清單主檔'!B:C,2,FALSE)</f>
        <v>淡水英才店</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 t="shared" si="28"/>
        <v>-4658-淡水英才店(定保)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 t="shared" si="29"/>
        <v/>
      </c>
      <c r="N191" s="339" t="str" cm="1">
        <f t="array" ref="N191">IF(AND(
    SUMPRODUCT(
        (IM!$F$2:$F$2000=A191) *
        ISNUMBER(SEARCH("HUB", IM!$AC$2:$AC$2000)) *
        (IM!$X$2:$X$2000&gt;=$A$1) *
        (IM!$X$2:$X$2000&lt;=$B$1)*(W191="HUB")
    ) &gt; 0
), "HUB", "")</f>
        <v/>
      </c>
      <c r="O191" s="371" t="str">
        <f t="shared" si="34"/>
        <v>未到店</v>
      </c>
      <c r="P191" s="238" t="str">
        <f t="shared" si="30"/>
        <v>-4658-淡水英才店(定保)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 t="shared" si="31"/>
        <v>0</v>
      </c>
      <c r="U191" s="355"/>
      <c r="V191" s="373">
        <f t="shared" si="32"/>
        <v>0</v>
      </c>
      <c r="W191" s="360" t="str">
        <f>IF(VLOOKUP(A191,'0919門市清單主檔'!B:E,4,FALSE)=0,"",VLOOKUP(A191,'0919門市清單主檔'!B:E,4,FALSE))</f>
        <v/>
      </c>
      <c r="Y191" s="5"/>
      <c r="Z191" s="5" t="str">
        <f t="shared" si="35"/>
        <v/>
      </c>
    </row>
    <row r="192" spans="1:26" ht="15.75" customHeight="1">
      <c r="A192" s="174">
        <v>3751</v>
      </c>
      <c r="B192" s="175" t="str">
        <f>VLOOKUP(A192,'0919門市清單主檔'!B:C,2,FALSE)</f>
        <v>淡水真理大</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4081</v>
      </c>
      <c r="H192" s="181" t="str">
        <f t="shared" si="28"/>
        <v>-3751-淡水真理大(定保)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 t="shared" si="29"/>
        <v/>
      </c>
      <c r="N192" s="339" t="str" cm="1">
        <f t="array" ref="N192">IF(AND(
    SUMPRODUCT(
        (IM!$F$2:$F$2000=A192) *
        ISNUMBER(SEARCH("HUB", IM!$AC$2:$AC$2000)) *
        (IM!$X$2:$X$2000&gt;=$A$1) *
        (IM!$X$2:$X$2000&lt;=$B$1)*(W192="HUB")
    ) &gt; 0
), "HUB", "")</f>
        <v/>
      </c>
      <c r="O192" s="371" t="str">
        <f t="shared" si="34"/>
        <v>未到店</v>
      </c>
      <c r="P192" s="238" t="str">
        <f t="shared" si="30"/>
        <v>-3751-淡水真理大(定保)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 t="shared" si="31"/>
        <v>2</v>
      </c>
      <c r="U192" s="355"/>
      <c r="V192" s="373">
        <f t="shared" si="32"/>
        <v>2</v>
      </c>
      <c r="W192" s="360" t="str">
        <f>IF(VLOOKUP(A192,'0919門市清單主檔'!B:E,4,FALSE)=0,"",VLOOKUP(A192,'0919門市清單主檔'!B:E,4,FALSE))</f>
        <v/>
      </c>
      <c r="X192" s="3" t="s">
        <v>4328</v>
      </c>
      <c r="Y192" s="5" t="s">
        <v>4329</v>
      </c>
      <c r="Z192" s="5" t="str">
        <f t="shared" si="35"/>
        <v>STAR</v>
      </c>
    </row>
    <row r="193" spans="1:26" ht="15.75" customHeight="1">
      <c r="A193" s="174">
        <v>3965</v>
      </c>
      <c r="B193" s="175" t="str">
        <f>VLOOKUP(A193,'0919門市清單主檔'!B:C,2,FALSE)</f>
        <v>板橋民治店</v>
      </c>
      <c r="C193" s="176" t="str">
        <f>VLOOKUP($A193,'0919門市清單主檔'!B:V,20,FALSE)</f>
        <v>新北市</v>
      </c>
      <c r="D193" s="177" t="str">
        <f>VLOOKUP($A193,'0919門市清單主檔'!B:V,21,FALSE)</f>
        <v>板橋區</v>
      </c>
      <c r="E193" s="178" t="str">
        <f>VLOOKUP(D193,區域表!A:B,2,FALSE)</f>
        <v>狄澤洋</v>
      </c>
      <c r="F193" s="179" t="str">
        <f>IFERROR(IF(VLOOKUP(A193,門市狀態!A:D,4,FALSE)=0,"",VLOOKUP(A193,門市狀態!A:D,4,FALSE)),"")</f>
        <v/>
      </c>
      <c r="G193" s="180" t="s">
        <v>1742</v>
      </c>
      <c r="H193" s="181" t="str">
        <f t="shared" si="28"/>
        <v>-3965-板橋民治店(定保)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 t="shared" si="29"/>
        <v/>
      </c>
      <c r="N193" s="339" t="str" cm="1">
        <f t="array" ref="N193">IF(AND(
    SUMPRODUCT(
        (IM!$F$2:$F$2000=A193) *
        ISNUMBER(SEARCH("HUB", IM!$AC$2:$AC$2000)) *
        (IM!$X$2:$X$2000&gt;=$A$1) *
        (IM!$X$2:$X$2000&lt;=$B$1)*(W193="HUB")
    ) &gt; 0
), "HUB", "")</f>
        <v/>
      </c>
      <c r="O193" s="371" t="str">
        <f t="shared" si="34"/>
        <v>未到店</v>
      </c>
      <c r="P193" s="238" t="str">
        <f t="shared" si="30"/>
        <v>-3965-板橋民治店(定保)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 t="shared" si="31"/>
        <v>2</v>
      </c>
      <c r="U193" s="355"/>
      <c r="V193" s="373">
        <f t="shared" si="32"/>
        <v>2</v>
      </c>
      <c r="W193" s="360" t="str">
        <f>IF(VLOOKUP(A193,'0919門市清單主檔'!B:E,4,FALSE)=0,"",VLOOKUP(A193,'0919門市清單主檔'!B:E,4,FALSE))</f>
        <v/>
      </c>
      <c r="X193" s="3" t="s">
        <v>4355</v>
      </c>
      <c r="Y193" s="5" t="s">
        <v>4356</v>
      </c>
      <c r="Z193" s="5" t="str">
        <f t="shared" si="35"/>
        <v>STAR</v>
      </c>
    </row>
    <row r="194" spans="1:26" ht="15.75" customHeight="1">
      <c r="A194" s="174">
        <v>5101</v>
      </c>
      <c r="B194" s="175" t="str">
        <f>VLOOKUP(A194,'0919門市清單主檔'!B:C,2,FALSE)</f>
        <v>淡水小坪頂</v>
      </c>
      <c r="C194" s="176" t="str">
        <f>VLOOKUP($A194,'0919門市清單主檔'!B:V,20,FALSE)</f>
        <v>新北市</v>
      </c>
      <c r="D194" s="177" t="str">
        <f>VLOOKUP($A194,'0919門市清單主檔'!B:V,21,FALSE)</f>
        <v>淡水區</v>
      </c>
      <c r="E194" s="178" t="str">
        <f>VLOOKUP(D194,區域表!A:B,2,FALSE)</f>
        <v>吳宗鴻</v>
      </c>
      <c r="F194" s="179" t="str">
        <f>IFERROR(IF(VLOOKUP(A194,門市狀態!A:D,4,FALSE)=0,"",VLOOKUP(A194,門市狀態!A:D,4,FALSE)),"")</f>
        <v/>
      </c>
      <c r="G194" s="180" t="s">
        <v>1742</v>
      </c>
      <c r="H194" s="181" t="str">
        <f t="shared" si="28"/>
        <v>-5101-淡水小坪頂(定保)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 t="shared" si="29"/>
        <v/>
      </c>
      <c r="N194" s="339" t="str" cm="1">
        <f t="array" ref="N194">IF(AND(
    SUMPRODUCT(
        (IM!$F$2:$F$2000=A194) *
        ISNUMBER(SEARCH("HUB", IM!$AC$2:$AC$2000)) *
        (IM!$X$2:$X$2000&gt;=$A$1) *
        (IM!$X$2:$X$2000&lt;=$B$1)*(W194="HUB")
    ) &gt; 0
), "HUB", "")</f>
        <v/>
      </c>
      <c r="O194" s="371" t="str">
        <f t="shared" si="34"/>
        <v>未到店</v>
      </c>
      <c r="P194" s="238" t="str">
        <f t="shared" si="30"/>
        <v>-5101-淡水小坪頂(定保)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 t="shared" si="31"/>
        <v>0</v>
      </c>
      <c r="U194" s="355"/>
      <c r="V194" s="373">
        <f t="shared" si="32"/>
        <v>0</v>
      </c>
      <c r="W194" s="360" t="str">
        <f>IF(VLOOKUP(A194,'0919門市清單主檔'!B:E,4,FALSE)=0,"",VLOOKUP(A194,'0919門市清單主檔'!B:E,4,FALSE))</f>
        <v/>
      </c>
      <c r="Y194" s="5"/>
      <c r="Z194" s="5" t="str">
        <f t="shared" si="35"/>
        <v/>
      </c>
    </row>
    <row r="195" spans="1:26" ht="15.75" customHeight="1">
      <c r="A195" s="174">
        <v>4154</v>
      </c>
      <c r="B195" s="175" t="str">
        <f>VLOOKUP(A195,'0919門市清單主檔'!B:C,2,FALSE)</f>
        <v>林口麗園店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 t="shared" si="28"/>
        <v>-4154-林口麗園店(定保)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 t="shared" si="29"/>
        <v/>
      </c>
      <c r="N195" s="339" t="str" cm="1">
        <f t="array" ref="N195">IF(AND(
    SUMPRODUCT(
        (IM!$F$2:$F$2000=A195) *
        ISNUMBER(SEARCH("HUB", IM!$AC$2:$AC$2000)) *
        (IM!$X$2:$X$2000&gt;=$A$1) *
        (IM!$X$2:$X$2000&lt;=$B$1)*(W195="HUB")
    ) &gt; 0
), "HUB", "")</f>
        <v/>
      </c>
      <c r="O195" s="371" t="str">
        <f t="shared" si="34"/>
        <v>未到店</v>
      </c>
      <c r="P195" s="238" t="str">
        <f t="shared" si="30"/>
        <v>-4154-林口麗園店(定保)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 t="shared" si="31"/>
        <v>2</v>
      </c>
      <c r="U195" s="355"/>
      <c r="V195" s="373">
        <f t="shared" si="32"/>
        <v>2</v>
      </c>
      <c r="W195" s="360" t="str">
        <f>IF(VLOOKUP(A195,'0919門市清單主檔'!B:E,4,FALSE)=0,"",VLOOKUP(A195,'0919門市清單主檔'!B:E,4,FALSE))</f>
        <v/>
      </c>
      <c r="X195" s="3" t="s">
        <v>4399</v>
      </c>
      <c r="Y195" s="5" t="s">
        <v>4400</v>
      </c>
      <c r="Z195" s="5" t="str">
        <f t="shared" si="35"/>
        <v>STAR</v>
      </c>
    </row>
    <row r="196" spans="1:26" ht="15.75" customHeight="1">
      <c r="A196" s="174" t="s">
        <v>41</v>
      </c>
      <c r="B196" s="175" t="str">
        <f>VLOOKUP(A196,'0919門市清單主檔'!B:C,2,FALSE)</f>
        <v>車麗屋林口店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1743</v>
      </c>
      <c r="H196" s="181" t="str">
        <f t="shared" si="28"/>
        <v>-L519-車麗屋林口店(定保)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 t="shared" si="29"/>
        <v/>
      </c>
      <c r="N196" s="339" t="str" cm="1">
        <f t="array" ref="N196">IF(AND(
    SUMPRODUCT(
        (IM!$F$2:$F$2000=A196) *
        ISNUMBER(SEARCH("HUB", IM!$AC$2:$AC$2000)) *
        (IM!$X$2:$X$2000&gt;=$A$1) *
        (IM!$X$2:$X$2000&lt;=$B$1)*(W196="HUB")
    ) &gt; 0
), "HUB", "")</f>
        <v/>
      </c>
      <c r="O196" s="371" t="str">
        <f t="shared" si="34"/>
        <v>未到店</v>
      </c>
      <c r="P196" s="238" t="str">
        <f t="shared" si="30"/>
        <v>-L519-車麗屋林口店(定保)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 t="shared" si="31"/>
        <v>0</v>
      </c>
      <c r="U196" s="355"/>
      <c r="V196" s="373">
        <f t="shared" si="32"/>
        <v>0</v>
      </c>
      <c r="W196" s="360" t="str">
        <f>IF(VLOOKUP(A196,'0919門市清單主檔'!B:E,4,FALSE)=0,"",VLOOKUP(A196,'0919門市清單主檔'!B:E,4,FALSE))</f>
        <v/>
      </c>
      <c r="Y196" s="5"/>
      <c r="Z196" s="5" t="str">
        <f t="shared" si="35"/>
        <v/>
      </c>
    </row>
    <row r="197" spans="1:26" ht="15.75" customHeight="1">
      <c r="A197" s="174" t="s">
        <v>1449</v>
      </c>
      <c r="B197" s="175" t="str">
        <f>VLOOKUP(A197,'0919門市清單主檔'!B:C,2,FALSE)</f>
        <v>林口顧家店</v>
      </c>
      <c r="C197" s="176" t="str">
        <f>VLOOKUP($A197,'0919門市清單主檔'!B:V,20,FALSE)</f>
        <v>新北市</v>
      </c>
      <c r="D197" s="177" t="str">
        <f>VLOOKUP($A197,'0919門市清單主檔'!B:V,21,FALSE)</f>
        <v>林口區</v>
      </c>
      <c r="E197" s="178" t="str">
        <f>VLOOKUP(D197,區域表!A:B,2,FALSE)</f>
        <v>湯家瑋</v>
      </c>
      <c r="F197" s="179" t="str">
        <f>IFERROR(IF(VLOOKUP(A197,門市狀態!A:D,4,FALSE)=0,"",VLOOKUP(A197,門市狀態!A:D,4,FALSE)),"")</f>
        <v/>
      </c>
      <c r="G197" s="180" t="s">
        <v>1743</v>
      </c>
      <c r="H197" s="181" t="str">
        <f t="shared" si="28"/>
        <v>-L551-林口顧家店(定保)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 t="shared" si="29"/>
        <v/>
      </c>
      <c r="N197" s="339" t="str" cm="1">
        <f t="array" ref="N197">IF(AND(
    SUMPRODUCT(
        (IM!$F$2:$F$2000=A197) *
        ISNUMBER(SEARCH("HUB", IM!$AC$2:$AC$2000)) *
        (IM!$X$2:$X$2000&gt;=$A$1) *
        (IM!$X$2:$X$2000&lt;=$B$1)*(W197="HUB")
    ) &gt; 0
), "HUB", "")</f>
        <v/>
      </c>
      <c r="O197" s="371" t="str">
        <f t="shared" si="34"/>
        <v>未到店</v>
      </c>
      <c r="P197" s="238" t="str">
        <f t="shared" si="30"/>
        <v>-L551-林口顧家店(定保)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 t="shared" si="31"/>
        <v>0</v>
      </c>
      <c r="U197" s="355"/>
      <c r="V197" s="373">
        <f t="shared" si="32"/>
        <v>0</v>
      </c>
      <c r="W197" s="360" t="str">
        <f>IF(VLOOKUP(A197,'0919門市清單主檔'!B:E,4,FALSE)=0,"",VLOOKUP(A197,'0919門市清單主檔'!B:E,4,FALSE))</f>
        <v/>
      </c>
      <c r="Y197" s="5"/>
      <c r="Z197" s="5" t="str">
        <f t="shared" ref="Z197:Z226" si="36">IF(T197&gt;0,"STAR","")</f>
        <v/>
      </c>
    </row>
    <row r="198" spans="1:26" ht="15.75" customHeight="1">
      <c r="A198" s="174">
        <v>2746</v>
      </c>
      <c r="B198" s="175" t="str">
        <f>VLOOKUP(A198,'0919門市清單主檔'!B:C,2,FALSE)</f>
        <v>北縣板嘉店</v>
      </c>
      <c r="C198" s="176" t="str">
        <f>VLOOKUP($A198,'0919門市清單主檔'!B:V,20,FALSE)</f>
        <v>新北市</v>
      </c>
      <c r="D198" s="177" t="str">
        <f>VLOOKUP($A198,'0919門市清單主檔'!B:V,21,FALSE)</f>
        <v>板橋區</v>
      </c>
      <c r="E198" s="178" t="str">
        <f>VLOOKUP(D198,區域表!A:B,2,FALSE)</f>
        <v>狄澤洋</v>
      </c>
      <c r="F198" s="179" t="str">
        <f>IFERROR(IF(VLOOKUP(A198,門市狀態!A:D,4,FALSE)=0,"",VLOOKUP(A198,門市狀態!A:D,4,FALSE)),"")</f>
        <v/>
      </c>
      <c r="G198" s="180" t="s">
        <v>1742</v>
      </c>
      <c r="H198" s="181" t="str">
        <f t="shared" si="28"/>
        <v>-2746-北縣板嘉店(定保)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 t="shared" si="29"/>
        <v/>
      </c>
      <c r="N198" s="339" t="str" cm="1">
        <f t="array" ref="N198">IF(AND(
    SUMPRODUCT(
        (IM!$F$2:$F$2000=A198) *
        ISNUMBER(SEARCH("HUB", IM!$AC$2:$AC$2000)) *
        (IM!$X$2:$X$2000&gt;=$A$1) *
        (IM!$X$2:$X$2000&lt;=$B$1)*(W198="HUB")
    ) &gt; 0
), "HUB", "")</f>
        <v/>
      </c>
      <c r="O198" s="371" t="str">
        <f t="shared" si="34"/>
        <v>未到店</v>
      </c>
      <c r="P198" s="238" t="str">
        <f t="shared" si="30"/>
        <v>-2746-北縣板嘉店(定保)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 t="shared" si="31"/>
        <v>2</v>
      </c>
      <c r="U198" s="355"/>
      <c r="V198" s="373">
        <f t="shared" si="32"/>
        <v>2</v>
      </c>
      <c r="W198" s="360" t="str">
        <f>IF(VLOOKUP(A198,'0919門市清單主檔'!B:E,4,FALSE)=0,"",VLOOKUP(A198,'0919門市清單主檔'!B:E,4,FALSE))</f>
        <v/>
      </c>
      <c r="X198" s="3" t="s">
        <v>4366</v>
      </c>
      <c r="Y198" s="5" t="s">
        <v>4367</v>
      </c>
      <c r="Z198" s="5" t="str">
        <f t="shared" si="36"/>
        <v>STAR</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 t="shared" si="28"/>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 t="shared" si="29"/>
        <v/>
      </c>
      <c r="N199" s="339" t="str" cm="1">
        <f t="array" ref="N199">IF(AND(
    SUMPRODUCT(
        (IM!$F$2:$F$2000=A199) *
        ISNUMBER(SEARCH("HUB", IM!$AC$2:$AC$2000)) *
        (IM!$X$2:$X$2000&gt;=$A$1) *
        (IM!$X$2:$X$2000&lt;=$B$1)*(W199="HUB")
    ) &gt; 0
), "HUB", "")</f>
        <v/>
      </c>
      <c r="O199" s="371" t="str">
        <f t="shared" si="34"/>
        <v>未到店</v>
      </c>
      <c r="P199" s="238" t="str">
        <f t="shared" si="30"/>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 t="shared" si="31"/>
        <v>2</v>
      </c>
      <c r="U199" s="355"/>
      <c r="V199" s="373">
        <f t="shared" si="32"/>
        <v>2</v>
      </c>
      <c r="W199" s="360" t="str">
        <f>IF(VLOOKUP(A199,'0919門市清單主檔'!B:E,4,FALSE)=0,"",VLOOKUP(A199,'0919門市清單主檔'!B:E,4,FALSE))</f>
        <v/>
      </c>
      <c r="X199" s="3" t="s">
        <v>4331</v>
      </c>
      <c r="Y199" s="5" t="s">
        <v>4332</v>
      </c>
      <c r="Z199" s="5" t="str">
        <f t="shared" si="36"/>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 t="shared" si="28"/>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 t="shared" si="29"/>
        <v/>
      </c>
      <c r="N200" s="339" t="str" cm="1">
        <f t="array" ref="N200">IF(AND(
    SUMPRODUCT(
        (IM!$F$2:$F$2000=A200) *
        ISNUMBER(SEARCH("HUB", IM!$AC$2:$AC$2000)) *
        (IM!$X$2:$X$2000&gt;=$A$1) *
        (IM!$X$2:$X$2000&lt;=$B$1)*(W200="HUB")
    ) &gt; 0
), "HUB", "")</f>
        <v/>
      </c>
      <c r="O200" s="371" t="str">
        <f t="shared" si="34"/>
        <v>未到店</v>
      </c>
      <c r="P200" s="238" t="str">
        <f t="shared" si="30"/>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 t="shared" si="31"/>
        <v>1</v>
      </c>
      <c r="U200" s="355"/>
      <c r="V200" s="373">
        <f t="shared" si="32"/>
        <v>1</v>
      </c>
      <c r="W200" s="360" t="str">
        <f>IF(VLOOKUP(A200,'0919門市清單主檔'!B:E,4,FALSE)=0,"",VLOOKUP(A200,'0919門市清單主檔'!B:E,4,FALSE))</f>
        <v/>
      </c>
      <c r="Y200" s="5" t="s">
        <v>4330</v>
      </c>
      <c r="Z200" s="5" t="str">
        <f t="shared" si="36"/>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 t="shared" si="28"/>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 t="shared" si="29"/>
        <v/>
      </c>
      <c r="N201" s="339" t="str" cm="1">
        <f t="array" ref="N201">IF(AND(
    SUMPRODUCT(
        (IM!$F$2:$F$2000=A201) *
        ISNUMBER(SEARCH("HUB", IM!$AC$2:$AC$2000)) *
        (IM!$X$2:$X$2000&gt;=$A$1) *
        (IM!$X$2:$X$2000&lt;=$B$1)*(W201="HUB")
    ) &gt; 0
), "HUB", "")</f>
        <v/>
      </c>
      <c r="O201" s="371" t="str">
        <f t="shared" si="34"/>
        <v>未到店</v>
      </c>
      <c r="P201" s="238" t="str">
        <f t="shared" si="30"/>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 t="shared" si="31"/>
        <v>2</v>
      </c>
      <c r="U201" s="355"/>
      <c r="V201" s="373">
        <f t="shared" si="32"/>
        <v>2</v>
      </c>
      <c r="W201" s="360" t="str">
        <f>IF(VLOOKUP(A201,'0919門市清單主檔'!B:E,4,FALSE)=0,"",VLOOKUP(A201,'0919門市清單主檔'!B:E,4,FALSE))</f>
        <v/>
      </c>
      <c r="X201" s="3" t="s">
        <v>4336</v>
      </c>
      <c r="Y201" s="5" t="s">
        <v>4337</v>
      </c>
      <c r="Z201" s="5" t="str">
        <f t="shared" si="36"/>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 t="shared" si="28"/>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 t="shared" si="29"/>
        <v/>
      </c>
      <c r="N202" s="339" t="str" cm="1">
        <f t="array" ref="N202">IF(AND(
    SUMPRODUCT(
        (IM!$F$2:$F$2000=A202) *
        ISNUMBER(SEARCH("HUB", IM!$AC$2:$AC$2000)) *
        (IM!$X$2:$X$2000&gt;=$A$1) *
        (IM!$X$2:$X$2000&lt;=$B$1)*(W202="HUB")
    ) &gt; 0
), "HUB", "")</f>
        <v/>
      </c>
      <c r="O202" s="371" t="str">
        <f t="shared" si="34"/>
        <v>未到店</v>
      </c>
      <c r="P202" s="238" t="str">
        <f t="shared" si="30"/>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 t="shared" si="31"/>
        <v>2</v>
      </c>
      <c r="U202" s="355"/>
      <c r="V202" s="373">
        <f t="shared" si="32"/>
        <v>2</v>
      </c>
      <c r="W202" s="360" t="str">
        <f>IF(VLOOKUP(A202,'0919門市清單主檔'!B:E,4,FALSE)=0,"",VLOOKUP(A202,'0919門市清單主檔'!B:E,4,FALSE))</f>
        <v/>
      </c>
      <c r="X202" s="3" t="s">
        <v>4338</v>
      </c>
      <c r="Y202" s="5" t="s">
        <v>4339</v>
      </c>
      <c r="Z202" s="5" t="str">
        <f t="shared" si="36"/>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 t="shared" si="28"/>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 t="shared" si="29"/>
        <v/>
      </c>
      <c r="N203" s="339" t="str" cm="1">
        <f t="array" ref="N203">IF(AND(
    SUMPRODUCT(
        (IM!$F$2:$F$2000=A203) *
        ISNUMBER(SEARCH("HUB", IM!$AC$2:$AC$2000)) *
        (IM!$X$2:$X$2000&gt;=$A$1) *
        (IM!$X$2:$X$2000&lt;=$B$1)*(W203="HUB")
    ) &gt; 0
), "HUB", "")</f>
        <v/>
      </c>
      <c r="O203" s="371" t="str">
        <f t="shared" si="34"/>
        <v>未到店</v>
      </c>
      <c r="P203" s="238" t="str">
        <f t="shared" si="30"/>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 t="shared" si="31"/>
        <v>0</v>
      </c>
      <c r="U203" s="355"/>
      <c r="V203" s="373">
        <f t="shared" si="32"/>
        <v>0</v>
      </c>
      <c r="W203" s="360" t="str">
        <f>IF(VLOOKUP(A203,'0919門市清單主檔'!B:E,4,FALSE)=0,"",VLOOKUP(A203,'0919門市清單主檔'!B:E,4,FALSE))</f>
        <v/>
      </c>
      <c r="Y203" s="5"/>
      <c r="Z203" s="5" t="str">
        <f t="shared" si="36"/>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 t="shared" si="28"/>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 t="shared" si="29"/>
        <v/>
      </c>
      <c r="N204" s="339" t="str" cm="1">
        <f t="array" ref="N204">IF(AND(
    SUMPRODUCT(
        (IM!$F$2:$F$2000=A204) *
        ISNUMBER(SEARCH("HUB", IM!$AC$2:$AC$2000)) *
        (IM!$X$2:$X$2000&gt;=$A$1) *
        (IM!$X$2:$X$2000&lt;=$B$1)*(W204="HUB")
    ) &gt; 0
), "HUB", "")</f>
        <v/>
      </c>
      <c r="O204" s="371" t="str">
        <f t="shared" si="34"/>
        <v>未到店</v>
      </c>
      <c r="P204" s="238" t="str">
        <f t="shared" si="30"/>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 t="shared" si="31"/>
        <v>0</v>
      </c>
      <c r="U204" s="355"/>
      <c r="V204" s="373">
        <f t="shared" si="32"/>
        <v>0</v>
      </c>
      <c r="W204" s="360" t="str">
        <f>IF(VLOOKUP(A204,'0919門市清單主檔'!B:E,4,FALSE)=0,"",VLOOKUP(A204,'0919門市清單主檔'!B:E,4,FALSE))</f>
        <v/>
      </c>
      <c r="Y204" s="5"/>
      <c r="Z204" s="5" t="str">
        <f t="shared" si="36"/>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 t="shared" si="28"/>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 t="shared" si="29"/>
        <v/>
      </c>
      <c r="N205" s="339" t="str" cm="1">
        <f t="array" ref="N205">IF(AND(
    SUMPRODUCT(
        (IM!$F$2:$F$2000=A205) *
        ISNUMBER(SEARCH("HUB", IM!$AC$2:$AC$2000)) *
        (IM!$X$2:$X$2000&gt;=$A$1) *
        (IM!$X$2:$X$2000&lt;=$B$1)*(W205="HUB")
    ) &gt; 0
), "HUB", "")</f>
        <v/>
      </c>
      <c r="O205" s="371" t="str">
        <f t="shared" si="34"/>
        <v>未到店</v>
      </c>
      <c r="P205" s="238" t="str">
        <f t="shared" si="30"/>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 t="shared" si="31"/>
        <v>2</v>
      </c>
      <c r="U205" s="355"/>
      <c r="V205" s="373">
        <f t="shared" si="32"/>
        <v>2</v>
      </c>
      <c r="W205" s="360" t="str">
        <f>IF(VLOOKUP(A205,'0919門市清單主檔'!B:E,4,FALSE)=0,"",VLOOKUP(A205,'0919門市清單主檔'!B:E,4,FALSE))</f>
        <v/>
      </c>
      <c r="X205" s="3" t="s">
        <v>4372</v>
      </c>
      <c r="Y205" s="5" t="s">
        <v>4373</v>
      </c>
      <c r="Z205" s="5" t="str">
        <f t="shared" si="36"/>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 t="shared" si="28"/>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 t="shared" si="29"/>
        <v/>
      </c>
      <c r="N206" s="339" t="str" cm="1">
        <f t="array" ref="N206">IF(AND(
    SUMPRODUCT(
        (IM!$F$2:$F$2000=A206) *
        ISNUMBER(SEARCH("HUB", IM!$AC$2:$AC$2000)) *
        (IM!$X$2:$X$2000&gt;=$A$1) *
        (IM!$X$2:$X$2000&lt;=$B$1)*(W206="HUB")
    ) &gt; 0
), "HUB", "")</f>
        <v/>
      </c>
      <c r="O206" s="371" t="str">
        <f t="shared" si="34"/>
        <v>未到店</v>
      </c>
      <c r="P206" s="238" t="str">
        <f t="shared" si="30"/>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 t="shared" si="31"/>
        <v>2</v>
      </c>
      <c r="U206" s="355"/>
      <c r="V206" s="373">
        <f t="shared" si="32"/>
        <v>2</v>
      </c>
      <c r="W206" s="360" t="str">
        <f>IF(VLOOKUP(A206,'0919門市清單主檔'!B:E,4,FALSE)=0,"",VLOOKUP(A206,'0919門市清單主檔'!B:E,4,FALSE))</f>
        <v/>
      </c>
      <c r="X206" s="3" t="s">
        <v>4360</v>
      </c>
      <c r="Y206" s="5" t="s">
        <v>4361</v>
      </c>
      <c r="Z206" s="5" t="str">
        <f t="shared" si="36"/>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 t="shared" ref="H207:H226" si="37">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 t="shared" ref="M207:M226" si="38">Q207&amp;IF(R207&lt;&gt;"",$P$2,"")&amp;R207</f>
        <v/>
      </c>
      <c r="N207" s="339" t="str" cm="1">
        <f t="array" ref="N207">IF(AND(
    SUMPRODUCT(
        (IM!$F$2:$F$2000=A207) *
        ISNUMBER(SEARCH("HUB", IM!$AC$2:$AC$2000)) *
        (IM!$X$2:$X$2000&gt;=$A$1) *
        (IM!$X$2:$X$2000&lt;=$B$1)*(W207="HUB")
    ) &gt; 0
), "HUB", "")</f>
        <v/>
      </c>
      <c r="O207" s="371" t="str">
        <f t="shared" si="34"/>
        <v>未到店</v>
      </c>
      <c r="P207" s="238" t="str">
        <f t="shared" ref="P207:P226" si="39">(TEXT(I207,"yyyymmdd"))&amp;$S$2&amp;A207&amp;$S$2&amp;B207&amp;$Q$2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 t="shared" ref="T207:T226" si="40">IF(AND(X207&lt;&gt;"", Y207&lt;&gt;""), 2, IF(OR(X207&lt;&gt;"", Y207&lt;&gt;""), 1, 0))</f>
        <v>2</v>
      </c>
      <c r="U207" s="355"/>
      <c r="V207" s="373">
        <f t="shared" ref="V207:V226" si="41">IF(OR(R207="STAR", 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 t="shared" si="36"/>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 t="shared" si="37"/>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 t="shared" si="38"/>
        <v/>
      </c>
      <c r="N208" s="339" t="str" cm="1">
        <f t="array" ref="N208">IF(AND(
    SUMPRODUCT(
        (IM!$F$2:$F$2000=A208) *
        ISNUMBER(SEARCH("HUB", IM!$AC$2:$AC$2000)) *
        (IM!$X$2:$X$2000&gt;=$A$1) *
        (IM!$X$2:$X$2000&lt;=$B$1)*(W208="HUB")
    ) &gt; 0
), "HUB", "")</f>
        <v/>
      </c>
      <c r="O208" s="371" t="str">
        <f t="shared" ref="O208:O226" si="42">IF(I208="","未到店",
IF(AND(S208&gt;I208, R208="STAR", NOT(AND(G208&lt;&gt;"萊到店 WebPOS", Q208&lt;&gt;"EDC"))), "完工已補裝",
IF(AND(G208&lt;&gt;"萊到店 WebPOS", Q208&lt;&gt;"EDC"), "EDC異常",
IF(AND(W208="HUB", N208=""), "HUB異常",
IF(OR(AND(Z208="STAR", R208="STAR"), AND(Z208&lt;&gt;"STAR", R208="")), "已完工", "STAR異常")
))))</f>
        <v>未到店</v>
      </c>
      <c r="P208" s="238" t="str">
        <f t="shared" si="39"/>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 t="shared" si="40"/>
        <v>2</v>
      </c>
      <c r="U208" s="355"/>
      <c r="V208" s="373">
        <f t="shared" si="41"/>
        <v>2</v>
      </c>
      <c r="W208" s="360" t="str">
        <f>IF(VLOOKUP(A208,'0919門市清單主檔'!B:E,4,FALSE)=0,"",VLOOKUP(A208,'0919門市清單主檔'!B:E,4,FALSE))</f>
        <v/>
      </c>
      <c r="X208" s="3" t="s">
        <v>4405</v>
      </c>
      <c r="Y208" s="5" t="s">
        <v>4406</v>
      </c>
      <c r="Z208" s="5" t="str">
        <f t="shared" si="36"/>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 t="shared" si="37"/>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 t="shared" si="38"/>
        <v/>
      </c>
      <c r="N209" s="339" t="str" cm="1">
        <f t="array" ref="N209">IF(AND(
    SUMPRODUCT(
        (IM!$F$2:$F$2000=A209) *
        ISNUMBER(SEARCH("HUB", IM!$AC$2:$AC$2000)) *
        (IM!$X$2:$X$2000&gt;=$A$1) *
        (IM!$X$2:$X$2000&lt;=$B$1)*(W209="HUB")
    ) &gt; 0
), "HUB", "")</f>
        <v/>
      </c>
      <c r="O209" s="371" t="str">
        <f t="shared" si="42"/>
        <v>未到店</v>
      </c>
      <c r="P209" s="238" t="str">
        <f t="shared" si="39"/>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 t="shared" si="40"/>
        <v>2</v>
      </c>
      <c r="U209" s="355"/>
      <c r="V209" s="373">
        <f t="shared" si="41"/>
        <v>2</v>
      </c>
      <c r="W209" s="360" t="str">
        <f>IF(VLOOKUP(A209,'0919門市清單主檔'!B:E,4,FALSE)=0,"",VLOOKUP(A209,'0919門市清單主檔'!B:E,4,FALSE))</f>
        <v/>
      </c>
      <c r="X209" s="3" t="s">
        <v>4380</v>
      </c>
      <c r="Y209" s="5" t="s">
        <v>4381</v>
      </c>
      <c r="Z209" s="5" t="str">
        <f t="shared" si="36"/>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 t="shared" si="37"/>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 t="shared" si="38"/>
        <v/>
      </c>
      <c r="N210" s="339" t="str" cm="1">
        <f t="array" ref="N210">IF(AND(
    SUMPRODUCT(
        (IM!$F$2:$F$2000=A210) *
        ISNUMBER(SEARCH("HUB", IM!$AC$2:$AC$2000)) *
        (IM!$X$2:$X$2000&gt;=$A$1) *
        (IM!$X$2:$X$2000&lt;=$B$1)*(W210="HUB")
    ) &gt; 0
), "HUB", "")</f>
        <v/>
      </c>
      <c r="O210" s="371" t="str">
        <f t="shared" si="42"/>
        <v>未到店</v>
      </c>
      <c r="P210" s="238" t="str">
        <f t="shared" si="39"/>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 t="shared" si="40"/>
        <v>1</v>
      </c>
      <c r="U210" s="355"/>
      <c r="V210" s="373">
        <f t="shared" si="41"/>
        <v>1</v>
      </c>
      <c r="W210" s="360" t="str">
        <f>IF(VLOOKUP(A210,'0919門市清單主檔'!B:E,4,FALSE)=0,"",VLOOKUP(A210,'0919門市清單主檔'!B:E,4,FALSE))</f>
        <v/>
      </c>
      <c r="X210" s="3" t="s">
        <v>4404</v>
      </c>
      <c r="Y210" s="5"/>
      <c r="Z210" s="5" t="str">
        <f t="shared" si="36"/>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 t="shared" si="37"/>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 t="shared" si="38"/>
        <v/>
      </c>
      <c r="N211" s="339" t="str" cm="1">
        <f t="array" ref="N211">IF(AND(
    SUMPRODUCT(
        (IM!$F$2:$F$2000=A211) *
        ISNUMBER(SEARCH("HUB", IM!$AC$2:$AC$2000)) *
        (IM!$X$2:$X$2000&gt;=$A$1) *
        (IM!$X$2:$X$2000&lt;=$B$1)*(W211="HUB")
    ) &gt; 0
), "HUB", "")</f>
        <v/>
      </c>
      <c r="O211" s="371" t="str">
        <f t="shared" si="42"/>
        <v>未到店</v>
      </c>
      <c r="P211" s="238" t="str">
        <f t="shared" si="39"/>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 t="shared" si="40"/>
        <v>2</v>
      </c>
      <c r="U211" s="355"/>
      <c r="V211" s="373">
        <f t="shared" si="41"/>
        <v>2</v>
      </c>
      <c r="W211" s="360" t="str">
        <f>IF(VLOOKUP(A211,'0919門市清單主檔'!B:E,4,FALSE)=0,"",VLOOKUP(A211,'0919門市清單主檔'!B:E,4,FALSE))</f>
        <v/>
      </c>
      <c r="X211" s="3" t="s">
        <v>4357</v>
      </c>
      <c r="Y211" s="5" t="s">
        <v>4358</v>
      </c>
      <c r="Z211" s="5" t="str">
        <f t="shared" si="36"/>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 t="shared" si="37"/>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 t="shared" si="38"/>
        <v/>
      </c>
      <c r="N212" s="339" t="str" cm="1">
        <f t="array" ref="N212">IF(AND(
    SUMPRODUCT(
        (IM!$F$2:$F$2000=A212) *
        ISNUMBER(SEARCH("HUB", IM!$AC$2:$AC$2000)) *
        (IM!$X$2:$X$2000&gt;=$A$1) *
        (IM!$X$2:$X$2000&lt;=$B$1)*(W212="HUB")
    ) &gt; 0
), "HUB", "")</f>
        <v/>
      </c>
      <c r="O212" s="371" t="str">
        <f t="shared" si="42"/>
        <v>未到店</v>
      </c>
      <c r="P212" s="238" t="str">
        <f t="shared" si="39"/>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 t="shared" si="40"/>
        <v>0</v>
      </c>
      <c r="U212" s="355"/>
      <c r="V212" s="373">
        <f t="shared" si="41"/>
        <v>0</v>
      </c>
      <c r="W212" s="360" t="str">
        <f>IF(VLOOKUP(A212,'0919門市清單主檔'!B:E,4,FALSE)=0,"",VLOOKUP(A212,'0919門市清單主檔'!B:E,4,FALSE))</f>
        <v/>
      </c>
      <c r="Y212" s="5"/>
      <c r="Z212" s="5" t="str">
        <f t="shared" si="36"/>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 t="shared" si="37"/>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 t="shared" si="38"/>
        <v/>
      </c>
      <c r="N213" s="339" t="str" cm="1">
        <f t="array" ref="N213">IF(AND(
    SUMPRODUCT(
        (IM!$F$2:$F$2000=A213) *
        ISNUMBER(SEARCH("HUB", IM!$AC$2:$AC$2000)) *
        (IM!$X$2:$X$2000&gt;=$A$1) *
        (IM!$X$2:$X$2000&lt;=$B$1)*(W213="HUB")
    ) &gt; 0
), "HUB", "")</f>
        <v/>
      </c>
      <c r="O213" s="371" t="str">
        <f t="shared" si="42"/>
        <v>未到店</v>
      </c>
      <c r="P213" s="238" t="str">
        <f t="shared" si="39"/>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 t="shared" si="40"/>
        <v>0</v>
      </c>
      <c r="U213" s="355"/>
      <c r="V213" s="373">
        <f t="shared" si="41"/>
        <v>0</v>
      </c>
      <c r="W213" s="360" t="str">
        <f>IF(VLOOKUP(A213,'0919門市清單主檔'!B:E,4,FALSE)=0,"",VLOOKUP(A213,'0919門市清單主檔'!B:E,4,FALSE))</f>
        <v/>
      </c>
      <c r="Y213" s="5"/>
      <c r="Z213" s="5" t="str">
        <f t="shared" si="36"/>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 t="shared" si="37"/>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 t="shared" si="38"/>
        <v/>
      </c>
      <c r="N214" s="339" t="str" cm="1">
        <f t="array" ref="N214">IF(AND(
    SUMPRODUCT(
        (IM!$F$2:$F$2000=A214) *
        ISNUMBER(SEARCH("HUB", IM!$AC$2:$AC$2000)) *
        (IM!$X$2:$X$2000&gt;=$A$1) *
        (IM!$X$2:$X$2000&lt;=$B$1)*(W214="HUB")
    ) &gt; 0
), "HUB", "")</f>
        <v/>
      </c>
      <c r="O214" s="371" t="str">
        <f t="shared" si="42"/>
        <v>未到店</v>
      </c>
      <c r="P214" s="238" t="str">
        <f t="shared" si="39"/>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 t="shared" si="40"/>
        <v>2</v>
      </c>
      <c r="U214" s="355"/>
      <c r="V214" s="373">
        <f t="shared" si="41"/>
        <v>2</v>
      </c>
      <c r="W214" s="360" t="str">
        <f>IF(VLOOKUP(A214,'0919門市清單主檔'!B:E,4,FALSE)=0,"",VLOOKUP(A214,'0919門市清單主檔'!B:E,4,FALSE))</f>
        <v/>
      </c>
      <c r="X214" s="3" t="s">
        <v>4418</v>
      </c>
      <c r="Y214" s="5" t="s">
        <v>4419</v>
      </c>
      <c r="Z214" s="5" t="str">
        <f t="shared" si="36"/>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 t="shared" si="37"/>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 t="shared" si="38"/>
        <v/>
      </c>
      <c r="N215" s="339" t="str" cm="1">
        <f t="array" ref="N215">IF(AND(
    SUMPRODUCT(
        (IM!$F$2:$F$2000=A215) *
        ISNUMBER(SEARCH("HUB", IM!$AC$2:$AC$2000)) *
        (IM!$X$2:$X$2000&gt;=$A$1) *
        (IM!$X$2:$X$2000&lt;=$B$1)*(W215="HUB")
    ) &gt; 0
), "HUB", "")</f>
        <v/>
      </c>
      <c r="O215" s="371" t="str">
        <f t="shared" si="42"/>
        <v>未到店</v>
      </c>
      <c r="P215" s="238" t="str">
        <f t="shared" si="39"/>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 t="shared" si="40"/>
        <v>2</v>
      </c>
      <c r="U215" s="355"/>
      <c r="V215" s="373">
        <f t="shared" si="41"/>
        <v>2</v>
      </c>
      <c r="W215" s="360" t="str">
        <f>IF(VLOOKUP(A215,'0919門市清單主檔'!B:E,4,FALSE)=0,"",VLOOKUP(A215,'0919門市清單主檔'!B:E,4,FALSE))</f>
        <v/>
      </c>
      <c r="X215" s="3" t="s">
        <v>4353</v>
      </c>
      <c r="Y215" s="5" t="s">
        <v>4354</v>
      </c>
      <c r="Z215" s="5" t="str">
        <f t="shared" si="36"/>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 t="shared" si="37"/>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 t="shared" si="38"/>
        <v/>
      </c>
      <c r="N216" s="339" t="str" cm="1">
        <f t="array" ref="N216">IF(AND(
    SUMPRODUCT(
        (IM!$F$2:$F$2000=A216) *
        ISNUMBER(SEARCH("HUB", IM!$AC$2:$AC$2000)) *
        (IM!$X$2:$X$2000&gt;=$A$1) *
        (IM!$X$2:$X$2000&lt;=$B$1)*(W216="HUB")
    ) &gt; 0
), "HUB", "")</f>
        <v/>
      </c>
      <c r="O216" s="371" t="str">
        <f t="shared" si="42"/>
        <v>未到店</v>
      </c>
      <c r="P216" s="238" t="str">
        <f t="shared" si="39"/>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 t="shared" si="40"/>
        <v>2</v>
      </c>
      <c r="U216" s="355"/>
      <c r="V216" s="373">
        <f t="shared" si="41"/>
        <v>2</v>
      </c>
      <c r="W216" s="360" t="str">
        <f>IF(VLOOKUP(A216,'0919門市清單主檔'!B:E,4,FALSE)=0,"",VLOOKUP(A216,'0919門市清單主檔'!B:E,4,FALSE))</f>
        <v/>
      </c>
      <c r="X216" s="3" t="s">
        <v>4370</v>
      </c>
      <c r="Y216" s="5" t="s">
        <v>4371</v>
      </c>
      <c r="Z216" s="5" t="str">
        <f t="shared" si="36"/>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 t="shared" si="37"/>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 t="shared" si="38"/>
        <v/>
      </c>
      <c r="N217" s="339" t="str" cm="1">
        <f t="array" ref="N217">IF(AND(
    SUMPRODUCT(
        (IM!$F$2:$F$2000=A217) *
        ISNUMBER(SEARCH("HUB", IM!$AC$2:$AC$2000)) *
        (IM!$X$2:$X$2000&gt;=$A$1) *
        (IM!$X$2:$X$2000&lt;=$B$1)*(W217="HUB")
    ) &gt; 0
), "HUB", "")</f>
        <v/>
      </c>
      <c r="O217" s="371" t="str">
        <f t="shared" si="42"/>
        <v>未到店</v>
      </c>
      <c r="P217" s="238" t="str">
        <f t="shared" si="39"/>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 t="shared" si="40"/>
        <v>2</v>
      </c>
      <c r="U217" s="355"/>
      <c r="V217" s="373">
        <f t="shared" si="41"/>
        <v>2</v>
      </c>
      <c r="W217" s="360" t="str">
        <f>IF(VLOOKUP(A217,'0919門市清單主檔'!B:E,4,FALSE)=0,"",VLOOKUP(A217,'0919門市清單主檔'!B:E,4,FALSE))</f>
        <v/>
      </c>
      <c r="X217" s="3" t="s">
        <v>4364</v>
      </c>
      <c r="Y217" s="5" t="s">
        <v>4365</v>
      </c>
      <c r="Z217" s="5" t="str">
        <f t="shared" si="36"/>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 t="shared" si="37"/>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 t="shared" si="38"/>
        <v/>
      </c>
      <c r="N218" s="339" t="str" cm="1">
        <f t="array" ref="N218">IF(AND(
    SUMPRODUCT(
        (IM!$F$2:$F$2000=A218) *
        ISNUMBER(SEARCH("HUB", IM!$AC$2:$AC$2000)) *
        (IM!$X$2:$X$2000&gt;=$A$1) *
        (IM!$X$2:$X$2000&lt;=$B$1)*(W218="HUB")
    ) &gt; 0
), "HUB", "")</f>
        <v/>
      </c>
      <c r="O218" s="371" t="str">
        <f t="shared" si="42"/>
        <v>未到店</v>
      </c>
      <c r="P218" s="238" t="str">
        <f t="shared" si="39"/>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 t="shared" si="40"/>
        <v>2</v>
      </c>
      <c r="U218" s="355"/>
      <c r="V218" s="373">
        <f t="shared" si="41"/>
        <v>2</v>
      </c>
      <c r="W218" s="360" t="str">
        <f>IF(VLOOKUP(A218,'0919門市清單主檔'!B:E,4,FALSE)=0,"",VLOOKUP(A218,'0919門市清單主檔'!B:E,4,FALSE))</f>
        <v/>
      </c>
      <c r="X218" s="3" t="s">
        <v>4390</v>
      </c>
      <c r="Y218" s="5" t="s">
        <v>4391</v>
      </c>
      <c r="Z218" s="5" t="str">
        <f t="shared" si="36"/>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 t="shared" si="37"/>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 t="shared" si="38"/>
        <v/>
      </c>
      <c r="N219" s="339" t="str" cm="1">
        <f t="array" ref="N219">IF(AND(
    SUMPRODUCT(
        (IM!$F$2:$F$2000=A219) *
        ISNUMBER(SEARCH("HUB", IM!$AC$2:$AC$2000)) *
        (IM!$X$2:$X$2000&gt;=$A$1) *
        (IM!$X$2:$X$2000&lt;=$B$1)*(W219="HUB")
    ) &gt; 0
), "HUB", "")</f>
        <v/>
      </c>
      <c r="O219" s="371" t="str">
        <f t="shared" si="42"/>
        <v>未到店</v>
      </c>
      <c r="P219" s="238" t="str">
        <f t="shared" si="39"/>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 t="shared" si="40"/>
        <v>0</v>
      </c>
      <c r="U219" s="355"/>
      <c r="V219" s="373">
        <f t="shared" si="41"/>
        <v>0</v>
      </c>
      <c r="W219" s="360" t="str">
        <f>IF(VLOOKUP(A219,'0919門市清單主檔'!B:E,4,FALSE)=0,"",VLOOKUP(A219,'0919門市清單主檔'!B:E,4,FALSE))</f>
        <v/>
      </c>
      <c r="Y219" s="5"/>
      <c r="Z219" s="5" t="str">
        <f t="shared" si="36"/>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 t="shared" si="37"/>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 t="shared" si="38"/>
        <v/>
      </c>
      <c r="N220" s="339" t="str" cm="1">
        <f t="array" ref="N220">IF(AND(
    SUMPRODUCT(
        (IM!$F$2:$F$2000=A220) *
        ISNUMBER(SEARCH("HUB", IM!$AC$2:$AC$2000)) *
        (IM!$X$2:$X$2000&gt;=$A$1) *
        (IM!$X$2:$X$2000&lt;=$B$1)*(W220="HUB")
    ) &gt; 0
), "HUB", "")</f>
        <v/>
      </c>
      <c r="O220" s="371" t="str">
        <f t="shared" si="42"/>
        <v>未到店</v>
      </c>
      <c r="P220" s="238" t="str">
        <f t="shared" si="39"/>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 t="shared" si="40"/>
        <v>2</v>
      </c>
      <c r="U220" s="355"/>
      <c r="V220" s="373">
        <f t="shared" si="41"/>
        <v>2</v>
      </c>
      <c r="W220" s="360" t="str">
        <f>IF(VLOOKUP(A220,'0919門市清單主檔'!B:E,4,FALSE)=0,"",VLOOKUP(A220,'0919門市清單主檔'!B:E,4,FALSE))</f>
        <v/>
      </c>
      <c r="X220" s="3" t="s">
        <v>4388</v>
      </c>
      <c r="Y220" s="5" t="s">
        <v>4389</v>
      </c>
      <c r="Z220" s="5" t="str">
        <f t="shared" si="36"/>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 t="shared" si="37"/>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 t="shared" si="38"/>
        <v/>
      </c>
      <c r="N221" s="339" t="str" cm="1">
        <f t="array" ref="N221">IF(AND(
    SUMPRODUCT(
        (IM!$F$2:$F$2000=A221) *
        ISNUMBER(SEARCH("HUB", IM!$AC$2:$AC$2000)) *
        (IM!$X$2:$X$2000&gt;=$A$1) *
        (IM!$X$2:$X$2000&lt;=$B$1)*(W221="HUB")
    ) &gt; 0
), "HUB", "")</f>
        <v/>
      </c>
      <c r="O221" s="371" t="str">
        <f t="shared" si="42"/>
        <v>未到店</v>
      </c>
      <c r="P221" s="238" t="str">
        <f t="shared" si="39"/>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 t="shared" si="40"/>
        <v>0</v>
      </c>
      <c r="U221" s="355"/>
      <c r="V221" s="373">
        <f t="shared" si="41"/>
        <v>0</v>
      </c>
      <c r="W221" s="360" t="str">
        <f>IF(VLOOKUP(A221,'0919門市清單主檔'!B:E,4,FALSE)=0,"",VLOOKUP(A221,'0919門市清單主檔'!B:E,4,FALSE))</f>
        <v/>
      </c>
      <c r="Y221" s="5"/>
      <c r="Z221" s="5" t="str">
        <f t="shared" si="36"/>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 t="shared" si="37"/>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 t="shared" si="38"/>
        <v/>
      </c>
      <c r="N222" s="339" t="str" cm="1">
        <f t="array" ref="N222">IF(AND(
    SUMPRODUCT(
        (IM!$F$2:$F$2000=A222) *
        ISNUMBER(SEARCH("HUB", IM!$AC$2:$AC$2000)) *
        (IM!$X$2:$X$2000&gt;=$A$1) *
        (IM!$X$2:$X$2000&lt;=$B$1)*(W222="HUB")
    ) &gt; 0
), "HUB", "")</f>
        <v/>
      </c>
      <c r="O222" s="371" t="str">
        <f t="shared" si="42"/>
        <v>未到店</v>
      </c>
      <c r="P222" s="238" t="str">
        <f t="shared" si="39"/>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 t="shared" si="40"/>
        <v>0</v>
      </c>
      <c r="U222" s="355"/>
      <c r="V222" s="373">
        <f t="shared" si="41"/>
        <v>0</v>
      </c>
      <c r="W222" s="360" t="str">
        <f>IF(VLOOKUP(A222,'0919門市清單主檔'!B:E,4,FALSE)=0,"",VLOOKUP(A222,'0919門市清單主檔'!B:E,4,FALSE))</f>
        <v/>
      </c>
      <c r="X222" s="3"/>
      <c r="Z222" s="5" t="str">
        <f t="shared" si="36"/>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 t="shared" si="37"/>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 t="shared" si="38"/>
        <v/>
      </c>
      <c r="N223" s="339" t="str" cm="1">
        <f t="array" ref="N223">IF(AND(
    SUMPRODUCT(
        (IM!$F$2:$F$2000=A223) *
        ISNUMBER(SEARCH("HUB", IM!$AC$2:$AC$2000)) *
        (IM!$X$2:$X$2000&gt;=$A$1) *
        (IM!$X$2:$X$2000&lt;=$B$1)*(W223="HUB")
    ) &gt; 0
), "HUB", "")</f>
        <v/>
      </c>
      <c r="O223" s="371" t="str">
        <f t="shared" si="42"/>
        <v>未到店</v>
      </c>
      <c r="P223" s="238" t="str">
        <f t="shared" si="39"/>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 t="shared" si="40"/>
        <v>1</v>
      </c>
      <c r="U223" s="355"/>
      <c r="V223" s="373">
        <f t="shared" si="41"/>
        <v>1</v>
      </c>
      <c r="W223" s="360" t="str">
        <f>IF(VLOOKUP(A223,'0919門市清單主檔'!B:E,4,FALSE)=0,"",VLOOKUP(A223,'0919門市清單主檔'!B:E,4,FALSE))</f>
        <v/>
      </c>
      <c r="X223" s="3" t="s">
        <v>4392</v>
      </c>
      <c r="Z223" s="5" t="str">
        <f t="shared" si="36"/>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 t="shared" si="37"/>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 t="shared" si="38"/>
        <v/>
      </c>
      <c r="N224" s="339" t="str" cm="1">
        <f t="array" ref="N224">IF(AND(
    SUMPRODUCT(
        (IM!$F$2:$F$2000=A224) *
        ISNUMBER(SEARCH("HUB", IM!$AC$2:$AC$2000)) *
        (IM!$X$2:$X$2000&gt;=$A$1) *
        (IM!$X$2:$X$2000&lt;=$B$1)*(W224="HUB")
    ) &gt; 0
), "HUB", "")</f>
        <v/>
      </c>
      <c r="O224" s="371" t="str">
        <f t="shared" si="42"/>
        <v>未到店</v>
      </c>
      <c r="P224" s="238" t="str">
        <f t="shared" si="39"/>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 t="shared" si="40"/>
        <v>1</v>
      </c>
      <c r="U224" s="355"/>
      <c r="V224" s="373">
        <f t="shared" si="41"/>
        <v>1</v>
      </c>
      <c r="W224" s="360" t="str">
        <f>IF(VLOOKUP(A224,'0919門市清單主檔'!B:E,4,FALSE)=0,"",VLOOKUP(A224,'0919門市清單主檔'!B:E,4,FALSE))</f>
        <v/>
      </c>
      <c r="X224" s="242" t="s">
        <v>4393</v>
      </c>
      <c r="Z224" s="243" t="str">
        <f t="shared" si="36"/>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 t="shared" si="37"/>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 t="shared" si="38"/>
        <v/>
      </c>
      <c r="N225" s="339" t="str" cm="1">
        <f t="array" ref="N225">IF(AND(
    SUMPRODUCT(
        (IM!$F$2:$F$2000=A225) *
        ISNUMBER(SEARCH("HUB", IM!$AC$2:$AC$2000)) *
        (IM!$X$2:$X$2000&gt;=$A$1) *
        (IM!$X$2:$X$2000&lt;=$B$1)*(W225="HUB")
    ) &gt; 0
), "HUB", "")</f>
        <v/>
      </c>
      <c r="O225" s="371" t="str">
        <f t="shared" si="42"/>
        <v>未到店</v>
      </c>
      <c r="P225" s="238" t="str">
        <f t="shared" si="39"/>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 t="shared" si="40"/>
        <v>0</v>
      </c>
      <c r="U225" s="362"/>
      <c r="V225" s="373">
        <f t="shared" si="41"/>
        <v>0</v>
      </c>
      <c r="W225" s="360" t="str">
        <f>IF(VLOOKUP(A225,'0919門市清單主檔'!B:E,4,FALSE)=0,"",VLOOKUP(A225,'0919門市清單主檔'!B:E,4,FALSE))</f>
        <v/>
      </c>
      <c r="X225" s="242"/>
      <c r="Z225" s="243" t="str">
        <f t="shared" si="36"/>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 t="shared" si="37"/>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 t="shared" si="38"/>
        <v/>
      </c>
      <c r="N226" s="340" t="str" cm="1">
        <f t="array" ref="N226">IF(AND(
    SUMPRODUCT(
        (IM!$F$2:$F$2000=A226) *
        ISNUMBER(SEARCH("HUB", IM!$AC$2:$AC$2000)) *
        (IM!$X$2:$X$2000&gt;=$A$1) *
        (IM!$X$2:$X$2000&lt;=$B$1)*(W226="HUB")
    ) &gt; 0
), "HUB", "")</f>
        <v/>
      </c>
      <c r="O226" s="371" t="str">
        <f t="shared" si="42"/>
        <v>未到店</v>
      </c>
      <c r="P226" s="239" t="str">
        <f t="shared" si="39"/>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 t="shared" si="40"/>
        <v>0</v>
      </c>
      <c r="U226" s="366"/>
      <c r="V226" s="373">
        <f t="shared" si="41"/>
        <v>0</v>
      </c>
      <c r="W226" s="367" t="str">
        <f>IF(VLOOKUP(A226,'0919門市清單主檔'!B:E,4,FALSE)=0,"",VLOOKUP(A226,'0919門市清單主檔'!B:E,4,FALSE))</f>
        <v/>
      </c>
      <c r="X226" s="242"/>
      <c r="Z226" s="243" t="str">
        <f t="shared" si="36"/>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88" priority="51">
      <formula>F15="撤店"</formula>
    </cfRule>
  </conditionalFormatting>
  <conditionalFormatting sqref="K15:K25 K27:K222 K227:K303">
    <cfRule type="expression" dxfId="87" priority="50">
      <formula>K15&gt;2</formula>
    </cfRule>
  </conditionalFormatting>
  <conditionalFormatting sqref="I227:I303">
    <cfRule type="expression" dxfId="86" priority="44">
      <formula>AND(I227&lt;&gt;"", OR(M227="", O227=""))</formula>
    </cfRule>
    <cfRule type="expression" dxfId="85" priority="46">
      <formula>AND(K227&gt;0, ISBLANK(I227))</formula>
    </cfRule>
  </conditionalFormatting>
  <conditionalFormatting sqref="M227:M1048576">
    <cfRule type="expression" dxfId="84" priority="42">
      <formula>VLOOKUP(A227,#REF!,9,FALSE)="異常"</formula>
    </cfRule>
  </conditionalFormatting>
  <conditionalFormatting sqref="A220">
    <cfRule type="expression" dxfId="83" priority="39">
      <formula>F220="撤店"</formula>
    </cfRule>
  </conditionalFormatting>
  <conditionalFormatting sqref="A26">
    <cfRule type="expression" dxfId="82" priority="31">
      <formula>F26="撤店"</formula>
    </cfRule>
  </conditionalFormatting>
  <conditionalFormatting sqref="K26">
    <cfRule type="expression" dxfId="81" priority="30">
      <formula>K26&gt;2</formula>
    </cfRule>
  </conditionalFormatting>
  <conditionalFormatting sqref="O15:O226">
    <cfRule type="expression" dxfId="80" priority="3">
      <formula>O15="已維修完工"</formula>
    </cfRule>
    <cfRule type="expression" dxfId="79" priority="4">
      <formula>O15="HUB異常"</formula>
    </cfRule>
    <cfRule type="expression" dxfId="78" priority="27">
      <formula>O15="完工"</formula>
    </cfRule>
    <cfRule type="expression" dxfId="77" priority="28">
      <formula>O15="STAR異常"</formula>
    </cfRule>
    <cfRule type="expression" dxfId="62" priority="1">
      <formula>O15="完工已補裝"</formula>
    </cfRule>
  </conditionalFormatting>
  <conditionalFormatting sqref="A224">
    <cfRule type="expression" dxfId="76" priority="26">
      <formula>F224="撤店"</formula>
    </cfRule>
  </conditionalFormatting>
  <conditionalFormatting sqref="K224">
    <cfRule type="expression" dxfId="75" priority="25">
      <formula>K224&gt;2</formula>
    </cfRule>
  </conditionalFormatting>
  <conditionalFormatting sqref="A223">
    <cfRule type="expression" dxfId="74" priority="17">
      <formula>F223="撤店"</formula>
    </cfRule>
  </conditionalFormatting>
  <conditionalFormatting sqref="K223">
    <cfRule type="expression" dxfId="73" priority="16">
      <formula>K223&gt;2</formula>
    </cfRule>
  </conditionalFormatting>
  <conditionalFormatting sqref="S15:S224">
    <cfRule type="expression" dxfId="72" priority="12">
      <formula>S15&lt;&gt;I15</formula>
    </cfRule>
  </conditionalFormatting>
  <conditionalFormatting sqref="A225:A226">
    <cfRule type="expression" dxfId="71" priority="7">
      <formula>F225="撤店"</formula>
    </cfRule>
  </conditionalFormatting>
  <conditionalFormatting sqref="K225:K226">
    <cfRule type="expression" dxfId="70" priority="6">
      <formula>K225&gt;2</formula>
    </cfRule>
  </conditionalFormatting>
  <conditionalFormatting sqref="S225:S226">
    <cfRule type="expression" dxfId="69" priority="5">
      <formula>S225&lt;&gt;I225</formula>
    </cfRule>
  </conditionalFormatting>
  <conditionalFormatting sqref="I225:I226">
    <cfRule type="expression" dxfId="68" priority="486">
      <formula>AND(I225&lt;&gt;"", OR(#REF!="", Q225=""))</formula>
    </cfRule>
  </conditionalFormatting>
  <conditionalFormatting sqref="I15:I25 I221:I222 I27:I219">
    <cfRule type="expression" dxfId="67" priority="489">
      <formula>AND(I15&lt;&gt;"", OR(#REF!="", Q15=""))</formula>
    </cfRule>
    <cfRule type="expression" dxfId="66" priority="490">
      <formula>AND(K15&gt;0, ISBLANK(I15))</formula>
    </cfRule>
  </conditionalFormatting>
  <conditionalFormatting sqref="I220 I224 I26">
    <cfRule type="expression" dxfId="65" priority="495">
      <formula>AND(I26&lt;&gt;"", OR(#REF!="", Q26=""))</formula>
    </cfRule>
    <cfRule type="expression" dxfId="64" priority="496">
      <formula>AND(K26&gt;0, ISBLANK(I26))</formula>
    </cfRule>
  </conditionalFormatting>
  <conditionalFormatting sqref="B4">
    <cfRule type="expression" dxfId="63" priority="2">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157</xdr:row>
                    <xdr:rowOff>167640</xdr:rowOff>
                  </from>
                  <to>
                    <xdr:col>7</xdr:col>
                    <xdr:colOff>53340</xdr:colOff>
                    <xdr:row>159</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63.2%</v>
      </c>
      <c r="B4" s="303">
        <f>門市主檔!B8</f>
        <v>134</v>
      </c>
      <c r="C4" s="303">
        <f>門市主檔!B9</f>
        <v>76</v>
      </c>
      <c r="D4" s="309">
        <f>COUNTIF(門市主檔!N15:N300,"HUB")</f>
        <v>2</v>
      </c>
      <c r="E4" s="309" t="str">
        <f>ROUND(門市主檔!B13*100,1)&amp;"%"</f>
        <v>44.7%</v>
      </c>
      <c r="F4" s="303">
        <f>門市主檔!B10</f>
        <v>72</v>
      </c>
      <c r="G4" s="303">
        <f>門市主檔!B11</f>
        <v>89</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85"/>
  <sheetViews>
    <sheetView topLeftCell="S1" zoomScaleNormal="100" workbookViewId="0">
      <pane ySplit="1" topLeftCell="A567" activePane="bottomLeft" state="frozen"/>
      <selection activeCell="H5" sqref="H5"/>
      <selection pane="bottomLeft" activeCell="AN573" sqref="AN573"/>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7442</v>
      </c>
      <c r="E566" s="28" t="s">
        <v>5035</v>
      </c>
      <c r="F566" s="28">
        <v>2349</v>
      </c>
      <c r="G566" s="28" t="s">
        <v>4083</v>
      </c>
      <c r="H566" s="28" t="s">
        <v>1747</v>
      </c>
      <c r="I566" s="28" t="s">
        <v>7443</v>
      </c>
      <c r="J566" s="28" t="s">
        <v>5299</v>
      </c>
      <c r="K566" s="28" t="s">
        <v>5039</v>
      </c>
      <c r="L566" s="28" t="s">
        <v>5068</v>
      </c>
      <c r="M566" s="29" t="s">
        <v>1723</v>
      </c>
      <c r="N566" s="28">
        <v>2306</v>
      </c>
      <c r="O566" s="29" t="s">
        <v>5541</v>
      </c>
      <c r="P566" s="30" t="s">
        <v>7444</v>
      </c>
      <c r="Q566" s="28" t="s">
        <v>6195</v>
      </c>
      <c r="R566" s="28" t="s">
        <v>52</v>
      </c>
      <c r="S566" s="28" t="s">
        <v>4110</v>
      </c>
      <c r="T566" s="28">
        <v>1</v>
      </c>
      <c r="U566" s="28" t="s">
        <v>1719</v>
      </c>
      <c r="V566" s="28" t="s">
        <v>7445</v>
      </c>
      <c r="W566" s="28" t="s">
        <v>7446</v>
      </c>
      <c r="X566" s="135">
        <v>45796.468055555553</v>
      </c>
      <c r="Y566" s="28" t="s">
        <v>7447</v>
      </c>
      <c r="Z566" s="28">
        <v>0.5</v>
      </c>
      <c r="AA566" s="28"/>
      <c r="AB566" s="28" t="s">
        <v>1720</v>
      </c>
      <c r="AC566" s="30" t="s">
        <v>7448</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7449</v>
      </c>
      <c r="W567" s="31" t="s">
        <v>7450</v>
      </c>
      <c r="X567" s="211">
        <v>45796.555555555555</v>
      </c>
      <c r="Y567" s="31"/>
      <c r="Z567" s="31">
        <v>0.3</v>
      </c>
      <c r="AA567" s="31"/>
      <c r="AB567" s="31" t="s">
        <v>1720</v>
      </c>
      <c r="AC567" s="33" t="s">
        <v>7452</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7453</v>
      </c>
      <c r="W568" s="28" t="s">
        <v>7451</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7454</v>
      </c>
      <c r="W569" s="31" t="s">
        <v>7455</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row r="570" spans="1:39" s="27" customFormat="1" ht="21.6" customHeight="1">
      <c r="A570" s="31">
        <v>96</v>
      </c>
      <c r="B570" s="31" t="s">
        <v>5033</v>
      </c>
      <c r="C570" s="31">
        <v>2025052699</v>
      </c>
      <c r="D570" s="31" t="s">
        <v>7456</v>
      </c>
      <c r="E570" s="31" t="s">
        <v>5035</v>
      </c>
      <c r="F570" s="31" t="s">
        <v>38</v>
      </c>
      <c r="G570" s="31" t="s">
        <v>4121</v>
      </c>
      <c r="H570" s="31" t="s">
        <v>1747</v>
      </c>
      <c r="I570" s="31" t="s">
        <v>7457</v>
      </c>
      <c r="J570" s="31" t="s">
        <v>5252</v>
      </c>
      <c r="K570" s="31" t="s">
        <v>5067</v>
      </c>
      <c r="L570" s="31" t="s">
        <v>5068</v>
      </c>
      <c r="M570" s="32" t="s">
        <v>1723</v>
      </c>
      <c r="N570" s="31">
        <v>2305</v>
      </c>
      <c r="O570" s="32" t="s">
        <v>5069</v>
      </c>
      <c r="P570" s="33" t="s">
        <v>7458</v>
      </c>
      <c r="Q570" s="31" t="s">
        <v>5439</v>
      </c>
      <c r="R570" s="31" t="s">
        <v>52</v>
      </c>
      <c r="S570" s="31" t="s">
        <v>4110</v>
      </c>
      <c r="T570" s="31">
        <v>1</v>
      </c>
      <c r="U570" s="31" t="s">
        <v>1719</v>
      </c>
      <c r="V570" s="31" t="s">
        <v>7459</v>
      </c>
      <c r="W570" s="31" t="s">
        <v>7460</v>
      </c>
      <c r="X570" s="211">
        <v>45797.440972222219</v>
      </c>
      <c r="Y570" s="31" t="s">
        <v>7461</v>
      </c>
      <c r="Z570" s="31">
        <v>0.5</v>
      </c>
      <c r="AA570" s="31"/>
      <c r="AB570" s="31" t="s">
        <v>1720</v>
      </c>
      <c r="AC570" s="33" t="s">
        <v>7462</v>
      </c>
      <c r="AD570" s="31"/>
      <c r="AE570" s="31"/>
      <c r="AF570" s="31"/>
      <c r="AG570" s="31"/>
      <c r="AH570" s="31"/>
      <c r="AI570" s="31"/>
      <c r="AJ570" s="31"/>
      <c r="AK570" s="31" t="s">
        <v>1721</v>
      </c>
      <c r="AL570" s="325">
        <f t="shared" ref="AL570:AL575" si="32">DATEVALUE(TEXT(I570, "yyyy/mm/dd"))</f>
        <v>45797</v>
      </c>
      <c r="AM570"/>
    </row>
    <row r="571" spans="1:39" s="27" customFormat="1" ht="21.6" customHeight="1">
      <c r="A571" s="28">
        <v>97</v>
      </c>
      <c r="B571" s="28" t="s">
        <v>5033</v>
      </c>
      <c r="C571" s="28">
        <v>2025052703</v>
      </c>
      <c r="D571" s="28" t="s">
        <v>7463</v>
      </c>
      <c r="E571" s="28" t="s">
        <v>5035</v>
      </c>
      <c r="F571" s="28" t="s">
        <v>22</v>
      </c>
      <c r="G571" s="28" t="s">
        <v>1559</v>
      </c>
      <c r="H571" s="28" t="s">
        <v>1747</v>
      </c>
      <c r="I571" s="28" t="s">
        <v>7464</v>
      </c>
      <c r="J571" s="28" t="s">
        <v>5252</v>
      </c>
      <c r="K571" s="28" t="s">
        <v>5451</v>
      </c>
      <c r="L571" s="28" t="s">
        <v>5040</v>
      </c>
      <c r="M571" s="29" t="s">
        <v>4057</v>
      </c>
      <c r="N571" s="28">
        <v>2501</v>
      </c>
      <c r="O571" s="29" t="s">
        <v>5041</v>
      </c>
      <c r="P571" s="30" t="s">
        <v>7465</v>
      </c>
      <c r="Q571" s="28" t="s">
        <v>5926</v>
      </c>
      <c r="R571" s="28" t="s">
        <v>52</v>
      </c>
      <c r="S571" s="28" t="s">
        <v>4110</v>
      </c>
      <c r="T571" s="28">
        <v>1</v>
      </c>
      <c r="U571" s="28" t="s">
        <v>1719</v>
      </c>
      <c r="V571" s="28" t="s">
        <v>7466</v>
      </c>
      <c r="W571" s="28" t="s">
        <v>7467</v>
      </c>
      <c r="X571" s="135">
        <v>45797.651388888888</v>
      </c>
      <c r="Y571" s="28" t="s">
        <v>7468</v>
      </c>
      <c r="Z571" s="28">
        <v>0.5</v>
      </c>
      <c r="AA571" s="28"/>
      <c r="AB571" s="28" t="s">
        <v>1720</v>
      </c>
      <c r="AC571" s="30" t="s">
        <v>7469</v>
      </c>
      <c r="AD571" s="28"/>
      <c r="AE571" s="28"/>
      <c r="AF571" s="28"/>
      <c r="AG571" s="28"/>
      <c r="AH571" s="28"/>
      <c r="AI571" s="28"/>
      <c r="AJ571" s="28"/>
      <c r="AK571" s="28" t="s">
        <v>1721</v>
      </c>
      <c r="AL571" s="325">
        <f t="shared" si="32"/>
        <v>45797</v>
      </c>
      <c r="AM571"/>
    </row>
    <row r="572" spans="1:39" s="27" customFormat="1" ht="21.6" customHeight="1">
      <c r="A572" s="31">
        <v>98</v>
      </c>
      <c r="B572" s="31" t="s">
        <v>5033</v>
      </c>
      <c r="C572" s="31">
        <v>2025052717</v>
      </c>
      <c r="D572" s="31" t="s">
        <v>7470</v>
      </c>
      <c r="E572" s="31" t="s">
        <v>5035</v>
      </c>
      <c r="F572" s="31">
        <v>3380</v>
      </c>
      <c r="G572" s="31" t="s">
        <v>182</v>
      </c>
      <c r="H572" s="31" t="s">
        <v>1748</v>
      </c>
      <c r="I572" s="31" t="s">
        <v>7471</v>
      </c>
      <c r="J572" s="31" t="s">
        <v>5252</v>
      </c>
      <c r="K572" s="31" t="s">
        <v>5067</v>
      </c>
      <c r="L572" s="31" t="s">
        <v>5261</v>
      </c>
      <c r="M572" s="32" t="s">
        <v>5262</v>
      </c>
      <c r="N572" s="31">
        <v>5802</v>
      </c>
      <c r="O572" s="32" t="s">
        <v>7472</v>
      </c>
      <c r="P572" s="33" t="s">
        <v>7473</v>
      </c>
      <c r="Q572" s="31" t="s">
        <v>5410</v>
      </c>
      <c r="R572" s="31" t="s">
        <v>52</v>
      </c>
      <c r="S572" s="31" t="s">
        <v>16</v>
      </c>
      <c r="T572" s="31">
        <v>1</v>
      </c>
      <c r="U572" s="31" t="s">
        <v>1719</v>
      </c>
      <c r="V572" s="31" t="s">
        <v>7474</v>
      </c>
      <c r="W572" s="31" t="s">
        <v>7475</v>
      </c>
      <c r="X572" s="211">
        <v>45797.583333333336</v>
      </c>
      <c r="Y572" s="31" t="s">
        <v>7477</v>
      </c>
      <c r="Z572" s="31">
        <v>1</v>
      </c>
      <c r="AA572" s="31"/>
      <c r="AB572" s="31" t="s">
        <v>1720</v>
      </c>
      <c r="AC572" s="33" t="s">
        <v>7478</v>
      </c>
      <c r="AD572" s="31"/>
      <c r="AE572" s="31"/>
      <c r="AF572" s="31"/>
      <c r="AG572" s="31"/>
      <c r="AH572" s="31"/>
      <c r="AI572" s="31"/>
      <c r="AJ572" s="31"/>
      <c r="AK572" s="31" t="s">
        <v>1721</v>
      </c>
      <c r="AL572" s="325">
        <f t="shared" si="32"/>
        <v>45797</v>
      </c>
      <c r="AM572"/>
    </row>
    <row r="573" spans="1:39" s="27" customFormat="1" ht="21.6" customHeight="1">
      <c r="A573" s="28">
        <v>99</v>
      </c>
      <c r="B573" s="28" t="s">
        <v>1724</v>
      </c>
      <c r="C573" s="28">
        <v>2025052744</v>
      </c>
      <c r="D573" s="28"/>
      <c r="E573" s="28"/>
      <c r="F573" s="28" t="s">
        <v>34</v>
      </c>
      <c r="G573" s="28" t="s">
        <v>653</v>
      </c>
      <c r="H573" s="28" t="s">
        <v>1722</v>
      </c>
      <c r="I573" s="28"/>
      <c r="J573" s="28"/>
      <c r="K573" s="28"/>
      <c r="L573" s="28"/>
      <c r="M573" s="29"/>
      <c r="N573" s="28"/>
      <c r="O573" s="29"/>
      <c r="P573" s="30"/>
      <c r="Q573" s="28" t="s">
        <v>5390</v>
      </c>
      <c r="R573" s="28" t="s">
        <v>52</v>
      </c>
      <c r="S573" s="28" t="s">
        <v>1157</v>
      </c>
      <c r="T573" s="28">
        <v>1</v>
      </c>
      <c r="U573" s="28" t="s">
        <v>1719</v>
      </c>
      <c r="V573" s="28" t="s">
        <v>7479</v>
      </c>
      <c r="W573" s="28" t="s">
        <v>7480</v>
      </c>
      <c r="X573" s="135">
        <v>45797.510416666664</v>
      </c>
      <c r="Y573" s="28"/>
      <c r="Z573" s="28">
        <v>0.6</v>
      </c>
      <c r="AA573" s="28"/>
      <c r="AB573" s="28" t="s">
        <v>1720</v>
      </c>
      <c r="AC573" s="30" t="s">
        <v>5051</v>
      </c>
      <c r="AD573" s="28" t="s">
        <v>1721</v>
      </c>
      <c r="AE573" s="28"/>
      <c r="AF573" s="28"/>
      <c r="AG573" s="28"/>
      <c r="AH573" s="28"/>
      <c r="AI573" s="28"/>
      <c r="AJ573" s="28" t="s">
        <v>1721</v>
      </c>
      <c r="AK573" s="28" t="s">
        <v>1721</v>
      </c>
      <c r="AL573" s="325" t="e">
        <f t="shared" si="32"/>
        <v>#VALUE!</v>
      </c>
      <c r="AM573"/>
    </row>
    <row r="574" spans="1:39" s="27" customFormat="1" ht="21.6" customHeight="1">
      <c r="A574" s="31">
        <v>100</v>
      </c>
      <c r="B574" s="31" t="s">
        <v>1724</v>
      </c>
      <c r="C574" s="31">
        <v>2025052788</v>
      </c>
      <c r="D574" s="31"/>
      <c r="E574" s="31"/>
      <c r="F574" s="31">
        <v>4260</v>
      </c>
      <c r="G574" s="31" t="s">
        <v>7481</v>
      </c>
      <c r="H574" s="31" t="s">
        <v>1747</v>
      </c>
      <c r="I574" s="31"/>
      <c r="J574" s="31"/>
      <c r="K574" s="31"/>
      <c r="L574" s="31"/>
      <c r="M574" s="32"/>
      <c r="N574" s="31"/>
      <c r="O574" s="32"/>
      <c r="P574" s="33"/>
      <c r="Q574" s="31" t="s">
        <v>5078</v>
      </c>
      <c r="R574" s="31" t="s">
        <v>52</v>
      </c>
      <c r="S574" s="31" t="s">
        <v>4110</v>
      </c>
      <c r="T574" s="31">
        <v>1</v>
      </c>
      <c r="U574" s="31" t="s">
        <v>1719</v>
      </c>
      <c r="V574" s="31" t="s">
        <v>7482</v>
      </c>
      <c r="W574" s="31" t="s">
        <v>7476</v>
      </c>
      <c r="X574" s="211">
        <v>45797.625694444447</v>
      </c>
      <c r="Y574" s="31"/>
      <c r="Z574" s="31">
        <v>1</v>
      </c>
      <c r="AA574" s="31"/>
      <c r="AB574" s="31" t="s">
        <v>1720</v>
      </c>
      <c r="AC574" s="33" t="s">
        <v>7483</v>
      </c>
      <c r="AD574" s="31"/>
      <c r="AE574" s="31" t="s">
        <v>1721</v>
      </c>
      <c r="AF574" s="31"/>
      <c r="AG574" s="31"/>
      <c r="AH574" s="31"/>
      <c r="AI574" s="31"/>
      <c r="AJ574" s="31"/>
      <c r="AK574" s="31" t="s">
        <v>1721</v>
      </c>
      <c r="AL574" s="325" t="e">
        <f t="shared" si="32"/>
        <v>#VALUE!</v>
      </c>
      <c r="AM574"/>
    </row>
    <row r="575" spans="1:39" s="27" customFormat="1" ht="21.6" customHeight="1">
      <c r="A575" s="28">
        <v>101</v>
      </c>
      <c r="B575" s="28" t="s">
        <v>1724</v>
      </c>
      <c r="C575" s="28">
        <v>2025052820</v>
      </c>
      <c r="D575" s="28"/>
      <c r="E575" s="28"/>
      <c r="F575" s="28" t="s">
        <v>22</v>
      </c>
      <c r="G575" s="28" t="s">
        <v>1559</v>
      </c>
      <c r="H575" s="28" t="s">
        <v>1747</v>
      </c>
      <c r="I575" s="28"/>
      <c r="J575" s="28"/>
      <c r="K575" s="28"/>
      <c r="L575" s="28"/>
      <c r="M575" s="29"/>
      <c r="N575" s="28"/>
      <c r="O575" s="29"/>
      <c r="P575" s="29"/>
      <c r="Q575" s="28" t="s">
        <v>5926</v>
      </c>
      <c r="R575" s="28" t="s">
        <v>52</v>
      </c>
      <c r="S575" s="28" t="s">
        <v>4110</v>
      </c>
      <c r="T575" s="28">
        <v>1</v>
      </c>
      <c r="U575" s="28" t="s">
        <v>1719</v>
      </c>
      <c r="V575" s="28" t="s">
        <v>7484</v>
      </c>
      <c r="W575" s="28" t="s">
        <v>7485</v>
      </c>
      <c r="X575" s="135">
        <v>45797.682638888888</v>
      </c>
      <c r="Y575" s="28"/>
      <c r="Z575" s="28">
        <v>1.1000000000000001</v>
      </c>
      <c r="AA575" s="28"/>
      <c r="AB575" s="28" t="s">
        <v>1720</v>
      </c>
      <c r="AC575" s="29" t="s">
        <v>5051</v>
      </c>
      <c r="AD575" s="28" t="s">
        <v>1721</v>
      </c>
      <c r="AE575" s="28"/>
      <c r="AF575" s="28"/>
      <c r="AG575" s="28"/>
      <c r="AH575" s="28"/>
      <c r="AI575" s="28"/>
      <c r="AJ575" s="28" t="s">
        <v>1721</v>
      </c>
      <c r="AK575" s="28" t="s">
        <v>1721</v>
      </c>
      <c r="AL575" s="325" t="e">
        <f t="shared" si="32"/>
        <v>#VALUE!</v>
      </c>
      <c r="AM575"/>
    </row>
    <row r="576" spans="1:39" s="27" customFormat="1" ht="21.6" customHeight="1">
      <c r="A576" s="31">
        <v>104</v>
      </c>
      <c r="B576" s="31" t="s">
        <v>1724</v>
      </c>
      <c r="C576" s="31">
        <v>2025052903</v>
      </c>
      <c r="D576" s="31"/>
      <c r="E576" s="31"/>
      <c r="F576" s="31" t="s">
        <v>39</v>
      </c>
      <c r="G576" s="31" t="s">
        <v>649</v>
      </c>
      <c r="H576" s="31" t="s">
        <v>1747</v>
      </c>
      <c r="I576" s="31"/>
      <c r="J576" s="31"/>
      <c r="K576" s="31"/>
      <c r="L576" s="31"/>
      <c r="M576" s="32"/>
      <c r="N576" s="31"/>
      <c r="O576" s="32"/>
      <c r="P576" s="33"/>
      <c r="Q576" s="31" t="s">
        <v>6363</v>
      </c>
      <c r="R576" s="31" t="s">
        <v>52</v>
      </c>
      <c r="S576" s="31" t="s">
        <v>4110</v>
      </c>
      <c r="T576" s="31">
        <v>1</v>
      </c>
      <c r="U576" s="31" t="s">
        <v>1719</v>
      </c>
      <c r="V576" s="31" t="s">
        <v>7486</v>
      </c>
      <c r="W576" s="31" t="s">
        <v>7487</v>
      </c>
      <c r="X576" s="211">
        <v>45798.487500000003</v>
      </c>
      <c r="Y576" s="31"/>
      <c r="Z576" s="31">
        <v>0.9</v>
      </c>
      <c r="AA576" s="31"/>
      <c r="AB576" s="31"/>
      <c r="AC576" s="33" t="s">
        <v>7488</v>
      </c>
      <c r="AD576" s="31"/>
      <c r="AE576" s="31"/>
      <c r="AF576" s="31"/>
      <c r="AG576" s="31"/>
      <c r="AH576" s="31"/>
      <c r="AI576" s="31"/>
      <c r="AJ576" s="31" t="s">
        <v>1721</v>
      </c>
      <c r="AK576" s="31" t="s">
        <v>1721</v>
      </c>
      <c r="AL576" s="325" t="e">
        <f t="shared" ref="AL576:AL585" si="33">DATEVALUE(TEXT(I576, "yyyy/mm/dd"))</f>
        <v>#VALUE!</v>
      </c>
      <c r="AM576"/>
    </row>
    <row r="577" spans="1:39" s="27" customFormat="1" ht="21.6" customHeight="1">
      <c r="A577" s="28">
        <v>105</v>
      </c>
      <c r="B577" s="28" t="s">
        <v>1724</v>
      </c>
      <c r="C577" s="28">
        <v>2025052919</v>
      </c>
      <c r="D577" s="28"/>
      <c r="E577" s="28"/>
      <c r="F577" s="28">
        <v>4483</v>
      </c>
      <c r="G577" s="28" t="s">
        <v>407</v>
      </c>
      <c r="H577" s="28" t="s">
        <v>1746</v>
      </c>
      <c r="I577" s="28"/>
      <c r="J577" s="28"/>
      <c r="K577" s="28"/>
      <c r="L577" s="28"/>
      <c r="M577" s="29"/>
      <c r="N577" s="28"/>
      <c r="O577" s="29"/>
      <c r="P577" s="30"/>
      <c r="Q577" s="28" t="s">
        <v>6544</v>
      </c>
      <c r="R577" s="28" t="s">
        <v>52</v>
      </c>
      <c r="S577" s="28" t="s">
        <v>16</v>
      </c>
      <c r="T577" s="28">
        <v>1</v>
      </c>
      <c r="U577" s="28" t="s">
        <v>1719</v>
      </c>
      <c r="V577" s="28" t="s">
        <v>7489</v>
      </c>
      <c r="W577" s="28" t="s">
        <v>7490</v>
      </c>
      <c r="X577" s="135">
        <v>45798.5</v>
      </c>
      <c r="Y577" s="28"/>
      <c r="Z577" s="28">
        <v>1</v>
      </c>
      <c r="AA577" s="28"/>
      <c r="AB577" s="28" t="s">
        <v>1720</v>
      </c>
      <c r="AC577" s="30" t="s">
        <v>5051</v>
      </c>
      <c r="AD577" s="28" t="s">
        <v>1721</v>
      </c>
      <c r="AE577" s="28"/>
      <c r="AF577" s="28"/>
      <c r="AG577" s="28"/>
      <c r="AH577" s="28"/>
      <c r="AI577" s="28"/>
      <c r="AJ577" s="28" t="s">
        <v>1721</v>
      </c>
      <c r="AK577" s="28" t="s">
        <v>1721</v>
      </c>
      <c r="AL577" s="325" t="e">
        <f t="shared" si="33"/>
        <v>#VALUE!</v>
      </c>
      <c r="AM577"/>
    </row>
    <row r="578" spans="1:39" s="27" customFormat="1" ht="21.6" customHeight="1">
      <c r="A578" s="31">
        <v>106</v>
      </c>
      <c r="B578" s="31" t="s">
        <v>1724</v>
      </c>
      <c r="C578" s="31">
        <v>2025052948</v>
      </c>
      <c r="D578" s="31"/>
      <c r="E578" s="31"/>
      <c r="F578" s="31">
        <v>4282</v>
      </c>
      <c r="G578" s="31" t="s">
        <v>350</v>
      </c>
      <c r="H578" s="31" t="s">
        <v>1746</v>
      </c>
      <c r="I578" s="31"/>
      <c r="J578" s="31"/>
      <c r="K578" s="31"/>
      <c r="L578" s="31"/>
      <c r="M578" s="32"/>
      <c r="N578" s="31"/>
      <c r="O578" s="32"/>
      <c r="P578" s="33"/>
      <c r="Q578" s="31" t="s">
        <v>5126</v>
      </c>
      <c r="R578" s="31" t="s">
        <v>52</v>
      </c>
      <c r="S578" s="31" t="s">
        <v>16</v>
      </c>
      <c r="T578" s="31">
        <v>1</v>
      </c>
      <c r="U578" s="31" t="s">
        <v>1719</v>
      </c>
      <c r="V578" s="31" t="s">
        <v>7491</v>
      </c>
      <c r="W578" s="31" t="s">
        <v>7492</v>
      </c>
      <c r="X578" s="211">
        <v>45798.604166666664</v>
      </c>
      <c r="Y578" s="31"/>
      <c r="Z578" s="31">
        <v>1.5</v>
      </c>
      <c r="AA578" s="31"/>
      <c r="AB578" s="31" t="s">
        <v>1720</v>
      </c>
      <c r="AC578" s="33" t="s">
        <v>7494</v>
      </c>
      <c r="AD578" s="31"/>
      <c r="AE578" s="31"/>
      <c r="AF578" s="31"/>
      <c r="AG578" s="31"/>
      <c r="AH578" s="31"/>
      <c r="AI578" s="31"/>
      <c r="AJ578" s="31" t="s">
        <v>1721</v>
      </c>
      <c r="AK578" s="31" t="s">
        <v>1721</v>
      </c>
      <c r="AL578" s="325" t="e">
        <f t="shared" si="33"/>
        <v>#VALUE!</v>
      </c>
      <c r="AM578"/>
    </row>
    <row r="579" spans="1:39" s="27" customFormat="1" ht="21.6" customHeight="1">
      <c r="A579" s="28">
        <v>107</v>
      </c>
      <c r="B579" s="28" t="s">
        <v>1724</v>
      </c>
      <c r="C579" s="28">
        <v>2025052949</v>
      </c>
      <c r="D579" s="28"/>
      <c r="E579" s="28"/>
      <c r="F579" s="28" t="s">
        <v>23</v>
      </c>
      <c r="G579" s="28" t="s">
        <v>1561</v>
      </c>
      <c r="H579" s="28" t="s">
        <v>1747</v>
      </c>
      <c r="I579" s="28"/>
      <c r="J579" s="28"/>
      <c r="K579" s="28"/>
      <c r="L579" s="28"/>
      <c r="M579" s="29"/>
      <c r="N579" s="28"/>
      <c r="O579" s="29"/>
      <c r="P579" s="30"/>
      <c r="Q579" s="28" t="s">
        <v>5965</v>
      </c>
      <c r="R579" s="28" t="s">
        <v>52</v>
      </c>
      <c r="S579" s="28" t="s">
        <v>4110</v>
      </c>
      <c r="T579" s="28">
        <v>1</v>
      </c>
      <c r="U579" s="28" t="s">
        <v>1719</v>
      </c>
      <c r="V579" s="28" t="s">
        <v>7495</v>
      </c>
      <c r="W579" s="28" t="s">
        <v>7496</v>
      </c>
      <c r="X579" s="135">
        <v>45798.604166666664</v>
      </c>
      <c r="Y579" s="28"/>
      <c r="Z579" s="28">
        <v>0.5</v>
      </c>
      <c r="AA579" s="28"/>
      <c r="AB579" s="28" t="s">
        <v>1720</v>
      </c>
      <c r="AC579" s="30" t="s">
        <v>7488</v>
      </c>
      <c r="AD579" s="28"/>
      <c r="AE579" s="28"/>
      <c r="AF579" s="28"/>
      <c r="AG579" s="28"/>
      <c r="AH579" s="28"/>
      <c r="AI579" s="28"/>
      <c r="AJ579" s="28" t="s">
        <v>1721</v>
      </c>
      <c r="AK579" s="28" t="s">
        <v>1721</v>
      </c>
      <c r="AL579" s="325" t="e">
        <f t="shared" si="33"/>
        <v>#VALUE!</v>
      </c>
      <c r="AM579"/>
    </row>
    <row r="580" spans="1:39" s="27" customFormat="1" ht="21.6" customHeight="1">
      <c r="A580" s="31">
        <v>108</v>
      </c>
      <c r="B580" s="31" t="s">
        <v>1724</v>
      </c>
      <c r="C580" s="31">
        <v>2025052957</v>
      </c>
      <c r="D580" s="31"/>
      <c r="E580" s="31"/>
      <c r="F580" s="31">
        <v>4514</v>
      </c>
      <c r="G580" s="31" t="s">
        <v>418</v>
      </c>
      <c r="H580" s="31" t="s">
        <v>1746</v>
      </c>
      <c r="I580" s="31"/>
      <c r="J580" s="31"/>
      <c r="K580" s="31"/>
      <c r="L580" s="31"/>
      <c r="M580" s="32"/>
      <c r="N580" s="31"/>
      <c r="O580" s="32"/>
      <c r="P580" s="33"/>
      <c r="Q580" s="31" t="s">
        <v>5937</v>
      </c>
      <c r="R580" s="31" t="s">
        <v>52</v>
      </c>
      <c r="S580" s="31" t="s">
        <v>16</v>
      </c>
      <c r="T580" s="31">
        <v>1</v>
      </c>
      <c r="U580" s="31" t="s">
        <v>1719</v>
      </c>
      <c r="V580" s="31" t="s">
        <v>7497</v>
      </c>
      <c r="W580" s="31" t="s">
        <v>7493</v>
      </c>
      <c r="X580" s="211">
        <v>45798.618055555555</v>
      </c>
      <c r="Y580" s="31"/>
      <c r="Z580" s="31">
        <v>0.3</v>
      </c>
      <c r="AA580" s="31"/>
      <c r="AB580" s="31" t="s">
        <v>1720</v>
      </c>
      <c r="AC580" s="33" t="s">
        <v>5109</v>
      </c>
      <c r="AD580" s="31" t="s">
        <v>1721</v>
      </c>
      <c r="AE580" s="31"/>
      <c r="AF580" s="31"/>
      <c r="AG580" s="31"/>
      <c r="AH580" s="31"/>
      <c r="AI580" s="31"/>
      <c r="AJ580" s="31" t="s">
        <v>1721</v>
      </c>
      <c r="AK580" s="31" t="s">
        <v>1721</v>
      </c>
      <c r="AL580" s="325" t="e">
        <f t="shared" si="33"/>
        <v>#VALUE!</v>
      </c>
      <c r="AM580"/>
    </row>
    <row r="581" spans="1:39" s="27" customFormat="1" ht="21.6" customHeight="1">
      <c r="A581" s="28">
        <v>109</v>
      </c>
      <c r="B581" s="28" t="s">
        <v>1724</v>
      </c>
      <c r="C581" s="28">
        <v>2025052962</v>
      </c>
      <c r="D581" s="28"/>
      <c r="E581" s="28"/>
      <c r="F581" s="28">
        <v>3137</v>
      </c>
      <c r="G581" s="28" t="s">
        <v>161</v>
      </c>
      <c r="H581" s="28" t="s">
        <v>3313</v>
      </c>
      <c r="I581" s="28"/>
      <c r="J581" s="28"/>
      <c r="K581" s="28"/>
      <c r="L581" s="28"/>
      <c r="M581" s="29"/>
      <c r="N581" s="28"/>
      <c r="O581" s="29"/>
      <c r="P581" s="30"/>
      <c r="Q581" s="28" t="s">
        <v>6556</v>
      </c>
      <c r="R581" s="28" t="s">
        <v>52</v>
      </c>
      <c r="S581" s="28" t="s">
        <v>16</v>
      </c>
      <c r="T581" s="28">
        <v>1</v>
      </c>
      <c r="U581" s="28" t="s">
        <v>1719</v>
      </c>
      <c r="V581" s="28" t="s">
        <v>7498</v>
      </c>
      <c r="W581" s="28" t="s">
        <v>7499</v>
      </c>
      <c r="X581" s="135">
        <v>45798.635416666664</v>
      </c>
      <c r="Y581" s="28"/>
      <c r="Z581" s="28">
        <v>0.3</v>
      </c>
      <c r="AA581" s="28"/>
      <c r="AB581" s="28" t="s">
        <v>1720</v>
      </c>
      <c r="AC581" s="30" t="s">
        <v>5109</v>
      </c>
      <c r="AD581" s="28" t="s">
        <v>1721</v>
      </c>
      <c r="AE581" s="28"/>
      <c r="AF581" s="28"/>
      <c r="AG581" s="28"/>
      <c r="AH581" s="28"/>
      <c r="AI581" s="28"/>
      <c r="AJ581" s="28" t="s">
        <v>1721</v>
      </c>
      <c r="AK581" s="28" t="s">
        <v>1721</v>
      </c>
      <c r="AL581" s="325" t="e">
        <f t="shared" si="33"/>
        <v>#VALUE!</v>
      </c>
      <c r="AM581"/>
    </row>
    <row r="582" spans="1:39" s="27" customFormat="1" ht="21.6" customHeight="1">
      <c r="A582" s="31">
        <v>110</v>
      </c>
      <c r="B582" s="31" t="s">
        <v>1724</v>
      </c>
      <c r="C582" s="31">
        <v>2025052974</v>
      </c>
      <c r="D582" s="31"/>
      <c r="E582" s="31"/>
      <c r="F582" s="31">
        <v>4977</v>
      </c>
      <c r="G582" s="31" t="s">
        <v>574</v>
      </c>
      <c r="H582" s="31" t="s">
        <v>1747</v>
      </c>
      <c r="I582" s="31"/>
      <c r="J582" s="31"/>
      <c r="K582" s="31"/>
      <c r="L582" s="31"/>
      <c r="M582" s="32"/>
      <c r="N582" s="31"/>
      <c r="O582" s="32"/>
      <c r="P582" s="33"/>
      <c r="Q582" s="31" t="s">
        <v>4133</v>
      </c>
      <c r="R582" s="31" t="s">
        <v>52</v>
      </c>
      <c r="S582" s="31" t="s">
        <v>4110</v>
      </c>
      <c r="T582" s="31">
        <v>1</v>
      </c>
      <c r="U582" s="31" t="s">
        <v>1719</v>
      </c>
      <c r="V582" s="31" t="s">
        <v>7500</v>
      </c>
      <c r="W582" s="31" t="s">
        <v>7501</v>
      </c>
      <c r="X582" s="211">
        <v>45798.665972222225</v>
      </c>
      <c r="Y582" s="31"/>
      <c r="Z582" s="31">
        <v>0.5</v>
      </c>
      <c r="AA582" s="31"/>
      <c r="AB582" s="31" t="s">
        <v>1720</v>
      </c>
      <c r="AC582" s="33" t="s">
        <v>5109</v>
      </c>
      <c r="AD582" s="31" t="s">
        <v>1721</v>
      </c>
      <c r="AE582" s="31"/>
      <c r="AF582" s="31"/>
      <c r="AG582" s="31"/>
      <c r="AH582" s="31"/>
      <c r="AI582" s="31"/>
      <c r="AJ582" s="31"/>
      <c r="AK582" s="31" t="s">
        <v>1721</v>
      </c>
      <c r="AL582" s="325" t="e">
        <f t="shared" si="33"/>
        <v>#VALUE!</v>
      </c>
      <c r="AM582"/>
    </row>
    <row r="583" spans="1:39" s="27" customFormat="1" ht="21.6" customHeight="1">
      <c r="A583" s="28">
        <v>111</v>
      </c>
      <c r="B583" s="28" t="s">
        <v>1724</v>
      </c>
      <c r="C583" s="28">
        <v>2025052992</v>
      </c>
      <c r="D583" s="28"/>
      <c r="E583" s="28"/>
      <c r="F583" s="28">
        <v>4483</v>
      </c>
      <c r="G583" s="28" t="s">
        <v>407</v>
      </c>
      <c r="H583" s="28" t="s">
        <v>1746</v>
      </c>
      <c r="I583" s="28"/>
      <c r="J583" s="28"/>
      <c r="K583" s="28"/>
      <c r="L583" s="28"/>
      <c r="M583" s="29"/>
      <c r="N583" s="28"/>
      <c r="O583" s="29"/>
      <c r="P583" s="30"/>
      <c r="Q583" s="28" t="s">
        <v>6544</v>
      </c>
      <c r="R583" s="28" t="s">
        <v>52</v>
      </c>
      <c r="S583" s="28" t="s">
        <v>16</v>
      </c>
      <c r="T583" s="28">
        <v>1</v>
      </c>
      <c r="U583" s="28" t="s">
        <v>1719</v>
      </c>
      <c r="V583" s="28" t="s">
        <v>7502</v>
      </c>
      <c r="W583" s="28" t="s">
        <v>7503</v>
      </c>
      <c r="X583" s="135">
        <v>45798.70416666667</v>
      </c>
      <c r="Y583" s="28"/>
      <c r="Z583" s="28">
        <v>0.3</v>
      </c>
      <c r="AA583" s="28"/>
      <c r="AB583" s="28" t="s">
        <v>1720</v>
      </c>
      <c r="AC583" s="30" t="s">
        <v>7504</v>
      </c>
      <c r="AD583" s="28" t="s">
        <v>1721</v>
      </c>
      <c r="AE583" s="28"/>
      <c r="AF583" s="28"/>
      <c r="AG583" s="28"/>
      <c r="AH583" s="28"/>
      <c r="AI583" s="28"/>
      <c r="AJ583" s="28" t="s">
        <v>1721</v>
      </c>
      <c r="AK583" s="28" t="s">
        <v>1721</v>
      </c>
      <c r="AL583" s="325" t="e">
        <f t="shared" si="33"/>
        <v>#VALUE!</v>
      </c>
      <c r="AM583"/>
    </row>
    <row r="584" spans="1:39" s="27" customFormat="1" ht="21.6" customHeight="1">
      <c r="A584" s="31">
        <v>112</v>
      </c>
      <c r="B584" s="31" t="s">
        <v>1724</v>
      </c>
      <c r="C584" s="31">
        <v>2025053058</v>
      </c>
      <c r="D584" s="31"/>
      <c r="E584" s="31"/>
      <c r="F584" s="31">
        <v>4282</v>
      </c>
      <c r="G584" s="31" t="s">
        <v>350</v>
      </c>
      <c r="H584" s="31" t="s">
        <v>1746</v>
      </c>
      <c r="I584" s="31"/>
      <c r="J584" s="31"/>
      <c r="K584" s="31"/>
      <c r="L584" s="31"/>
      <c r="M584" s="32"/>
      <c r="N584" s="31"/>
      <c r="O584" s="32"/>
      <c r="P584" s="33"/>
      <c r="Q584" s="31" t="s">
        <v>5126</v>
      </c>
      <c r="R584" s="31" t="s">
        <v>52</v>
      </c>
      <c r="S584" s="31" t="s">
        <v>16</v>
      </c>
      <c r="T584" s="31">
        <v>1</v>
      </c>
      <c r="U584" s="31" t="s">
        <v>1719</v>
      </c>
      <c r="V584" s="31" t="s">
        <v>7505</v>
      </c>
      <c r="W584" s="31" t="s">
        <v>7506</v>
      </c>
      <c r="X584" s="211">
        <v>45799.493055555555</v>
      </c>
      <c r="Y584" s="31"/>
      <c r="Z584" s="31">
        <v>0.8</v>
      </c>
      <c r="AA584" s="31"/>
      <c r="AB584" s="31" t="s">
        <v>1720</v>
      </c>
      <c r="AC584" s="33" t="s">
        <v>7507</v>
      </c>
      <c r="AD584" s="31"/>
      <c r="AE584" s="31"/>
      <c r="AF584" s="31"/>
      <c r="AG584" s="31"/>
      <c r="AH584" s="31"/>
      <c r="AI584" s="31"/>
      <c r="AJ584" s="31" t="s">
        <v>1721</v>
      </c>
      <c r="AK584" s="31" t="s">
        <v>1721</v>
      </c>
      <c r="AL584" s="325" t="e">
        <f t="shared" si="33"/>
        <v>#VALUE!</v>
      </c>
      <c r="AM584"/>
    </row>
    <row r="585" spans="1:39" s="27" customFormat="1" ht="21.6" customHeight="1">
      <c r="A585" s="28">
        <v>113</v>
      </c>
      <c r="B585" s="28" t="s">
        <v>5033</v>
      </c>
      <c r="C585" s="28">
        <v>2025053124</v>
      </c>
      <c r="D585" s="28" t="s">
        <v>7508</v>
      </c>
      <c r="E585" s="28" t="s">
        <v>5035</v>
      </c>
      <c r="F585" s="28">
        <v>5352</v>
      </c>
      <c r="G585" s="28" t="s">
        <v>5222</v>
      </c>
      <c r="H585" s="28" t="s">
        <v>1747</v>
      </c>
      <c r="I585" s="28" t="s">
        <v>7509</v>
      </c>
      <c r="J585" s="28" t="s">
        <v>5096</v>
      </c>
      <c r="K585" s="28" t="s">
        <v>5039</v>
      </c>
      <c r="L585" s="28" t="s">
        <v>5227</v>
      </c>
      <c r="M585" s="29" t="s">
        <v>5228</v>
      </c>
      <c r="N585" s="28" t="s">
        <v>5540</v>
      </c>
      <c r="O585" s="29" t="s">
        <v>5541</v>
      </c>
      <c r="P585" s="29" t="s">
        <v>7510</v>
      </c>
      <c r="Q585" s="28" t="s">
        <v>7106</v>
      </c>
      <c r="R585" s="28" t="s">
        <v>52</v>
      </c>
      <c r="S585" s="28" t="s">
        <v>4110</v>
      </c>
      <c r="T585" s="28">
        <v>1</v>
      </c>
      <c r="U585" s="28" t="s">
        <v>1719</v>
      </c>
      <c r="V585" s="28" t="s">
        <v>7511</v>
      </c>
      <c r="W585" s="28" t="s">
        <v>7512</v>
      </c>
      <c r="X585" s="135">
        <v>45799.677777777775</v>
      </c>
      <c r="Y585" s="28" t="s">
        <v>7513</v>
      </c>
      <c r="Z585" s="28">
        <v>0.5</v>
      </c>
      <c r="AA585" s="28"/>
      <c r="AB585" s="28" t="s">
        <v>5562</v>
      </c>
      <c r="AC585" s="29" t="s">
        <v>5389</v>
      </c>
      <c r="AD585" s="28"/>
      <c r="AE585" s="28"/>
      <c r="AF585" s="28"/>
      <c r="AG585" s="28"/>
      <c r="AH585" s="28"/>
      <c r="AI585" s="28"/>
      <c r="AJ585" s="28"/>
      <c r="AK585" s="28" t="s">
        <v>1721</v>
      </c>
      <c r="AL585" s="325">
        <f t="shared" si="33"/>
        <v>45799</v>
      </c>
      <c r="AM585"/>
    </row>
  </sheetData>
  <autoFilter ref="A1:AM3" xr:uid="{14E30BF7-AA7D-495E-A6B4-204819EF3B74}"/>
  <phoneticPr fontId="30" type="noConversion"/>
  <conditionalFormatting sqref="C1:C428">
    <cfRule type="duplicateValues" dxfId="470"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R8" sqref="R8"/>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COUNTIF($G$7:$G$150,"已更換")+COUNTIF($G$7:$G$150,"完工已補裝")</f>
        <v>43</v>
      </c>
      <c r="J2" s="297">
        <f>COUNTIF($G$7:$G$150,"未更換")+COUNTIF($G$7:$G$150,"已PM未更換")</f>
        <v>50</v>
      </c>
      <c r="K2" s="195"/>
      <c r="L2" s="195"/>
      <c r="M2" s="195"/>
      <c r="N2" s="195"/>
      <c r="O2" s="195"/>
      <c r="P2" s="196"/>
      <c r="Q2" s="196"/>
      <c r="R2" s="291">
        <v>45778</v>
      </c>
      <c r="S2" s="216"/>
      <c r="U2" s="291">
        <f ca="1">TODAY()</f>
        <v>45800</v>
      </c>
    </row>
    <row r="3" spans="1:23" s="292" customFormat="1" ht="21" customHeight="1">
      <c r="A3" s="293"/>
      <c r="B3" s="296">
        <v>5</v>
      </c>
      <c r="C3" s="297">
        <f>V1</f>
        <v>39</v>
      </c>
      <c r="D3" s="297">
        <f>A2-E2-D4</f>
        <v>38</v>
      </c>
      <c r="E3" s="296">
        <f>COUNTIF(D$7:D$150,"v")</f>
        <v>38</v>
      </c>
      <c r="F3" s="296">
        <f>IF((D3-E3)&lt;0,"0",(D3-E3))</f>
        <v>0</v>
      </c>
      <c r="G3" s="298" t="str">
        <f>ROUND(IF((E3/C3)&gt;1,1,(E3/C3))*100,0)&amp;"%"</f>
        <v>97%</v>
      </c>
      <c r="H3" s="299"/>
      <c r="I3" s="300"/>
      <c r="J3" s="300"/>
      <c r="K3" s="195"/>
      <c r="L3" s="195"/>
      <c r="M3" s="195"/>
      <c r="N3" s="195"/>
      <c r="O3" s="195"/>
      <c r="P3" s="196"/>
      <c r="Q3" s="196"/>
      <c r="R3" s="291">
        <v>45809</v>
      </c>
      <c r="S3" s="291"/>
    </row>
    <row r="4" spans="1:23" s="292" customFormat="1" ht="21" customHeight="1">
      <c r="A4" s="198"/>
      <c r="B4" s="296">
        <v>6</v>
      </c>
      <c r="C4" s="297">
        <f>W1</f>
        <v>39</v>
      </c>
      <c r="D4" s="297">
        <f>A2-E2-E3</f>
        <v>34</v>
      </c>
      <c r="E4" s="296">
        <f>COUNTIF(E$7:E$150,"v")</f>
        <v>0</v>
      </c>
      <c r="F4" s="296">
        <f>IF((D4-E4)&lt;0,"0",(D4-E4))</f>
        <v>34</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83</v>
      </c>
      <c r="F5" s="329">
        <f t="shared" si="0"/>
        <v>34</v>
      </c>
      <c r="G5" s="330" t="str">
        <f>ROUND(IF((E5/C5)&gt;1,1,(E5/C5))*100,0)&amp;"%"</f>
        <v>71%</v>
      </c>
      <c r="H5" s="331"/>
      <c r="I5" s="331"/>
      <c r="J5" s="332"/>
      <c r="K5" s="195"/>
      <c r="L5" s="195"/>
      <c r="M5" s="195"/>
      <c r="N5" s="195"/>
      <c r="O5" s="195"/>
      <c r="P5" s="196"/>
      <c r="Q5" s="196"/>
      <c r="R5" s="294" t="s">
        <v>7516</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4698</v>
      </c>
      <c r="B21" s="201" t="str">
        <f>VLOOKUP(A21,門市主檔!A:B,2,FALSE)</f>
        <v>三重頂崁店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三重區</v>
      </c>
      <c r="J21" s="209">
        <v>45695.669444444444</v>
      </c>
      <c r="K21" s="202"/>
      <c r="L21" s="202"/>
      <c r="M21" s="202"/>
      <c r="N21" s="202"/>
      <c r="O21" s="202"/>
      <c r="P21" s="196" t="s">
        <v>51</v>
      </c>
      <c r="Q21" s="206" t="s">
        <v>4109</v>
      </c>
    </row>
    <row r="22" spans="1:17" ht="19.5" customHeight="1">
      <c r="A22" s="201">
        <v>4906</v>
      </c>
      <c r="B22" s="201" t="str">
        <f>VLOOKUP(A22,門市主檔!A:B,2,FALSE)</f>
        <v>金山銀山店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金山區</v>
      </c>
      <c r="J22" s="209">
        <v>45679.57708333333</v>
      </c>
      <c r="K22" s="202"/>
      <c r="L22" s="202"/>
      <c r="M22" s="202"/>
      <c r="N22" s="202"/>
      <c r="O22" s="202"/>
      <c r="P22" s="196"/>
      <c r="Q22" s="206" t="s">
        <v>4109</v>
      </c>
    </row>
    <row r="23" spans="1:17" ht="19.5" customHeight="1">
      <c r="A23" s="201">
        <v>4298</v>
      </c>
      <c r="B23" s="201" t="str">
        <f>VLOOKUP(A23,門市主檔!A:B,2,FALSE)</f>
        <v>淡水後洲店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淡水區</v>
      </c>
      <c r="J23" s="209">
        <v>45730.588888888888</v>
      </c>
      <c r="K23" s="202"/>
      <c r="L23" s="202"/>
      <c r="M23" s="202"/>
      <c r="N23" s="202"/>
      <c r="O23" s="202"/>
      <c r="P23" s="196"/>
      <c r="Q23" s="206" t="s">
        <v>4109</v>
      </c>
    </row>
    <row r="24" spans="1:17" ht="19.5" customHeight="1">
      <c r="A24" s="201">
        <v>4788</v>
      </c>
      <c r="B24" s="201" t="str">
        <f>VLOOKUP(A24,門市主檔!A:B,2,FALSE)</f>
        <v>淡水國家店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淡水區</v>
      </c>
      <c r="J24" s="209">
        <v>45730.568055555559</v>
      </c>
      <c r="K24" s="202"/>
      <c r="L24" s="202"/>
      <c r="M24" s="202"/>
      <c r="N24" s="202"/>
      <c r="O24" s="202"/>
      <c r="P24" s="196"/>
      <c r="Q24" s="206" t="s">
        <v>4109</v>
      </c>
    </row>
    <row r="25" spans="1:17" ht="19.5" customHeight="1">
      <c r="A25" s="201">
        <v>3751</v>
      </c>
      <c r="B25" s="201" t="str">
        <f>VLOOKUP(A25,門市主檔!A:B,2,FALSE)</f>
        <v>淡水真理大</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45723.651388888888</v>
      </c>
      <c r="K25" s="202"/>
      <c r="L25" s="202"/>
      <c r="M25" s="202"/>
      <c r="N25" s="202"/>
      <c r="O25" s="202"/>
      <c r="P25" s="196" t="s">
        <v>51</v>
      </c>
      <c r="Q25" s="206" t="s">
        <v>4109</v>
      </c>
    </row>
    <row r="26" spans="1:17" ht="19.5" customHeight="1">
      <c r="A26" s="201">
        <v>4093</v>
      </c>
      <c r="B26" s="201" t="str">
        <f>VLOOKUP(A26,門市主檔!A:B,2,FALSE)</f>
        <v>淡水新市一</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淡水區</v>
      </c>
      <c r="J26" s="209">
        <v>45730.545138888891</v>
      </c>
      <c r="K26" s="202"/>
      <c r="L26" s="202"/>
      <c r="M26" s="202"/>
      <c r="N26" s="202"/>
      <c r="O26" s="202"/>
      <c r="P26" s="196" t="s">
        <v>51</v>
      </c>
      <c r="Q26" s="206" t="s">
        <v>4109</v>
      </c>
    </row>
    <row r="27" spans="1:17" ht="19.5" customHeight="1">
      <c r="A27" s="201">
        <v>4153</v>
      </c>
      <c r="B27" s="201" t="str">
        <f>VLOOKUP(A27,門市主檔!A:B,2,FALSE)</f>
        <v>淡水莊園店</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 t="shared" si="1"/>
        <v>未保養</v>
      </c>
      <c r="G27" s="201" t="str">
        <f>IF(VLOOKUP(A27,門市主檔!A:O,15,FALSE)="完工已補裝", "完工已補裝",
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45730.53125</v>
      </c>
      <c r="K27" s="202"/>
      <c r="L27" s="202"/>
      <c r="M27" s="202"/>
      <c r="N27" s="202"/>
      <c r="O27" s="202"/>
      <c r="P27" s="196" t="s">
        <v>51</v>
      </c>
      <c r="Q27" s="206" t="s">
        <v>4109</v>
      </c>
    </row>
    <row r="28" spans="1:17" ht="19.5" customHeight="1">
      <c r="A28" s="201">
        <v>4541</v>
      </c>
      <c r="B28" s="201" t="str">
        <f>VLOOKUP(A28,門市主檔!A:B,2,FALSE)</f>
        <v>淡水海天店</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IF(VLOOKUP(A28,門市主檔!A:O,15,FALSE)="完工已補裝", "完工已補裝",
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淡水區</v>
      </c>
      <c r="J28" s="209">
        <v>45730.60833333333</v>
      </c>
      <c r="K28" s="202"/>
      <c r="L28" s="202"/>
      <c r="M28" s="202"/>
      <c r="N28" s="202"/>
      <c r="O28" s="202"/>
      <c r="P28" s="196" t="s">
        <v>51</v>
      </c>
      <c r="Q28" s="206" t="s">
        <v>4109</v>
      </c>
    </row>
    <row r="29" spans="1:17" ht="19.5" customHeight="1">
      <c r="A29" s="201">
        <v>4802</v>
      </c>
      <c r="B29" s="201" t="str">
        <f>VLOOKUP(A29,門市主檔!A:B,2,FALSE)</f>
        <v>淡水沙崙店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IF(VLOOKUP(A29,門市主檔!A:O,15,FALSE)="完工已補裝", "完工已補裝",
IF(AND(VLOOKUP(A29,門市主檔!A:Z,26,FALSE)="STAR", VLOOKUP(A29,門市主檔!A:R,18,FALSE)=""),
    IF(OR(C29="V", D29="V", E29="V"), "已PM未更換", "未更換"),
    IF(VLOOKUP(A29,門市主檔!A:Z,26,FALSE)&lt;&gt;"STAR", "無專案", "已更換")
))</f>
        <v>無專案</v>
      </c>
      <c r="H29" s="263">
        <f>VLOOKUP(A29,門市主檔!A:V,22,FALSE)</f>
        <v>0</v>
      </c>
      <c r="I29" s="201" t="str">
        <f>VLOOKUP(A29,'0919門市清單主檔'!B:V,21,FALSE)</f>
        <v>淡水區</v>
      </c>
      <c r="J29" s="209">
        <v>45730.628472222219</v>
      </c>
      <c r="K29" s="202"/>
      <c r="L29" s="202"/>
      <c r="M29" s="202"/>
      <c r="N29" s="202"/>
      <c r="O29" s="202"/>
      <c r="P29" s="196" t="s">
        <v>51</v>
      </c>
      <c r="Q29" s="206" t="s">
        <v>4109</v>
      </c>
    </row>
    <row r="30" spans="1:17" ht="19.5" customHeight="1">
      <c r="A30" s="201">
        <v>5101</v>
      </c>
      <c r="B30" s="201" t="str">
        <f>VLOOKUP(A30,門市主檔!A:B,2,FALSE)</f>
        <v>淡水小坪頂</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45727.497916666667</v>
      </c>
      <c r="K30" s="202"/>
      <c r="L30" s="202"/>
      <c r="M30" s="202"/>
      <c r="N30" s="202"/>
      <c r="O30" s="202"/>
      <c r="P30" s="196"/>
      <c r="Q30" s="206" t="s">
        <v>4109</v>
      </c>
    </row>
    <row r="31" spans="1:17" ht="19.5" customHeight="1">
      <c r="A31" s="201">
        <v>4658</v>
      </c>
      <c r="B31" s="201" t="str">
        <f>VLOOKUP(A31,門市主檔!A:B,2,FALSE)</f>
        <v>淡水英才店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45723.629861111112</v>
      </c>
      <c r="K31" s="202"/>
      <c r="L31" s="202"/>
      <c r="M31" s="202"/>
      <c r="N31" s="202"/>
      <c r="O31" s="202"/>
      <c r="P31" s="196"/>
      <c r="Q31" s="206" t="s">
        <v>4109</v>
      </c>
    </row>
    <row r="32" spans="1:17" ht="19.5" customHeight="1">
      <c r="A32" s="201">
        <v>4529</v>
      </c>
      <c r="B32" s="201" t="str">
        <f>VLOOKUP(A32,門市主檔!A:B,2,FALSE)</f>
        <v>淡水新洲店</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 t="shared" si="1"/>
        <v>未保養</v>
      </c>
      <c r="G32" s="201" t="str">
        <f>IF(VLOOKUP(A32,門市主檔!A:O,15,FALSE)="完工已補裝", "完工已補裝",
IF(AND(VLOOKUP(A32,門市主檔!A:Z,26,FALSE)="STAR", VLOOKUP(A32,門市主檔!A:R,18,FALSE)=""),
    IF(OR(C32="V", D32="V", E32="V"), "已PM未更換", "未更換"),
    IF(VLOOKUP(A32,門市主檔!A:Z,26,FALSE)&lt;&gt;"STAR", "無專案", "已更換")
))</f>
        <v>未更換</v>
      </c>
      <c r="H32" s="263">
        <f>VLOOKUP(A32,門市主檔!A:V,22,FALSE)</f>
        <v>2</v>
      </c>
      <c r="I32" s="201" t="str">
        <f>VLOOKUP(A32,'0919門市清單主檔'!B:V,21,FALSE)</f>
        <v>淡水區</v>
      </c>
      <c r="J32" s="209">
        <v>45692.496527777781</v>
      </c>
      <c r="K32" s="202"/>
      <c r="L32" s="202"/>
      <c r="M32" s="202"/>
      <c r="N32" s="202"/>
      <c r="O32" s="202"/>
      <c r="P32" s="196" t="s">
        <v>51</v>
      </c>
      <c r="Q32" s="206" t="s">
        <v>4109</v>
      </c>
    </row>
    <row r="33" spans="1:17" ht="19.5" customHeight="1">
      <c r="A33" s="201">
        <v>4218</v>
      </c>
      <c r="B33" s="201" t="str">
        <f>VLOOKUP(A33,門市主檔!A:B,2,FALSE)</f>
        <v>蘆洲湧蓮店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IF(VLOOKUP(A33,門市主檔!A:O,15,FALSE)="完工已補裝", "完工已補裝",
IF(AND(VLOOKUP(A33,門市主檔!A:Z,26,FALSE)="STAR", VLOOKUP(A33,門市主檔!A:R,18,FALSE)=""),
    IF(OR(C33="V", D33="V", E33="V"), "已PM未更換", "未更換"),
    IF(VLOOKUP(A33,門市主檔!A:Z,26,FALSE)&lt;&gt;"STAR", "無專案", "已更換")
))</f>
        <v>未更換</v>
      </c>
      <c r="H33" s="263">
        <f>VLOOKUP(A33,門市主檔!A:V,22,FALSE)</f>
        <v>1</v>
      </c>
      <c r="I33" s="201" t="str">
        <f>VLOOKUP(A33,'0919門市清單主檔'!B:V,21,FALSE)</f>
        <v>蘆洲區</v>
      </c>
      <c r="J33" s="209">
        <v>45721.678472222222</v>
      </c>
      <c r="K33" s="202"/>
      <c r="L33" s="202"/>
      <c r="M33" s="202"/>
      <c r="N33" s="202"/>
      <c r="O33" s="202"/>
      <c r="P33" s="196" t="s">
        <v>51</v>
      </c>
      <c r="Q33" s="206" t="s">
        <v>4109</v>
      </c>
    </row>
    <row r="34" spans="1:17" ht="19.5" customHeight="1">
      <c r="A34" s="201">
        <v>4125</v>
      </c>
      <c r="B34" s="201" t="str">
        <f>VLOOKUP(A34,門市主檔!A:B,2,FALSE)</f>
        <v>蘆洲長樂店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IF(VLOOKUP(A34,門市主檔!A:O,15,FALSE)="完工已補裝", "完工已補裝",
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蘆洲區</v>
      </c>
      <c r="J34" s="209">
        <v>45709.506944444445</v>
      </c>
      <c r="K34" s="202"/>
      <c r="L34" s="202"/>
      <c r="M34" s="202"/>
      <c r="N34" s="202"/>
      <c r="O34" s="202"/>
      <c r="P34" s="196"/>
      <c r="Q34" s="206" t="s">
        <v>4109</v>
      </c>
    </row>
    <row r="35" spans="1:17" ht="19.5" customHeight="1">
      <c r="A35" s="201">
        <v>4609</v>
      </c>
      <c r="B35" s="201" t="str">
        <f>VLOOKUP(A35,門市主檔!A:B,2,FALSE)</f>
        <v>蘆洲洲正店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IF(VLOOKUP(A35,門市主檔!A:O,15,FALSE)="完工已補裝", "完工已補裝",
IF(AND(VLOOKUP(A35,門市主檔!A:Z,26,FALSE)="STAR", VLOOKUP(A35,門市主檔!A:R,18,FALSE)=""),
    IF(OR(C35="V", D35="V", E35="V"), "已PM未更換", "未更換"),
    IF(VLOOKUP(A35,門市主檔!A:Z,26,FALSE)&lt;&gt;"STAR", "無專案", "已更換")
))</f>
        <v>未更換</v>
      </c>
      <c r="H35" s="263">
        <f>VLOOKUP(A35,門市主檔!A:V,22,FALSE)</f>
        <v>2</v>
      </c>
      <c r="I35" s="201" t="str">
        <f>VLOOKUP(A35,'0919門市清單主檔'!B:V,21,FALSE)</f>
        <v>蘆洲區</v>
      </c>
      <c r="J35" s="209">
        <v>45709.600694444445</v>
      </c>
      <c r="K35" s="202"/>
      <c r="L35" s="202"/>
      <c r="M35" s="202"/>
      <c r="N35" s="202"/>
      <c r="O35" s="202"/>
      <c r="P35" s="196"/>
      <c r="Q35" s="206" t="s">
        <v>4109</v>
      </c>
    </row>
    <row r="36" spans="1:17" ht="19.5" customHeight="1">
      <c r="A36" s="201">
        <v>3452</v>
      </c>
      <c r="B36" s="201" t="str">
        <f>VLOOKUP(A36,門市主檔!A:B,2,FALSE)</f>
        <v>北縣蘆信店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IF(VLOOKUP(A36,門市主檔!A:O,15,FALSE)="完工已補裝", "完工已補裝",
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45720.671527777777</v>
      </c>
      <c r="K36" s="202"/>
      <c r="L36" s="202"/>
      <c r="M36" s="202"/>
      <c r="N36" s="202"/>
      <c r="O36" s="202"/>
      <c r="P36" s="196" t="s">
        <v>51</v>
      </c>
      <c r="Q36" s="206" t="s">
        <v>4109</v>
      </c>
    </row>
    <row r="37" spans="1:17" ht="19.5" customHeight="1">
      <c r="A37" s="201">
        <v>2890</v>
      </c>
      <c r="B37" s="201" t="str">
        <f>VLOOKUP(A37,門市主檔!A:B,2,FALSE)</f>
        <v>蘆洲鷺江店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IF(VLOOKUP(A37,門市主檔!A:O,15,FALSE)="完工已補裝", "完工已補裝",
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45705.520833333336</v>
      </c>
      <c r="K37" s="202"/>
      <c r="L37" s="202"/>
      <c r="M37" s="202"/>
      <c r="N37" s="202"/>
      <c r="O37" s="202"/>
      <c r="P37" s="196" t="s">
        <v>51</v>
      </c>
      <c r="Q37" s="206" t="s">
        <v>4109</v>
      </c>
    </row>
    <row r="38" spans="1:17" ht="19.5" customHeight="1">
      <c r="A38" s="201">
        <v>2958</v>
      </c>
      <c r="B38" s="201" t="str">
        <f>VLOOKUP(A38,門市主檔!A:B,2,FALSE)</f>
        <v>北縣蘆旺店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IF(VLOOKUP(A38,門市主檔!A:O,15,FALSE)="完工已補裝", "完工已補裝",
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45709.619444444441</v>
      </c>
      <c r="K38" s="202"/>
      <c r="L38" s="202"/>
      <c r="M38" s="202"/>
      <c r="N38" s="202"/>
      <c r="O38" s="202"/>
      <c r="P38" s="196" t="s">
        <v>51</v>
      </c>
      <c r="Q38" s="206" t="s">
        <v>4109</v>
      </c>
    </row>
    <row r="39" spans="1:17" ht="19.5" customHeight="1">
      <c r="A39" s="201">
        <v>3929</v>
      </c>
      <c r="B39" s="201" t="str">
        <f>VLOOKUP(A39,門市主檔!A:B,2,FALSE)</f>
        <v>蘆洲中山一</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IF(VLOOKUP(A39,門市主檔!A:O,15,FALSE)="完工已補裝", "完工已補裝",
IF(AND(VLOOKUP(A39,門市主檔!A:Z,26,FALSE)="STAR", VLOOKUP(A39,門市主檔!A:R,18,FALSE)=""),
    IF(OR(C39="V", D39="V", E39="V"), "已PM未更換", "未更換"),
    IF(VLOOKUP(A39,門市主檔!A:Z,26,FALSE)&lt;&gt;"STAR", "無專案", "已更換")
))</f>
        <v>未更換</v>
      </c>
      <c r="H39" s="263">
        <f>VLOOKUP(A39,門市主檔!A:V,22,FALSE)</f>
        <v>1</v>
      </c>
      <c r="I39" s="201" t="str">
        <f>VLOOKUP(A39,'0919門市清單主檔'!B:V,21,FALSE)</f>
        <v>蘆洲區</v>
      </c>
      <c r="J39" s="209">
        <v>45721.706944444442</v>
      </c>
      <c r="K39" s="202"/>
      <c r="L39" s="202"/>
      <c r="M39" s="202"/>
      <c r="N39" s="202"/>
      <c r="O39" s="202"/>
      <c r="P39" s="196" t="s">
        <v>51</v>
      </c>
      <c r="Q39" s="206" t="s">
        <v>4109</v>
      </c>
    </row>
    <row r="40" spans="1:17" ht="19.5" customHeight="1">
      <c r="A40" s="201" t="s">
        <v>17</v>
      </c>
      <c r="B40" s="201" t="str">
        <f>VLOOKUP(A40,門市主檔!A:B,2,FALSE)</f>
        <v>蘆洲權義店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IF(VLOOKUP(A40,門市主檔!A:O,15,FALSE)="完工已補裝", "完工已補裝",
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45664.484027777777</v>
      </c>
      <c r="K40" s="202"/>
      <c r="L40" s="202"/>
      <c r="M40" s="202"/>
      <c r="N40" s="202"/>
      <c r="O40" s="202"/>
      <c r="P40" s="196"/>
      <c r="Q40" s="206" t="s">
        <v>4109</v>
      </c>
    </row>
    <row r="41" spans="1:17" ht="19.5" customHeight="1">
      <c r="A41" s="201">
        <v>4977</v>
      </c>
      <c r="B41" s="201" t="str">
        <f>VLOOKUP(A41,門市主檔!A:B,2,FALSE)</f>
        <v>三重初戀店</v>
      </c>
      <c r="C41" s="279" t="str">
        <f>IF(COUNTIFS(IM!$F:$F,A41,IM!$AD:$AD,"O",IM!$X:$X,"&gt;="&amp;$R$1, IM!$X:$X,"&lt;"&amp;$R$2)&gt;0,"V","")</f>
        <v/>
      </c>
      <c r="D41" s="279" t="str">
        <f>IF(AND(C41&lt;&gt;"V", COUNTIFS(IM!$F:$F,A41, IM!$AD:$AD, "O", IM!$X:$X, "&gt;="&amp;$R$2, IM!$X:$X, "&lt;"&amp;$R$3)&gt;0), "V", "")</f>
        <v>V</v>
      </c>
      <c r="E41" s="279" t="str">
        <f>IF(AND(C41&lt;&gt;"V",D41&lt;&gt;"V", COUNTIFS(IM!$F:$F, A41, IM!$AD:$AD, "O", IM!$X:$X, "&gt;="&amp;$R$3, IM!$X:$X, "&lt;"&amp;$R$4)&gt;0), "V", "")</f>
        <v/>
      </c>
      <c r="F41" s="201" t="str">
        <f t="shared" si="2"/>
        <v/>
      </c>
      <c r="G41" s="201" t="str">
        <f>IF(VLOOKUP(A41,門市主檔!A:O,15,FALSE)="完工已補裝", "完工已補裝",
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三重區</v>
      </c>
      <c r="J41" s="209">
        <v>45691.67083333333</v>
      </c>
      <c r="K41" s="202"/>
      <c r="L41" s="202"/>
      <c r="M41" s="202"/>
      <c r="N41" s="202"/>
      <c r="O41" s="202"/>
      <c r="P41" s="196" t="s">
        <v>51</v>
      </c>
      <c r="Q41" s="206" t="s">
        <v>4109</v>
      </c>
    </row>
    <row r="42" spans="1:17" ht="19.5" customHeight="1">
      <c r="A42" s="201" t="s">
        <v>22</v>
      </c>
      <c r="B42" s="201" t="str">
        <f>VLOOKUP(A42,門市主檔!A:B,2,FALSE)</f>
        <v>三重中興北</v>
      </c>
      <c r="C42" s="279" t="str">
        <f>IF(COUNTIFS(IM!$F:$F,A42,IM!$AD:$AD,"O",IM!$X:$X,"&gt;="&amp;$R$1, IM!$X:$X,"&lt;"&amp;$R$2)&gt;0,"V","")</f>
        <v/>
      </c>
      <c r="D42" s="279" t="str">
        <f>IF(AND(C42&lt;&gt;"V", COUNTIFS(IM!$F:$F,A42, IM!$AD:$AD, "O", IM!$X:$X, "&gt;="&amp;$R$2, IM!$X:$X, "&lt;"&amp;$R$3)&gt;0), "V", "")</f>
        <v>V</v>
      </c>
      <c r="E42" s="279" t="str">
        <f>IF(AND(C42&lt;&gt;"V",D42&lt;&gt;"V", COUNTIFS(IM!$F:$F, A42, IM!$AD:$AD, "O", IM!$X:$X, "&gt;="&amp;$R$3, IM!$X:$X, "&lt;"&amp;$R$4)&gt;0), "V", "")</f>
        <v/>
      </c>
      <c r="F42" s="201" t="str">
        <f t="shared" si="2"/>
        <v/>
      </c>
      <c r="G42" s="201" t="str">
        <f>IF(VLOOKUP(A42,門市主檔!A:O,15,FALSE)="完工已補裝", "完工已補裝",
IF(AND(VLOOKUP(A42,門市主檔!A:Z,26,FALSE)="STAR", VLOOKUP(A42,門市主檔!A:R,18,FALSE)=""),
    IF(OR(C42="V", D42="V", E42="V"), "已PM未更換", "未更換"),
    IF(VLOOKUP(A42,門市主檔!A:Z,26,FALSE)&lt;&gt;"STAR", "無專案", "已更換")
))</f>
        <v>已更換</v>
      </c>
      <c r="H42" s="263">
        <f>VLOOKUP(A42,門市主檔!A:V,22,FALSE)</f>
        <v>1</v>
      </c>
      <c r="I42" s="201" t="str">
        <f>VLOOKUP(A42,'0919門市清單主檔'!B:V,21,FALSE)</f>
        <v>三重區</v>
      </c>
      <c r="J42" s="209">
        <v>45695.611805555556</v>
      </c>
      <c r="K42" s="202"/>
      <c r="L42" s="202"/>
      <c r="M42" s="202"/>
      <c r="N42" s="202"/>
      <c r="O42" s="202"/>
      <c r="P42" s="196" t="s">
        <v>51</v>
      </c>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IF(VLOOKUP(A43,門市主檔!A:O,15,FALSE)="完工已補裝", "完工已補裝",
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74">
        <f>VLOOKUP(A48,門市主檔!A:V,22,FALSE)</f>
        <v>2</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IF(VLOOKUP(A52,門市主檔!A:O,15,FALSE)="完工已補裝", "完工已補裝",
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IF(VLOOKUP(A53,門市主檔!A:O,15,FALSE)="完工已補裝", "完工已補裝",
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IF(VLOOKUP(A54,門市主檔!A:O,15,FALSE)="完工已補裝", "完工已補裝",
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IF(VLOOKUP(A58,門市主檔!A:O,15,FALSE)="完工已補裝", "完工已補裝",
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IF(VLOOKUP(A68,門市主檔!A:O,15,FALSE)="完工已補裝", "完工已補裝",
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IF(VLOOKUP(A69,門市主檔!A:O,15,FALSE)="完工已補裝", "完工已補裝",
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IF(VLOOKUP(A70,門市主檔!A:O,15,FALSE)="完工已補裝", "完工已補裝",
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IF(VLOOKUP(A71,門市主檔!A:O,15,FALSE)="完工已補裝", "完工已補裝",
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IF(VLOOKUP(A72,門市主檔!A:O,15,FALSE)="完工已補裝", "完工已補裝",
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IF(VLOOKUP(A74,門市主檔!A:O,15,FALSE)="完工已補裝", "完工已補裝",
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IF(VLOOKUP(A75,門市主檔!A:O,15,FALSE)="完工已補裝", "完工已補裝",
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IF(VLOOKUP(A76,門市主檔!A:O,15,FALSE)="完工已補裝", "完工已補裝",
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IF(VLOOKUP(A78,門市主檔!A:O,15,FALSE)="完工已補裝", "完工已補裝",
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IF(VLOOKUP(A80,門市主檔!A:O,15,FALSE)="完工已補裝", "完工已補裝",
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IF(VLOOKUP(A81,門市主檔!A:O,15,FALSE)="完工已補裝", "完工已補裝",
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IF(VLOOKUP(A82,門市主檔!A:O,15,FALSE)="完工已補裝", "完工已補裝",
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IF(VLOOKUP(A83,門市主檔!A:O,15,FALSE)="完工已補裝", "完工已補裝",
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IF(VLOOKUP(A84,門市主檔!A:O,15,FALSE)="完工已補裝", "完工已補裝",
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IF(VLOOKUP(A85,門市主檔!A:O,15,FALSE)="完工已補裝", "完工已補裝",
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IF(VLOOKUP(A86,門市主檔!A:O,15,FALSE)="完工已補裝", "完工已補裝",
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IF(VLOOKUP(A87,門市主檔!A:O,15,FALSE)="完工已補裝", "完工已補裝",
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IF(VLOOKUP(A88,門市主檔!A:O,15,FALSE)="完工已補裝", "完工已補裝",
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IF(VLOOKUP(A89,門市主檔!A:O,15,FALSE)="完工已補裝", "完工已補裝",
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IF(VLOOKUP(A90,門市主檔!A:O,15,FALSE)="完工已補裝", "完工已補裝",
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IF(VLOOKUP(A91,門市主檔!A:O,15,FALSE)="完工已補裝", "完工已補裝",
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IF(VLOOKUP(A92,門市主檔!A:O,15,FALSE)="完工已補裝", "完工已補裝",
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IF(VLOOKUP(A93,門市主檔!A:O,15,FALSE)="完工已補裝", "完工已補裝",
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IF(VLOOKUP(A94,門市主檔!A:O,15,FALSE)="完工已補裝", "完工已補裝",
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IF(VLOOKUP(A95,門市主檔!A:O,15,FALSE)="完工已補裝", "完工已補裝",
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IF(VLOOKUP(A96,門市主檔!A:O,15,FALSE)="完工已補裝", "完工已補裝",
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IF(VLOOKUP(A97,門市主檔!A:O,15,FALSE)="完工已補裝", "完工已補裝",
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IF(VLOOKUP(A98,門市主檔!A:O,15,FALSE)="完工已補裝", "完工已補裝",
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IF(VLOOKUP(A99,門市主檔!A:O,15,FALSE)="完工已補裝", "完工已補裝",
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23" si="4">IF(COUNTBLANK(C103:E103)=3,"未保養","")</f>
        <v/>
      </c>
      <c r="G103" s="201"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4" priority="469">
      <formula>COUNTIF(#REF!, "Yes") = 1</formula>
    </cfRule>
  </conditionalFormatting>
  <conditionalFormatting sqref="J8:J122">
    <cfRule type="expression" dxfId="33" priority="19">
      <formula>IF(J8="不保養","true","FALSE")</formula>
    </cfRule>
  </conditionalFormatting>
  <conditionalFormatting sqref="B123">
    <cfRule type="expression" dxfId="32" priority="16">
      <formula>COUNTIF(#REF!, "Yes") = 1</formula>
    </cfRule>
  </conditionalFormatting>
  <conditionalFormatting sqref="J123">
    <cfRule type="expression" dxfId="31" priority="15">
      <formula>IF(J123="不保養","true","FALSE")</formula>
    </cfRule>
  </conditionalFormatting>
  <conditionalFormatting sqref="J7">
    <cfRule type="expression" dxfId="30" priority="12">
      <formula>IF(J7="不保養","true","FALSE")</formula>
    </cfRule>
  </conditionalFormatting>
  <conditionalFormatting sqref="E1">
    <cfRule type="expression" dxfId="29" priority="9">
      <formula>COUNTIF($A5:$A5, "Yes") = 1</formula>
    </cfRule>
  </conditionalFormatting>
  <conditionalFormatting sqref="A1 F1">
    <cfRule type="expression" dxfId="28" priority="10">
      <formula>COUNTIF(#REF!, "Yes") = 1</formula>
    </cfRule>
  </conditionalFormatting>
  <conditionalFormatting sqref="B1">
    <cfRule type="expression" dxfId="27" priority="11">
      <formula>COUNTIF($A4:$A4, "Yes") = 1</formula>
    </cfRule>
  </conditionalFormatting>
  <conditionalFormatting sqref="G1">
    <cfRule type="expression" dxfId="26" priority="8">
      <formula>COUNTIF(#REF!, "Yes") = 1</formula>
    </cfRule>
  </conditionalFormatting>
  <conditionalFormatting sqref="G7:G123">
    <cfRule type="expression" dxfId="22" priority="4">
      <formula>G7="未更換"</formula>
    </cfRule>
    <cfRule type="expression" dxfId="23" priority="5">
      <formula>G7="已更換"</formula>
    </cfRule>
    <cfRule type="expression" dxfId="21" priority="1">
      <formula>G7="完工已補裝"</formula>
    </cfRule>
  </conditionalFormatting>
  <conditionalFormatting sqref="G7:G123">
    <cfRule type="expression" dxfId="25" priority="3">
      <formula>G7="已PM未更換"</formula>
    </cfRule>
  </conditionalFormatting>
  <conditionalFormatting sqref="H7:H123">
    <cfRule type="expression" dxfId="24" priority="2">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COUNTIF($G$7:$G$150,"已更換")+COUNTIF($G$7:$G$150,"完工已補裝")</f>
        <v>18</v>
      </c>
      <c r="J2" s="297">
        <f>COUNTIF($G$7:$G$150,"未更換")+COUNTIF($G$7:$G$150,"已PM未更換")</f>
        <v>24</v>
      </c>
      <c r="K2" s="195"/>
      <c r="L2" s="195"/>
      <c r="M2" s="195"/>
      <c r="N2" s="195"/>
      <c r="O2" s="195"/>
      <c r="P2" s="196"/>
      <c r="Q2" s="196"/>
      <c r="R2" s="291">
        <v>45778</v>
      </c>
      <c r="S2" s="216"/>
      <c r="U2" s="291">
        <f ca="1">TODAY()</f>
        <v>45800</v>
      </c>
    </row>
    <row r="3" spans="1:23" s="292" customFormat="1" ht="21" customHeight="1">
      <c r="A3" s="293"/>
      <c r="B3" s="296">
        <v>5</v>
      </c>
      <c r="C3" s="297">
        <f>V1</f>
        <v>19</v>
      </c>
      <c r="D3" s="297">
        <f>A2-E2-D4</f>
        <v>17</v>
      </c>
      <c r="E3" s="296">
        <f>COUNTIF(D$7:D$150,"v")</f>
        <v>17</v>
      </c>
      <c r="F3" s="296">
        <f>IF((D3-E3)&lt;0,"0",(D3-E3))</f>
        <v>0</v>
      </c>
      <c r="G3" s="298" t="str">
        <f>ROUND(IF((E3/C3)&gt;1,1,(E3/C3))*100,0)&amp;"%"</f>
        <v>89%</v>
      </c>
      <c r="H3" s="299"/>
      <c r="I3" s="300"/>
      <c r="J3" s="300"/>
      <c r="K3" s="195"/>
      <c r="L3" s="195"/>
      <c r="M3" s="195"/>
      <c r="N3" s="195"/>
      <c r="O3" s="195"/>
      <c r="P3" s="196"/>
      <c r="Q3" s="196"/>
      <c r="R3" s="291">
        <v>45809</v>
      </c>
      <c r="S3" s="291"/>
    </row>
    <row r="4" spans="1:23" s="292" customFormat="1" ht="21" customHeight="1">
      <c r="A4" s="198"/>
      <c r="B4" s="296">
        <v>6</v>
      </c>
      <c r="C4" s="297">
        <f>W1</f>
        <v>19</v>
      </c>
      <c r="D4" s="297">
        <f>A2-E2-E3</f>
        <v>22</v>
      </c>
      <c r="E4" s="296">
        <f>COUNTIF(E$7:E$150,"v")</f>
        <v>0</v>
      </c>
      <c r="F4" s="296">
        <f>IF((D4-E4)&lt;0,"0",(D4-E4))</f>
        <v>22</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36</v>
      </c>
      <c r="F5" s="329">
        <f t="shared" si="0"/>
        <v>23</v>
      </c>
      <c r="G5" s="330" t="str">
        <f>ROUND(IF((E5/C5)&gt;1,1,(E5/C5))*100,0)&amp;"%"</f>
        <v>62%</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38"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4154</v>
      </c>
      <c r="B14" s="201" t="str">
        <f>VLOOKUP(A14,門市主檔!A:B,2,FALSE)</f>
        <v>林口麗園店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林口區</v>
      </c>
      <c r="J14" s="209">
        <v>45728.458333333336</v>
      </c>
      <c r="K14" s="196"/>
      <c r="L14" s="196"/>
      <c r="M14" s="196"/>
      <c r="N14" s="196"/>
      <c r="O14" s="196"/>
      <c r="P14" s="196" t="s">
        <v>51</v>
      </c>
      <c r="Q14" s="196"/>
    </row>
    <row r="15" spans="1:23" ht="21.6" customHeight="1">
      <c r="A15" s="201" t="s">
        <v>1744</v>
      </c>
      <c r="B15" s="201" t="str">
        <f>VLOOKUP(A15,門市主檔!A:B,2,FALSE)</f>
        <v>林口顧家店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無專案</v>
      </c>
      <c r="H15" s="263">
        <f>VLOOKUP(A15,門市主檔!A:V,22,FALSE)</f>
        <v>0</v>
      </c>
      <c r="I15" s="201" t="str">
        <f>VLOOKUP(A15,'0919門市清單主檔'!B:V,21,FALSE)</f>
        <v>林口區</v>
      </c>
      <c r="J15" s="209">
        <v>45728.472222222219</v>
      </c>
      <c r="K15" s="196"/>
      <c r="L15" s="196"/>
      <c r="M15" s="196"/>
      <c r="N15" s="196"/>
      <c r="O15" s="196"/>
      <c r="P15" s="196" t="s">
        <v>51</v>
      </c>
      <c r="Q15" s="196"/>
    </row>
    <row r="16" spans="1:23" ht="21.6" customHeight="1">
      <c r="A16" s="201" t="s">
        <v>41</v>
      </c>
      <c r="B16" s="201" t="str">
        <f>VLOOKUP(A16,門市主檔!A:B,2,FALSE)</f>
        <v>車麗屋林口店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45728.458333333336</v>
      </c>
      <c r="K16" s="196"/>
      <c r="L16" s="196"/>
      <c r="M16" s="196"/>
      <c r="N16" s="196"/>
      <c r="O16" s="196"/>
      <c r="P16" s="196" t="s">
        <v>51</v>
      </c>
      <c r="Q16" s="196"/>
    </row>
    <row r="17" spans="1:20" ht="21.6" customHeight="1">
      <c r="A17" s="201">
        <v>4057</v>
      </c>
      <c r="B17" s="201" t="str">
        <f>VLOOKUP(A17,門市主檔!A:B,2,FALSE)</f>
        <v>林口香澄店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林口區</v>
      </c>
      <c r="J17" s="209">
        <v>45679.465277777781</v>
      </c>
      <c r="K17" s="196"/>
      <c r="L17" s="196"/>
      <c r="M17" s="196"/>
      <c r="N17" s="196"/>
      <c r="O17" s="196"/>
      <c r="P17" s="196" t="s">
        <v>51</v>
      </c>
      <c r="Q17" s="196"/>
      <c r="R17" s="203"/>
      <c r="S17" s="203"/>
      <c r="T17" s="203"/>
    </row>
    <row r="18" spans="1:20" ht="21.6" customHeight="1">
      <c r="A18" s="201">
        <v>4538</v>
      </c>
      <c r="B18" s="201" t="str">
        <f>VLOOKUP(A18,門市主檔!A:B,2,FALSE)</f>
        <v>林口童樂店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無專案</v>
      </c>
      <c r="H18" s="263">
        <f>VLOOKUP(A18,門市主檔!A:V,22,FALSE)</f>
        <v>0</v>
      </c>
      <c r="I18" s="201" t="str">
        <f>VLOOKUP(A18,'0919門市清單主檔'!B:V,21,FALSE)</f>
        <v>林口區</v>
      </c>
      <c r="J18" s="209">
        <v>45693.479166666664</v>
      </c>
      <c r="K18" s="196"/>
      <c r="L18" s="196"/>
      <c r="M18" s="196"/>
      <c r="N18" s="196"/>
      <c r="O18" s="196"/>
      <c r="P18" s="196" t="s">
        <v>51</v>
      </c>
      <c r="Q18" s="196"/>
    </row>
    <row r="19" spans="1:20" ht="21.6" customHeight="1">
      <c r="A19" s="201">
        <v>4679</v>
      </c>
      <c r="B19" s="201" t="str">
        <f>VLOOKUP(A19,門市主檔!A:B,2,FALSE)</f>
        <v>新莊幸運店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新莊區</v>
      </c>
      <c r="J19" s="209">
        <v>45741.631944444445</v>
      </c>
      <c r="K19" s="196"/>
      <c r="L19" s="196"/>
      <c r="M19" s="196"/>
      <c r="N19" s="196"/>
      <c r="O19" s="196"/>
      <c r="P19" s="196" t="s">
        <v>51</v>
      </c>
      <c r="Q19" s="196"/>
    </row>
    <row r="20" spans="1:20" ht="21.6" customHeight="1">
      <c r="A20" s="201">
        <v>4228</v>
      </c>
      <c r="B20" s="201" t="str">
        <f>VLOOKUP(A20,門市主檔!A:B,2,FALSE)</f>
        <v>新莊頭前公園</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新莊區</v>
      </c>
      <c r="J20" s="209">
        <v>45741.645833333336</v>
      </c>
      <c r="K20" s="196"/>
      <c r="L20" s="196"/>
      <c r="M20" s="196"/>
      <c r="N20" s="196"/>
      <c r="O20" s="196"/>
      <c r="P20" s="196" t="s">
        <v>51</v>
      </c>
      <c r="Q20" s="196"/>
    </row>
    <row r="21" spans="1:20" ht="21.6" customHeight="1">
      <c r="A21" s="201" t="s">
        <v>46</v>
      </c>
      <c r="B21" s="201" t="str">
        <f>VLOOKUP(A21,門市主檔!A:B,2,FALSE)</f>
        <v>車麗屋新莊店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新莊區</v>
      </c>
      <c r="J21" s="209">
        <v>45737.618055555555</v>
      </c>
      <c r="K21" s="196"/>
      <c r="L21" s="196"/>
      <c r="M21" s="196"/>
      <c r="N21" s="196"/>
      <c r="O21" s="196"/>
      <c r="P21" s="196" t="s">
        <v>51</v>
      </c>
      <c r="Q21" s="196"/>
    </row>
    <row r="22" spans="1:20" ht="21.6" customHeight="1">
      <c r="A22" s="201">
        <v>4552</v>
      </c>
      <c r="B22" s="201" t="str">
        <f>VLOOKUP(A22,門市主檔!A:B,2,FALSE)</f>
        <v>新莊福慧店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未更換</v>
      </c>
      <c r="H22" s="263">
        <f>VLOOKUP(A22,門市主檔!A:V,22,FALSE)</f>
        <v>1</v>
      </c>
      <c r="I22" s="201" t="str">
        <f>VLOOKUP(A22,'0919門市清單主檔'!B:V,21,FALSE)</f>
        <v>新莊區</v>
      </c>
      <c r="J22" s="209">
        <v>45737.597222222219</v>
      </c>
      <c r="K22" s="196"/>
      <c r="L22" s="196"/>
      <c r="M22" s="196"/>
      <c r="N22" s="196"/>
      <c r="O22" s="196"/>
      <c r="P22" s="196" t="s">
        <v>51</v>
      </c>
      <c r="Q22" s="196"/>
    </row>
    <row r="23" spans="1:20" ht="21.6" customHeight="1">
      <c r="A23" s="201">
        <v>4341</v>
      </c>
      <c r="B23" s="201" t="str">
        <f>VLOOKUP(A23,門市主檔!A:B,2,FALSE)</f>
        <v>新莊莊美店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45736.673611111109</v>
      </c>
      <c r="K23" s="196"/>
      <c r="L23" s="196"/>
      <c r="M23" s="196"/>
      <c r="N23" s="196"/>
      <c r="O23" s="196"/>
      <c r="P23" s="196" t="s">
        <v>51</v>
      </c>
      <c r="Q23" s="196"/>
    </row>
    <row r="24" spans="1:20" ht="21.6" customHeight="1">
      <c r="A24" s="201">
        <v>4194</v>
      </c>
      <c r="B24" s="201" t="str">
        <f>VLOOKUP(A24,門市主檔!A:B,2,FALSE)</f>
        <v>新莊鼎苑店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新莊區</v>
      </c>
      <c r="J24" s="209">
        <v>45700.604166666664</v>
      </c>
      <c r="K24" s="196"/>
      <c r="L24" s="196"/>
      <c r="M24" s="196"/>
      <c r="N24" s="196"/>
      <c r="O24" s="196"/>
      <c r="P24" s="196" t="s">
        <v>51</v>
      </c>
      <c r="Q24" s="196"/>
    </row>
    <row r="25" spans="1:20" ht="21.6" customHeight="1">
      <c r="A25" s="201">
        <v>4701</v>
      </c>
      <c r="B25" s="201" t="str">
        <f>VLOOKUP(A25,門市主檔!A:B,2,FALSE)</f>
        <v>新莊昌平店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無專案</v>
      </c>
      <c r="H25" s="263">
        <f>VLOOKUP(A25,門市主檔!A:V,22,FALSE)</f>
        <v>0</v>
      </c>
      <c r="I25" s="201" t="str">
        <f>VLOOKUP(A25,'0919門市清單主檔'!B:V,21,FALSE)</f>
        <v>新莊區</v>
      </c>
      <c r="J25" s="209">
        <v>45712.604166666664</v>
      </c>
      <c r="K25" s="196"/>
      <c r="L25" s="196"/>
      <c r="M25" s="196"/>
      <c r="N25" s="196"/>
      <c r="O25" s="196"/>
      <c r="P25" s="196" t="s">
        <v>51</v>
      </c>
      <c r="Q25" s="196"/>
    </row>
    <row r="26" spans="1:20" ht="21.6" customHeight="1">
      <c r="A26" s="201">
        <v>3999</v>
      </c>
      <c r="B26" s="201" t="str">
        <f>VLOOKUP(A26,門市主檔!A:B,2,FALSE)</f>
        <v>新莊福祐店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新莊區</v>
      </c>
      <c r="J26" s="209">
        <v>45712.618055555555</v>
      </c>
      <c r="K26" s="196"/>
      <c r="L26" s="196"/>
      <c r="M26" s="196"/>
      <c r="N26" s="196"/>
      <c r="O26" s="196"/>
      <c r="P26" s="196" t="s">
        <v>51</v>
      </c>
      <c r="Q26" s="196"/>
    </row>
    <row r="27" spans="1:20" ht="21.6" customHeight="1">
      <c r="A27" s="201">
        <v>4144</v>
      </c>
      <c r="B27" s="201" t="str">
        <f>VLOOKUP(A27,門市主檔!A:B,2,FALSE)</f>
        <v>新莊頭前店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IF(VLOOKUP(A27,門市主檔!A:O,15,FALSE)="完工已補裝", "完工已補裝",
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45691.5625</v>
      </c>
      <c r="K27" s="196"/>
      <c r="L27" s="196"/>
      <c r="M27" s="196"/>
      <c r="N27" s="196"/>
      <c r="O27" s="196"/>
      <c r="P27" s="196" t="s">
        <v>51</v>
      </c>
      <c r="Q27" s="196"/>
    </row>
    <row r="28" spans="1:20" ht="21.6" customHeight="1">
      <c r="A28" s="201">
        <v>3785</v>
      </c>
      <c r="B28" s="201" t="str">
        <f>VLOOKUP(A28,門市主檔!A:B,2,FALSE)</f>
        <v>北縣莊榮店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IF(VLOOKUP(A28,門市主檔!A:O,15,FALSE)="完工已補裝", "完工已補裝",
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45695.652777777781</v>
      </c>
      <c r="K28" s="196"/>
      <c r="L28" s="196"/>
      <c r="M28" s="196"/>
      <c r="N28" s="196"/>
      <c r="O28" s="196"/>
      <c r="P28" s="196" t="s">
        <v>51</v>
      </c>
      <c r="Q28" s="196"/>
    </row>
    <row r="29" spans="1:20" ht="21.6" customHeight="1">
      <c r="A29" s="201">
        <v>4483</v>
      </c>
      <c r="B29" s="201" t="str">
        <f>VLOOKUP(A29,門市主檔!A:B,2,FALSE)</f>
        <v>林口築夢店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IF(VLOOKUP(A29,門市主檔!A:O,15,FALSE)="完工已補裝", "完工已補裝",
IF(AND(VLOOKUP(A29,門市主檔!A:Z,26,FALSE)="STAR", VLOOKUP(A29,門市主檔!A:R,18,FALSE)=""),
    IF(OR(C29="V", D29="V", E29="V"), "已PM未更換", "未更換"),
    IF(VLOOKUP(A29,門市主檔!A:Z,26,FALSE)&lt;&gt;"STAR", "無專案", "已更換")
))</f>
        <v>已更換</v>
      </c>
      <c r="H29" s="263">
        <f>VLOOKUP(A29,門市主檔!A:V,22,FALSE)</f>
        <v>1</v>
      </c>
      <c r="I29" s="201" t="str">
        <f>VLOOKUP(A29,'0919門市清單主檔'!B:V,21,FALSE)</f>
        <v>林口區</v>
      </c>
      <c r="J29" s="209">
        <v>45728.5</v>
      </c>
      <c r="K29" s="196"/>
      <c r="L29" s="196"/>
      <c r="M29" s="196"/>
      <c r="N29" s="196"/>
      <c r="O29" s="196"/>
      <c r="P29" s="196" t="s">
        <v>51</v>
      </c>
      <c r="Q29" s="196"/>
    </row>
    <row r="30" spans="1:20" ht="21.6" customHeight="1">
      <c r="A30" s="201">
        <v>4514</v>
      </c>
      <c r="B30" s="201" t="str">
        <f>VLOOKUP(A30,門市主檔!A:B,2,FALSE)</f>
        <v>林口老師店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 t="shared" si="1"/>
        <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林口區</v>
      </c>
      <c r="J30" s="209">
        <v>45693.548611111109</v>
      </c>
      <c r="K30" s="196"/>
      <c r="L30" s="196"/>
      <c r="M30" s="196"/>
      <c r="N30" s="196"/>
      <c r="O30" s="196"/>
      <c r="P30" s="196" t="s">
        <v>51</v>
      </c>
      <c r="Q30" s="196"/>
    </row>
    <row r="31" spans="1:20" ht="21.6" customHeight="1">
      <c r="A31" s="201">
        <v>3137</v>
      </c>
      <c r="B31" s="201" t="str">
        <f>VLOOKUP(A31,門市主檔!A:B,2,FALSE)</f>
        <v>北縣黎明店</v>
      </c>
      <c r="C31" s="279" t="str">
        <f>IF(COUNTIFS(IM!$F:$F,A31,IM!$AD:$AD,"O",IM!$X:$X,"&gt;="&amp;$R$1, IM!$X:$X,"&lt;"&amp;$R$2)&gt;0,"V","")</f>
        <v/>
      </c>
      <c r="D31" s="279" t="str">
        <f>IF(AND(C31&lt;&gt;"V", COUNTIFS(IM!$F:$F,A31, IM!$AD:$AD, "O", IM!$X:$X, "&gt;="&amp;$R$2, IM!$X:$X, "&lt;"&amp;$R$3)&gt;0), "V", "")</f>
        <v>V</v>
      </c>
      <c r="E31" s="279" t="str">
        <f>IF(AND(C31&lt;&gt;"V",D31&lt;&gt;"V", COUNTIFS(IM!$F:$F, A31, IM!$AD:$AD, "O", IM!$X:$X, "&gt;="&amp;$R$3, IM!$X:$X, "&lt;"&amp;$R$5)&gt;0), "V", "")</f>
        <v/>
      </c>
      <c r="F31" s="201" t="str">
        <f t="shared" si="1"/>
        <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泰山區</v>
      </c>
      <c r="J31" s="209">
        <v>45728.583333333336</v>
      </c>
      <c r="K31" s="196"/>
      <c r="L31" s="196"/>
      <c r="M31" s="196"/>
      <c r="N31" s="196"/>
      <c r="O31" s="196"/>
      <c r="P31" s="196" t="s">
        <v>51</v>
      </c>
      <c r="Q31" s="196"/>
    </row>
    <row r="32" spans="1:20" ht="21.6" customHeight="1">
      <c r="A32" s="201">
        <v>3380</v>
      </c>
      <c r="B32" s="201" t="str">
        <f>VLOOKUP(A32,門市主檔!A:B,2,FALSE)</f>
        <v>北縣莊勝店</v>
      </c>
      <c r="C32" s="279" t="str">
        <f>IF(COUNTIFS(IM!$F:$F,A32,IM!$AD:$AD,"O",IM!$X:$X,"&gt;="&amp;$R$1, IM!$X:$X,"&lt;"&amp;$R$2)&gt;0,"V","")</f>
        <v/>
      </c>
      <c r="D32" s="279" t="str">
        <f>IF(AND(C32&lt;&gt;"V", COUNTIFS(IM!$F:$F,A32, IM!$AD:$AD, "O", IM!$X:$X, "&gt;="&amp;$R$2, IM!$X:$X, "&lt;"&amp;$R$3)&gt;0), "V", "")</f>
        <v>V</v>
      </c>
      <c r="E32" s="279" t="str">
        <f>IF(AND(C32&lt;&gt;"V",D32&lt;&gt;"V", COUNTIFS(IM!$F:$F, A32, IM!$AD:$AD, "O", IM!$X:$X, "&gt;="&amp;$R$3, IM!$X:$X, "&lt;"&amp;$R$5)&gt;0),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1</v>
      </c>
      <c r="I32" s="201" t="str">
        <f>VLOOKUP(A32,'0919門市清單主檔'!B:V,21,FALSE)</f>
        <v>新莊區</v>
      </c>
      <c r="J32" s="209">
        <v>45663.673611111109</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 t="shared" si="1"/>
        <v/>
      </c>
      <c r="G33" s="201"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 t="shared" si="1"/>
        <v/>
      </c>
      <c r="G34" s="201"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 t="shared" si="1"/>
        <v/>
      </c>
      <c r="G35" s="201"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 t="shared" si="1"/>
        <v/>
      </c>
      <c r="G36" s="201" t="str">
        <f>IF(VLOOKUP(A36,門市主檔!A:O,15,FALSE)="完工已補裝", "完工已補裝",
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 t="shared" si="1"/>
        <v/>
      </c>
      <c r="G37" s="201"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 t="shared" si="1"/>
        <v/>
      </c>
      <c r="G38" s="201"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 t="shared" ref="F39:F64" si="2">IF(COUNTBLANK(C39:E39)=3,"未保養","")</f>
        <v/>
      </c>
      <c r="G39" s="201" t="str">
        <f>IF(VLOOKUP(A39,門市主檔!A:O,15,FALSE)="完工已補裝", "完工已補裝",
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 t="shared" si="2"/>
        <v/>
      </c>
      <c r="G40" s="201"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 t="shared" si="2"/>
        <v/>
      </c>
      <c r="G41" s="201"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 t="shared" si="2"/>
        <v/>
      </c>
      <c r="G42" s="201"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 t="shared" si="2"/>
        <v/>
      </c>
      <c r="G43" s="201"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 t="shared" si="2"/>
        <v/>
      </c>
      <c r="G44" s="201"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 t="shared" si="2"/>
        <v/>
      </c>
      <c r="G45" s="201" t="str">
        <f>IF(VLOOKUP(A45,門市主檔!A:O,15,FALSE)="完工已補裝", "完工已補裝",
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 t="shared" si="2"/>
        <v/>
      </c>
      <c r="G46" s="201"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 t="shared" si="2"/>
        <v/>
      </c>
      <c r="G47" s="201" t="str">
        <f>IF(VLOOKUP(A47,門市主檔!A:O,15,FALSE)="完工已補裝", "完工已補裝",
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 t="shared" si="2"/>
        <v/>
      </c>
      <c r="G48" s="201" t="str">
        <f>IF(VLOOKUP(A48,門市主檔!A:O,15,FALSE)="完工已補裝", "完工已補裝",
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 t="shared" si="2"/>
        <v/>
      </c>
      <c r="G49" s="201" t="str">
        <f>IF(VLOOKUP(A49,門市主檔!A:O,15,FALSE)="完工已補裝", "完工已補裝",
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 t="shared" si="2"/>
        <v/>
      </c>
      <c r="G50" s="201" t="str">
        <f>IF(VLOOKUP(A50,門市主檔!A:O,15,FALSE)="完工已補裝", "完工已補裝",
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 t="shared" si="2"/>
        <v/>
      </c>
      <c r="G51" s="201" t="str">
        <f>IF(VLOOKUP(A51,門市主檔!A:O,15,FALSE)="完工已補裝", "完工已補裝",
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 t="shared" si="2"/>
        <v/>
      </c>
      <c r="G52" s="201" t="str">
        <f>IF(VLOOKUP(A52,門市主檔!A:O,15,FALSE)="完工已補裝", "完工已補裝",
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 t="shared" si="2"/>
        <v/>
      </c>
      <c r="G53" s="201" t="str">
        <f>IF(VLOOKUP(A53,門市主檔!A:O,15,FALSE)="完工已補裝", "完工已補裝",
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 t="shared" si="2"/>
        <v/>
      </c>
      <c r="G54" s="201" t="str">
        <f>IF(VLOOKUP(A54,門市主檔!A:O,15,FALSE)="完工已補裝", "完工已補裝",
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 t="shared" si="2"/>
        <v/>
      </c>
      <c r="G55" s="201" t="str">
        <f>IF(VLOOKUP(A55,門市主檔!A:O,15,FALSE)="完工已補裝", "完工已補裝",
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 t="shared" si="2"/>
        <v/>
      </c>
      <c r="G56" s="201" t="str">
        <f>IF(VLOOKUP(A56,門市主檔!A:O,15,FALSE)="完工已補裝", "完工已補裝",
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 t="shared" si="2"/>
        <v/>
      </c>
      <c r="G57" s="201" t="str">
        <f>IF(VLOOKUP(A57,門市主檔!A:O,15,FALSE)="完工已補裝", "完工已補裝",
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 t="shared" si="2"/>
        <v/>
      </c>
      <c r="G58" s="201" t="str">
        <f>IF(VLOOKUP(A58,門市主檔!A:O,15,FALSE)="完工已補裝", "完工已補裝",
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 t="shared" si="2"/>
        <v/>
      </c>
      <c r="G59" s="201" t="str">
        <f>IF(VLOOKUP(A59,門市主檔!A:O,15,FALSE)="完工已補裝", "完工已補裝",
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 t="shared" si="2"/>
        <v/>
      </c>
      <c r="G60" s="201" t="str">
        <f>IF(VLOOKUP(A60,門市主檔!A:O,15,FALSE)="完工已補裝", "完工已補裝",
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 t="shared" si="2"/>
        <v/>
      </c>
      <c r="G61" s="201" t="str">
        <f>IF(VLOOKUP(A61,門市主檔!A:O,15,FALSE)="完工已補裝", "完工已補裝",
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 t="shared" si="2"/>
        <v/>
      </c>
      <c r="G62" s="201" t="str">
        <f>IF(VLOOKUP(A62,門市主檔!A:O,15,FALSE)="完工已補裝", "完工已補裝",
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 t="shared" si="2"/>
        <v/>
      </c>
      <c r="G63" s="201" t="str">
        <f>IF(VLOOKUP(A63,門市主檔!A:O,15,FALSE)="完工已補裝", "完工已補裝",
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 t="shared" si="2"/>
        <v/>
      </c>
      <c r="G64" s="201" t="str">
        <f>IF(VLOOKUP(A64,門市主檔!A:O,15,FALSE)="完工已補裝", "完工已補裝",
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469" priority="56">
      <formula>OR($J65="不保養", $J65="代保養")</formula>
    </cfRule>
  </conditionalFormatting>
  <conditionalFormatting sqref="F65:H986">
    <cfRule type="expression" dxfId="468" priority="57">
      <formula>OR($F65="不保養", $F65="代保養")</formula>
    </cfRule>
  </conditionalFormatting>
  <conditionalFormatting sqref="B65:B986 B6:B63">
    <cfRule type="expression" dxfId="467" priority="483">
      <formula>COUNTIF(#REF!, "Yes") = 1</formula>
    </cfRule>
  </conditionalFormatting>
  <conditionalFormatting sqref="J7:J63">
    <cfRule type="expression" dxfId="466" priority="34">
      <formula>IF(J7="不保養","true","FALSE")</formula>
    </cfRule>
  </conditionalFormatting>
  <conditionalFormatting sqref="B64">
    <cfRule type="expression" dxfId="465" priority="31">
      <formula>COUNTIF(#REF!, "Yes") = 1</formula>
    </cfRule>
  </conditionalFormatting>
  <conditionalFormatting sqref="J64">
    <cfRule type="expression" dxfId="464" priority="30">
      <formula>IF(J64="不保養","true","FALSE")</formula>
    </cfRule>
  </conditionalFormatting>
  <conditionalFormatting sqref="G6 G65:G1048576">
    <cfRule type="expression" dxfId="463" priority="19">
      <formula>G6="已PM未更換"</formula>
    </cfRule>
  </conditionalFormatting>
  <conditionalFormatting sqref="E1">
    <cfRule type="expression" dxfId="462" priority="16">
      <formula>COUNTIF($A5:$A5, "Yes") = 1</formula>
    </cfRule>
  </conditionalFormatting>
  <conditionalFormatting sqref="A1 F1">
    <cfRule type="expression" dxfId="461" priority="17">
      <formula>COUNTIF(#REF!, "Yes") = 1</formula>
    </cfRule>
  </conditionalFormatting>
  <conditionalFormatting sqref="B1">
    <cfRule type="expression" dxfId="460" priority="18">
      <formula>COUNTIF($A4:$A4, "Yes") = 1</formula>
    </cfRule>
  </conditionalFormatting>
  <conditionalFormatting sqref="G1">
    <cfRule type="expression" dxfId="459" priority="15">
      <formula>COUNTIF(#REF!, "Yes") = 1</formula>
    </cfRule>
  </conditionalFormatting>
  <conditionalFormatting sqref="H7:H150">
    <cfRule type="expression" dxfId="455" priority="5">
      <formula>H7&gt;2</formula>
    </cfRule>
  </conditionalFormatting>
  <conditionalFormatting sqref="G7:G64">
    <cfRule type="expression" dxfId="5" priority="1">
      <formula>G7="完工已補裝"</formula>
    </cfRule>
    <cfRule type="expression" dxfId="7" priority="3">
      <formula>G7="未更換"</formula>
    </cfRule>
    <cfRule type="expression" dxfId="6" priority="4">
      <formula>G7="已更換"</formula>
    </cfRule>
  </conditionalFormatting>
  <conditionalFormatting sqref="G7:G64">
    <cfRule type="expression" dxfId="4" priority="2">
      <formula>G7="已PM未更換"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T1" s="205" t="s">
        <v>7514</v>
      </c>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COUNTIF($G$7:$G$150,"已更換")+COUNTIF($G$7:$G$150,"完工已補裝")</f>
        <v>11</v>
      </c>
      <c r="J2" s="297">
        <f>COUNTIF($G$7:$G$150,"未更換")+COUNTIF($G$7:$G$150,"已PM未更換")</f>
        <v>15</v>
      </c>
      <c r="K2" s="195"/>
      <c r="L2" s="195"/>
      <c r="M2" s="195"/>
      <c r="N2" s="195"/>
      <c r="O2" s="195"/>
      <c r="P2" s="196"/>
      <c r="Q2" s="196"/>
      <c r="R2" s="291">
        <v>45778</v>
      </c>
      <c r="S2" s="216"/>
      <c r="U2" s="291">
        <f ca="1">TODAY()</f>
        <v>45800</v>
      </c>
    </row>
    <row r="3" spans="1:23" s="292" customFormat="1" ht="21" customHeight="1">
      <c r="A3" s="293"/>
      <c r="B3" s="296">
        <v>5</v>
      </c>
      <c r="C3" s="297">
        <f>V1</f>
        <v>12</v>
      </c>
      <c r="D3" s="297">
        <f>A2-E2-D4</f>
        <v>3</v>
      </c>
      <c r="E3" s="296">
        <f>COUNTIF(D$7:D$150,"v")</f>
        <v>3</v>
      </c>
      <c r="F3" s="296">
        <f>IF((D3-E3)&lt;0,"0",(D3-E3))</f>
        <v>0</v>
      </c>
      <c r="G3" s="298" t="str">
        <f>ROUND(IF((E3/C3)&gt;1,1,(E3/C3))*100,0)&amp;"%"</f>
        <v>25%</v>
      </c>
      <c r="H3" s="299"/>
      <c r="I3" s="300"/>
      <c r="J3" s="300"/>
      <c r="K3" s="195"/>
      <c r="L3" s="195"/>
      <c r="M3" s="195"/>
      <c r="N3" s="195"/>
      <c r="O3" s="195"/>
      <c r="P3" s="196"/>
      <c r="Q3" s="196"/>
      <c r="R3" s="291">
        <v>45809</v>
      </c>
      <c r="S3" s="291"/>
    </row>
    <row r="4" spans="1:23" s="292" customFormat="1" ht="21" customHeight="1">
      <c r="A4" s="198"/>
      <c r="B4" s="296">
        <v>6</v>
      </c>
      <c r="C4" s="297">
        <f>W1</f>
        <v>11</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15</v>
      </c>
      <c r="F5" s="329">
        <f t="shared" ref="F5" si="0">SUM(F2:F4)</f>
        <v>20</v>
      </c>
      <c r="G5" s="330" t="str">
        <f>ROUND(IF((E5/C5)&gt;1,1,(E5/C5))*100,0)&amp;"%"</f>
        <v>43%</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v>3183</v>
      </c>
      <c r="B13" s="201" t="str">
        <f>VLOOKUP(A13,門市主檔!A:B,2,FALSE)</f>
        <v>北縣板好店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45698.604166666664</v>
      </c>
      <c r="K13" s="196"/>
      <c r="L13" s="196"/>
      <c r="M13" s="196"/>
      <c r="N13" s="196"/>
      <c r="O13" s="196"/>
      <c r="P13" s="196" t="s">
        <v>51</v>
      </c>
      <c r="Q13" s="196"/>
    </row>
    <row r="14" spans="1:23" ht="21.6" customHeight="1">
      <c r="A14" s="201">
        <v>2069</v>
      </c>
      <c r="B14" s="201" t="str">
        <f>VLOOKUP(A14,門市主檔!A:B,2,FALSE)</f>
        <v>板橋江子翠站</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45714.642361111109</v>
      </c>
      <c r="K14" s="196"/>
      <c r="L14" s="196"/>
      <c r="M14" s="196"/>
      <c r="N14" s="196"/>
      <c r="O14" s="196"/>
      <c r="P14" s="196" t="s">
        <v>51</v>
      </c>
      <c r="Q14" s="196"/>
    </row>
    <row r="15" spans="1:23" ht="21.6" customHeight="1">
      <c r="A15" s="201">
        <v>3965</v>
      </c>
      <c r="B15" s="201" t="str">
        <f>VLOOKUP(A15,門市主檔!A:B,2,FALSE)</f>
        <v>板橋民治店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板橋區</v>
      </c>
      <c r="J15" s="209">
        <v>45727.474999999999</v>
      </c>
      <c r="K15" s="196"/>
      <c r="L15" s="196"/>
      <c r="M15" s="196"/>
      <c r="N15" s="196"/>
      <c r="O15" s="196"/>
      <c r="P15" s="196" t="s">
        <v>51</v>
      </c>
      <c r="Q15" s="196"/>
    </row>
    <row r="16" spans="1:23" ht="21.6" customHeight="1">
      <c r="A16" s="201">
        <v>2746</v>
      </c>
      <c r="B16" s="201" t="str">
        <f>VLOOKUP(A16,門市主檔!A:B,2,FALSE)</f>
        <v>北縣板嘉店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45728.517361111109</v>
      </c>
      <c r="K16" s="196"/>
      <c r="L16" s="196"/>
      <c r="M16" s="196"/>
      <c r="N16" s="196"/>
      <c r="O16" s="196"/>
      <c r="P16" s="196" t="s">
        <v>51</v>
      </c>
      <c r="Q16" s="196"/>
    </row>
    <row r="17" spans="1:17" ht="21.6" customHeight="1">
      <c r="A17" s="201">
        <v>2224</v>
      </c>
      <c r="B17" s="201" t="str">
        <f>VLOOKUP(A17,門市主檔!A:B,2,FALSE)</f>
        <v>板橋莒光店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45733.694444444445</v>
      </c>
      <c r="K17" s="196"/>
      <c r="L17" s="196"/>
      <c r="M17" s="196"/>
      <c r="N17" s="196"/>
      <c r="O17" s="196"/>
      <c r="P17" s="196" t="s">
        <v>51</v>
      </c>
      <c r="Q17" s="196"/>
    </row>
    <row r="18" spans="1:17" ht="21.6" customHeight="1">
      <c r="A18" s="201" t="s">
        <v>31</v>
      </c>
      <c r="B18" s="201" t="str">
        <f>VLOOKUP(A18,門市主檔!A:B,2,FALSE)</f>
        <v>北縣僑中三店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45736.635416666664</v>
      </c>
      <c r="K18" s="196"/>
      <c r="L18" s="196"/>
      <c r="M18" s="196"/>
      <c r="N18" s="196"/>
      <c r="O18" s="196"/>
      <c r="P18" s="196" t="s">
        <v>51</v>
      </c>
      <c r="Q18" s="196"/>
    </row>
    <row r="19" spans="1:17" ht="21.6" customHeight="1">
      <c r="A19" s="201">
        <v>4145</v>
      </c>
      <c r="B19" s="201" t="str">
        <f>VLOOKUP(A19,門市主檔!A:B,2,FALSE)</f>
        <v>板橋僑興店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45736.658333333333</v>
      </c>
      <c r="K19" s="196"/>
      <c r="L19" s="196"/>
      <c r="M19" s="196"/>
      <c r="N19" s="196"/>
      <c r="O19" s="196"/>
      <c r="P19" s="196" t="s">
        <v>51</v>
      </c>
      <c r="Q19" s="196"/>
    </row>
    <row r="20" spans="1:17" ht="21.6" customHeight="1">
      <c r="A20" s="201" t="s">
        <v>33</v>
      </c>
      <c r="B20" s="201" t="str">
        <f>VLOOKUP(A20,門市主檔!A:B,2,FALSE)</f>
        <v>板橋大興店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45736.682638888888</v>
      </c>
      <c r="K20" s="196"/>
      <c r="L20" s="196"/>
      <c r="M20" s="196"/>
      <c r="N20" s="196"/>
      <c r="O20" s="196"/>
      <c r="P20" s="196" t="s">
        <v>51</v>
      </c>
      <c r="Q20" s="196"/>
    </row>
    <row r="21" spans="1:17" ht="21.6" customHeight="1">
      <c r="A21" s="201">
        <v>3955</v>
      </c>
      <c r="B21" s="201" t="str">
        <f>VLOOKUP(A21,門市主檔!A:B,2,FALSE)</f>
        <v>板橋海龍店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45737.600694444445</v>
      </c>
      <c r="K21" s="196"/>
      <c r="L21" s="196"/>
      <c r="M21" s="196"/>
      <c r="N21" s="196"/>
      <c r="O21" s="196"/>
      <c r="P21" s="196" t="s">
        <v>51</v>
      </c>
      <c r="Q21" s="196"/>
    </row>
    <row r="22" spans="1:17" ht="21.6" customHeight="1">
      <c r="A22" s="201">
        <v>3962</v>
      </c>
      <c r="B22" s="201" t="str">
        <f>VLOOKUP(A22,門市主檔!A:B,2,FALSE)</f>
        <v>板橋仁化店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45742.477777777778</v>
      </c>
      <c r="K22" s="196"/>
      <c r="L22" s="196"/>
      <c r="M22" s="196"/>
      <c r="N22" s="196"/>
      <c r="O22" s="196"/>
      <c r="P22" s="196" t="s">
        <v>51</v>
      </c>
      <c r="Q22" s="196"/>
    </row>
    <row r="23" spans="1:17" ht="21.6" customHeight="1">
      <c r="A23" s="201">
        <v>3399</v>
      </c>
      <c r="B23" s="201" t="str">
        <f>VLOOKUP(A23,門市主檔!A:B,2,FALSE)</f>
        <v>板橋藝文中心</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45742.495138888888</v>
      </c>
      <c r="K23" s="196"/>
      <c r="L23" s="196"/>
      <c r="M23" s="196"/>
      <c r="N23" s="196"/>
      <c r="O23" s="196"/>
      <c r="P23" s="196" t="s">
        <v>51</v>
      </c>
      <c r="Q23" s="196"/>
    </row>
    <row r="24" spans="1:17" ht="21.6" customHeight="1">
      <c r="A24" s="201">
        <v>3551</v>
      </c>
      <c r="B24" s="201" t="str">
        <f>VLOOKUP(A24,門市主檔!A:B,2,FALSE)</f>
        <v>北縣板豐店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45742.524305555555</v>
      </c>
      <c r="K24" s="196"/>
      <c r="L24" s="196"/>
      <c r="M24" s="196"/>
      <c r="N24" s="196"/>
      <c r="O24" s="196"/>
      <c r="P24" s="196" t="s">
        <v>51</v>
      </c>
      <c r="Q24" s="196"/>
    </row>
    <row r="25" spans="1:17" ht="21.6" customHeight="1">
      <c r="A25" s="201" t="s">
        <v>30</v>
      </c>
      <c r="B25" s="201" t="str">
        <f>VLOOKUP(A25,門市主檔!A:B,2,FALSE)</f>
        <v>北縣府中店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45742.552083333336</v>
      </c>
      <c r="K25" s="196"/>
      <c r="L25" s="196"/>
      <c r="M25" s="196"/>
      <c r="N25" s="196"/>
      <c r="O25" s="196"/>
      <c r="P25" s="196" t="s">
        <v>51</v>
      </c>
      <c r="Q25" s="196"/>
    </row>
    <row r="26" spans="1:17" ht="21.6" customHeight="1">
      <c r="A26" s="201">
        <v>3416</v>
      </c>
      <c r="B26" s="201" t="str">
        <f>VLOOKUP(A26,門市主檔!A:B,2,FALSE)</f>
        <v>板橋國慶店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45742.590277777781</v>
      </c>
      <c r="K26" s="196"/>
      <c r="L26" s="196"/>
      <c r="M26" s="196"/>
      <c r="N26" s="196"/>
      <c r="O26" s="196"/>
      <c r="P26" s="196" t="s">
        <v>51</v>
      </c>
      <c r="Q26" s="196"/>
    </row>
    <row r="27" spans="1:17" ht="21.6" customHeight="1">
      <c r="A27" s="201" t="s">
        <v>34</v>
      </c>
      <c r="B27" s="201" t="str">
        <f>VLOOKUP(A27,門市主檔!A:B,2,FALSE)</f>
        <v>板橋寶翠店</v>
      </c>
      <c r="C27" s="279" t="str">
        <f>IF(COUNTIFS(IM!$F:$F,A27,IM!$AD:$AD,"O",IM!$X:$X,"&gt;="&amp;$R$1, IM!$X:$X,"&lt;"&amp;$R$2)&gt;0,"V","")</f>
        <v/>
      </c>
      <c r="D27" s="279" t="str">
        <f>IF(AND(C27&lt;&gt;"V", COUNTIFS(IM!$F:$F,A27, IM!$AD:$AD, "O", IM!$X:$X, "&gt;="&amp;$R$2, IM!$X:$X, "&lt;"&amp;$R$3)&gt;0), "V", "")</f>
        <v>V</v>
      </c>
      <c r="E27" s="279" t="str">
        <f>IF(AND(C27&lt;&gt;"V",D27&lt;&gt;"V", COUNTIFS(IM!$F:$F, A27, IM!$AD:$AD, "O", IM!$X:$X, "&gt;="&amp;$R$3, IM!$X:$X, "&lt;"&amp;$R$5)&gt;0), "V", "")</f>
        <v/>
      </c>
      <c r="F27" s="201" t="str">
        <f t="shared" si="1"/>
        <v/>
      </c>
      <c r="G27" s="201" t="str">
        <f>IF(VLOOKUP(A27,門市主檔!A:O,15,FALSE)="完工已補裝", "完工已補裝",
IF(AND(VLOOKUP(A27,門市主檔!A:Z,26,FALSE)="STAR", VLOOKUP(A27,門市主檔!A:R,18,FALSE)=""),
    IF(OR(C27="V", D27="V", E27="V"), "已PM未更換", "未更換"),
    IF(VLOOKUP(A27,門市主檔!A:Z,26,FALSE)&lt;&gt;"STAR", "無專案", "已更換")
))</f>
        <v>已更換</v>
      </c>
      <c r="H27" s="263">
        <f>VLOOKUP(A27,門市主檔!A:V,22,FALSE)</f>
        <v>2</v>
      </c>
      <c r="I27" s="201" t="str">
        <f>VLOOKUP(A27,'0919門市清單主檔'!B:V,21,FALSE)</f>
        <v>板橋區</v>
      </c>
      <c r="J27" s="209">
        <v>45663.586805555555</v>
      </c>
      <c r="K27" s="196"/>
      <c r="L27" s="196"/>
      <c r="M27" s="196"/>
      <c r="N27" s="196"/>
      <c r="O27" s="196"/>
      <c r="P27" s="196" t="s">
        <v>51</v>
      </c>
      <c r="Q27" s="196"/>
    </row>
    <row r="28" spans="1:17" ht="21.6" customHeight="1">
      <c r="A28" s="201">
        <v>4167</v>
      </c>
      <c r="B28" s="201" t="str">
        <f>VLOOKUP(A28,門市主檔!A:B,2,FALSE)</f>
        <v>板橋松翠店</v>
      </c>
      <c r="C28" s="279" t="str">
        <f>IF(COUNTIFS(IM!$F:$F,A28,IM!$AD:$AD,"O",IM!$X:$X,"&gt;="&amp;$R$1, IM!$X:$X,"&lt;"&amp;$R$2)&gt;0,"V","")</f>
        <v/>
      </c>
      <c r="D28" s="279" t="str">
        <f>IF(AND(C28&lt;&gt;"V", COUNTIFS(IM!$F:$F,A28, IM!$AD:$AD, "O", IM!$X:$X, "&gt;="&amp;$R$2, IM!$X:$X, "&lt;"&amp;$R$3)&gt;0), "V", "")</f>
        <v>V</v>
      </c>
      <c r="E28" s="279" t="str">
        <f>IF(AND(C28&lt;&gt;"V",D28&lt;&gt;"V", COUNTIFS(IM!$F:$F, A28, IM!$AD:$AD, "O", IM!$X:$X, "&gt;="&amp;$R$3, IM!$X:$X, "&lt;"&amp;$R$5)&gt;0), "V", "")</f>
        <v/>
      </c>
      <c r="F28" s="201" t="str">
        <f t="shared" si="1"/>
        <v/>
      </c>
      <c r="G28" s="201" t="str">
        <f>IF(VLOOKUP(A28,門市主檔!A:O,15,FALSE)="完工已補裝", "完工已補裝",
IF(AND(VLOOKUP(A28,門市主檔!A:Z,26,FALSE)="STAR", VLOOKUP(A28,門市主檔!A:R,18,FALSE)=""),
    IF(OR(C28="V", D28="V", E28="V"), "已PM未更換", "未更換"),
    IF(VLOOKUP(A28,門市主檔!A:Z,26,FALSE)&lt;&gt;"STAR", "無專案", "已更換")
))</f>
        <v>已更換</v>
      </c>
      <c r="H28" s="263">
        <f>VLOOKUP(A28,門市主檔!A:V,22,FALSE)</f>
        <v>2</v>
      </c>
      <c r="I28" s="201" t="str">
        <f>VLOOKUP(A28,'0919門市清單主檔'!B:V,21,FALSE)</f>
        <v>板橋區</v>
      </c>
      <c r="J28" s="209">
        <v>45698.701388888891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IF(VLOOKUP(A33,門市主檔!A:O,15,FALSE)="完工已補裝", "完工已補裝",
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IF(VLOOKUP(A34,門市主檔!A:O,15,FALSE)="完工已補裝", "完工已補裝",
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IF(VLOOKUP(A35,門市主檔!A:O,15,FALSE)="完工已補裝", "完工已補裝",
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IF(VLOOKUP(A36,門市主檔!A:O,15,FALSE)="完工已補裝", "完工已補裝",
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IF(VLOOKUP(A37,門市主檔!A:O,15,FALSE)="完工已補裝", "完工已補裝",
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IF(VLOOKUP(A38,門市主檔!A:O,15,FALSE)="完工已補裝", "完工已補裝",
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IF(VLOOKUP(A39,門市主檔!A:O,15,FALSE)="完工已補裝", "完工已補裝",
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IF(VLOOKUP(A40,門市主檔!A:O,15,FALSE)="完工已補裝", "完工已補裝",
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IF(VLOOKUP(A41,門市主檔!A:O,15,FALSE)="完工已補裝", "完工已補裝",
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454" priority="36">
      <formula>IF(J7="不保養","true","FALSE")</formula>
    </cfRule>
  </conditionalFormatting>
  <conditionalFormatting sqref="B6:B41">
    <cfRule type="expression" dxfId="453" priority="351">
      <formula>COUNTIF(#REF!, "Yes") = 1</formula>
    </cfRule>
  </conditionalFormatting>
  <conditionalFormatting sqref="E1">
    <cfRule type="expression" dxfId="452" priority="16">
      <formula>COUNTIF($A5:$A5, "Yes") = 1</formula>
    </cfRule>
  </conditionalFormatting>
  <conditionalFormatting sqref="A1 F1">
    <cfRule type="expression" dxfId="451" priority="17">
      <formula>COUNTIF(#REF!, "Yes") = 1</formula>
    </cfRule>
  </conditionalFormatting>
  <conditionalFormatting sqref="B1">
    <cfRule type="expression" dxfId="450" priority="18">
      <formula>COUNTIF($A4:$A4, "Yes") = 1</formula>
    </cfRule>
  </conditionalFormatting>
  <conditionalFormatting sqref="G1">
    <cfRule type="expression" dxfId="449" priority="15">
      <formula>COUNTIF(#REF!, "Yes") = 1</formula>
    </cfRule>
  </conditionalFormatting>
  <conditionalFormatting sqref="H7:H41">
    <cfRule type="expression" dxfId="445" priority="5">
      <formula>H7&gt;2</formula>
    </cfRule>
  </conditionalFormatting>
  <conditionalFormatting sqref="G7:G41">
    <cfRule type="expression" dxfId="3" priority="1">
      <formula>G7="完工已補裝"</formula>
    </cfRule>
    <cfRule type="expression" dxfId="2" priority="3">
      <formula>G7="未更換"</formula>
    </cfRule>
    <cfRule type="expression" dxfId="1" priority="4">
      <formula>G7="已更換"</formula>
    </cfRule>
  </conditionalFormatting>
  <conditionalFormatting sqref="G7:G41">
    <cfRule type="expression" dxfId="0" priority="2">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444" priority="6"/>
  </conditionalFormatting>
  <conditionalFormatting sqref="A5">
    <cfRule type="duplicateValues" dxfId="443" priority="5"/>
  </conditionalFormatting>
  <conditionalFormatting sqref="A3">
    <cfRule type="duplicateValues" dxfId="442" priority="4"/>
  </conditionalFormatting>
  <conditionalFormatting sqref="A30:A31">
    <cfRule type="duplicateValues" dxfId="441" priority="3"/>
  </conditionalFormatting>
  <conditionalFormatting sqref="A27">
    <cfRule type="duplicateValues" dxfId="440" priority="1"/>
  </conditionalFormatting>
  <conditionalFormatting sqref="A25:A26">
    <cfRule type="duplicateValues" dxfId="439" priority="2"/>
  </conditionalFormatting>
  <conditionalFormatting sqref="A33:A34 A17:A19 A6:A10 A22:A24 A1:A2">
    <cfRule type="duplicateValues" dxfId="438"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437" priority="52">
      <formula>AB1&lt;&gt;C1</formula>
    </cfRule>
  </conditionalFormatting>
  <conditionalFormatting sqref="C1">
    <cfRule type="duplicateValues" dxfId="436" priority="31"/>
  </conditionalFormatting>
  <conditionalFormatting sqref="B1">
    <cfRule type="duplicateValues" dxfId="435" priority="29"/>
    <cfRule type="duplicateValues" dxfId="434" priority="30"/>
  </conditionalFormatting>
  <conditionalFormatting sqref="B165">
    <cfRule type="duplicateValues" dxfId="433" priority="26"/>
  </conditionalFormatting>
  <conditionalFormatting sqref="C2:C208">
    <cfRule type="duplicateValues" dxfId="432" priority="448"/>
  </conditionalFormatting>
  <conditionalFormatting sqref="B2:B207">
    <cfRule type="duplicateValues" dxfId="431" priority="450"/>
    <cfRule type="duplicateValues" dxfId="430" priority="451"/>
  </conditionalFormatting>
  <conditionalFormatting sqref="AB209:AC209">
    <cfRule type="expression" dxfId="429" priority="7">
      <formula>AB209&lt;&gt;C209</formula>
    </cfRule>
  </conditionalFormatting>
  <conditionalFormatting sqref="C209">
    <cfRule type="duplicateValues" dxfId="428" priority="8"/>
  </conditionalFormatting>
  <conditionalFormatting sqref="AB210:AC210">
    <cfRule type="expression" dxfId="427" priority="5">
      <formula>AB210&lt;&gt;C210</formula>
    </cfRule>
  </conditionalFormatting>
  <conditionalFormatting sqref="C210">
    <cfRule type="duplicateValues" dxfId="426" priority="6"/>
  </conditionalFormatting>
  <conditionalFormatting sqref="AB211:AC211">
    <cfRule type="expression" dxfId="425" priority="3">
      <formula>AB211&lt;&gt;C211</formula>
    </cfRule>
  </conditionalFormatting>
  <conditionalFormatting sqref="C211">
    <cfRule type="duplicateValues" dxfId="424" priority="4"/>
  </conditionalFormatting>
  <conditionalFormatting sqref="AB212:AC213">
    <cfRule type="expression" dxfId="423" priority="1">
      <formula>AB212&lt;&gt;C212</formula>
    </cfRule>
  </conditionalFormatting>
  <conditionalFormatting sqref="C212:C213">
    <cfRule type="duplicateValues" dxfId="422" priority="2"/>
  </conditionalFormatting>
  <conditionalFormatting sqref="AD3:AD213">
    <cfRule type="expression" dxfId="421"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420" priority="304"/>
  </conditionalFormatting>
  <conditionalFormatting sqref="F401:F402">
    <cfRule type="duplicateValues" dxfId="419" priority="305"/>
  </conditionalFormatting>
  <conditionalFormatting sqref="I2:I1277 I1478:I1048576 L2">
    <cfRule type="cellIs" dxfId="418" priority="303" operator="greaterThan">
      <formula>2</formula>
    </cfRule>
  </conditionalFormatting>
  <conditionalFormatting sqref="I1079:I1275">
    <cfRule type="containsText" dxfId="417" priority="293" operator="containsText" text="3">
      <formula>NOT(ISERROR(SEARCH("3",I1079)))</formula>
    </cfRule>
  </conditionalFormatting>
  <conditionalFormatting sqref="F1102:F1103 F1105:F1107">
    <cfRule type="duplicateValues" dxfId="416" priority="289"/>
  </conditionalFormatting>
  <conditionalFormatting sqref="F1102:F1103">
    <cfRule type="duplicateValues" dxfId="415" priority="290"/>
  </conditionalFormatting>
  <conditionalFormatting sqref="F1104">
    <cfRule type="duplicateValues" dxfId="414" priority="287"/>
  </conditionalFormatting>
  <conditionalFormatting sqref="F1104">
    <cfRule type="duplicateValues" dxfId="413" priority="288"/>
  </conditionalFormatting>
  <conditionalFormatting sqref="F1108:F1114">
    <cfRule type="duplicateValues" dxfId="412" priority="291"/>
  </conditionalFormatting>
  <conditionalFormatting sqref="F1115:F1116">
    <cfRule type="duplicateValues" dxfId="411" priority="292"/>
  </conditionalFormatting>
  <conditionalFormatting sqref="F1136:F1140">
    <cfRule type="duplicateValues" dxfId="410" priority="286"/>
  </conditionalFormatting>
  <conditionalFormatting sqref="F1158">
    <cfRule type="duplicateValues" dxfId="409" priority="282"/>
  </conditionalFormatting>
  <conditionalFormatting sqref="F1158">
    <cfRule type="duplicateValues" dxfId="408" priority="283"/>
  </conditionalFormatting>
  <conditionalFormatting sqref="F1166">
    <cfRule type="duplicateValues" dxfId="407" priority="281"/>
  </conditionalFormatting>
  <conditionalFormatting sqref="F1169 F1159:F1165">
    <cfRule type="duplicateValues" dxfId="406" priority="284"/>
  </conditionalFormatting>
  <conditionalFormatting sqref="F1171 F1167:F1168">
    <cfRule type="duplicateValues" dxfId="405" priority="285"/>
  </conditionalFormatting>
  <conditionalFormatting sqref="F1175:F1177">
    <cfRule type="duplicateValues" dxfId="404" priority="280"/>
  </conditionalFormatting>
  <conditionalFormatting sqref="F1186:F1199">
    <cfRule type="duplicateValues" dxfId="403" priority="278"/>
  </conditionalFormatting>
  <conditionalFormatting sqref="F1185">
    <cfRule type="duplicateValues" dxfId="402" priority="279"/>
  </conditionalFormatting>
  <conditionalFormatting sqref="F1221:F1223">
    <cfRule type="duplicateValues" dxfId="401" priority="276"/>
  </conditionalFormatting>
  <conditionalFormatting sqref="F1229:F1230">
    <cfRule type="duplicateValues" dxfId="400" priority="277"/>
  </conditionalFormatting>
  <conditionalFormatting sqref="F1226:F1227">
    <cfRule type="duplicateValues" dxfId="399" priority="275"/>
  </conditionalFormatting>
  <conditionalFormatting sqref="F1232">
    <cfRule type="duplicateValues" dxfId="398" priority="273"/>
  </conditionalFormatting>
  <conditionalFormatting sqref="F1232">
    <cfRule type="duplicateValues" dxfId="397" priority="272"/>
  </conditionalFormatting>
  <conditionalFormatting sqref="F1232">
    <cfRule type="duplicateValues" dxfId="396" priority="271"/>
  </conditionalFormatting>
  <conditionalFormatting sqref="F1250:F1257">
    <cfRule type="duplicateValues" dxfId="395" priority="274"/>
  </conditionalFormatting>
  <conditionalFormatting sqref="F1178:F1184">
    <cfRule type="duplicateValues" dxfId="394" priority="294"/>
  </conditionalFormatting>
  <conditionalFormatting sqref="F1200:F1215">
    <cfRule type="duplicateValues" dxfId="393" priority="295"/>
  </conditionalFormatting>
  <conditionalFormatting sqref="F1231 F1228 F1224:F1225">
    <cfRule type="duplicateValues" dxfId="392" priority="296"/>
  </conditionalFormatting>
  <conditionalFormatting sqref="F1154:F1157">
    <cfRule type="duplicateValues" dxfId="391" priority="297"/>
  </conditionalFormatting>
  <conditionalFormatting sqref="F1260:F1262">
    <cfRule type="duplicateValues" dxfId="390" priority="269"/>
  </conditionalFormatting>
  <conditionalFormatting sqref="F1269:F1270">
    <cfRule type="duplicateValues" dxfId="389" priority="270"/>
  </conditionalFormatting>
  <conditionalFormatting sqref="F1265:F1266">
    <cfRule type="duplicateValues" dxfId="388" priority="268"/>
  </conditionalFormatting>
  <conditionalFormatting sqref="F1233:F1249">
    <cfRule type="duplicateValues" dxfId="387" priority="298"/>
  </conditionalFormatting>
  <conditionalFormatting sqref="F1144:F1153">
    <cfRule type="duplicateValues" dxfId="386" priority="299"/>
  </conditionalFormatting>
  <conditionalFormatting sqref="F1216:F1218">
    <cfRule type="duplicateValues" dxfId="385" priority="300"/>
  </conditionalFormatting>
  <conditionalFormatting sqref="F1267:F1268 F1263:F1264">
    <cfRule type="duplicateValues" dxfId="384" priority="301"/>
  </conditionalFormatting>
  <conditionalFormatting sqref="F1271:F1275">
    <cfRule type="duplicateValues" dxfId="383" priority="302"/>
  </conditionalFormatting>
  <conditionalFormatting sqref="F1276">
    <cfRule type="duplicateValues" dxfId="382" priority="267"/>
  </conditionalFormatting>
  <conditionalFormatting sqref="I1276">
    <cfRule type="containsText" dxfId="381" priority="266" operator="containsText" text="3">
      <formula>NOT(ISERROR(SEARCH("3",I1276)))</formula>
    </cfRule>
  </conditionalFormatting>
  <conditionalFormatting sqref="F1277">
    <cfRule type="duplicateValues" dxfId="380" priority="265"/>
  </conditionalFormatting>
  <conditionalFormatting sqref="I1277">
    <cfRule type="containsText" dxfId="379" priority="264" operator="containsText" text="3">
      <formula>NOT(ISERROR(SEARCH("3",I1277)))</formula>
    </cfRule>
  </conditionalFormatting>
  <conditionalFormatting sqref="R50">
    <cfRule type="containsText" dxfId="378" priority="263" operator="containsText" text="3">
      <formula>NOT(ISERROR(SEARCH("3",R50)))</formula>
    </cfRule>
  </conditionalFormatting>
  <conditionalFormatting sqref="R49">
    <cfRule type="containsText" dxfId="377" priority="262" operator="containsText" text="3">
      <formula>NOT(ISERROR(SEARCH("3",R49)))</formula>
    </cfRule>
  </conditionalFormatting>
  <conditionalFormatting sqref="E1478:E1048576 E1:E1277">
    <cfRule type="duplicateValues" dxfId="376" priority="261"/>
  </conditionalFormatting>
  <conditionalFormatting sqref="F1478:F1048576 F1:F1277">
    <cfRule type="duplicateValues" dxfId="375" priority="260"/>
  </conditionalFormatting>
  <conditionalFormatting sqref="F1278">
    <cfRule type="duplicateValues" dxfId="374" priority="259"/>
  </conditionalFormatting>
  <conditionalFormatting sqref="I1278:I1289">
    <cfRule type="containsText" dxfId="373" priority="258" operator="containsText" text="3">
      <formula>NOT(ISERROR(SEARCH("3",I1278)))</formula>
    </cfRule>
  </conditionalFormatting>
  <conditionalFormatting sqref="F1279:F1280">
    <cfRule type="duplicateValues" dxfId="372" priority="257"/>
  </conditionalFormatting>
  <conditionalFormatting sqref="F1281:F1282">
    <cfRule type="duplicateValues" dxfId="371" priority="256"/>
  </conditionalFormatting>
  <conditionalFormatting sqref="F1284">
    <cfRule type="duplicateValues" dxfId="370" priority="253"/>
  </conditionalFormatting>
  <conditionalFormatting sqref="F1284">
    <cfRule type="duplicateValues" dxfId="369" priority="252"/>
  </conditionalFormatting>
  <conditionalFormatting sqref="F1284">
    <cfRule type="duplicateValues" dxfId="368" priority="251"/>
  </conditionalFormatting>
  <conditionalFormatting sqref="F1283">
    <cfRule type="duplicateValues" dxfId="367" priority="254"/>
  </conditionalFormatting>
  <conditionalFormatting sqref="F1285:F1289">
    <cfRule type="duplicateValues" dxfId="366" priority="255"/>
  </conditionalFormatting>
  <conditionalFormatting sqref="F1290:F1293">
    <cfRule type="duplicateValues" dxfId="365" priority="250"/>
  </conditionalFormatting>
  <conditionalFormatting sqref="I1290:I1291">
    <cfRule type="containsText" dxfId="364" priority="249" operator="containsText" text="3">
      <formula>NOT(ISERROR(SEARCH("3",I1290)))</formula>
    </cfRule>
  </conditionalFormatting>
  <conditionalFormatting sqref="I1292:I1293">
    <cfRule type="containsText" dxfId="363" priority="248" operator="containsText" text="3">
      <formula>NOT(ISERROR(SEARCH("3",I1292)))</formula>
    </cfRule>
  </conditionalFormatting>
  <conditionalFormatting sqref="F1294:F1295">
    <cfRule type="duplicateValues" dxfId="362" priority="247"/>
  </conditionalFormatting>
  <conditionalFormatting sqref="I1294:I1295">
    <cfRule type="containsText" dxfId="361" priority="246" operator="containsText" text="3">
      <formula>NOT(ISERROR(SEARCH("3",I1294)))</formula>
    </cfRule>
  </conditionalFormatting>
  <conditionalFormatting sqref="E1296">
    <cfRule type="duplicateValues" dxfId="360" priority="226"/>
  </conditionalFormatting>
  <conditionalFormatting sqref="E1296">
    <cfRule type="duplicateValues" dxfId="359" priority="225"/>
  </conditionalFormatting>
  <conditionalFormatting sqref="F1296">
    <cfRule type="duplicateValues" dxfId="358" priority="223"/>
  </conditionalFormatting>
  <conditionalFormatting sqref="F1296">
    <cfRule type="duplicateValues" dxfId="357" priority="221"/>
    <cfRule type="duplicateValues" dxfId="356" priority="222"/>
  </conditionalFormatting>
  <conditionalFormatting sqref="F1296">
    <cfRule type="duplicateValues" dxfId="355" priority="224"/>
  </conditionalFormatting>
  <conditionalFormatting sqref="F1297">
    <cfRule type="duplicateValues" dxfId="354" priority="219"/>
  </conditionalFormatting>
  <conditionalFormatting sqref="E1297">
    <cfRule type="duplicateValues" dxfId="353" priority="218"/>
  </conditionalFormatting>
  <conditionalFormatting sqref="E1297">
    <cfRule type="duplicateValues" dxfId="352" priority="217"/>
  </conditionalFormatting>
  <conditionalFormatting sqref="F1297">
    <cfRule type="duplicateValues" dxfId="351" priority="215"/>
    <cfRule type="duplicateValues" dxfId="350" priority="216"/>
  </conditionalFormatting>
  <conditionalFormatting sqref="F1297">
    <cfRule type="duplicateValues" dxfId="349" priority="220"/>
  </conditionalFormatting>
  <conditionalFormatting sqref="F1298">
    <cfRule type="duplicateValues" dxfId="348" priority="213"/>
  </conditionalFormatting>
  <conditionalFormatting sqref="E1298">
    <cfRule type="duplicateValues" dxfId="347" priority="212"/>
  </conditionalFormatting>
  <conditionalFormatting sqref="E1298">
    <cfRule type="duplicateValues" dxfId="346" priority="211"/>
  </conditionalFormatting>
  <conditionalFormatting sqref="F1298">
    <cfRule type="duplicateValues" dxfId="345" priority="209"/>
    <cfRule type="duplicateValues" dxfId="344" priority="210"/>
  </conditionalFormatting>
  <conditionalFormatting sqref="F1298">
    <cfRule type="duplicateValues" dxfId="343" priority="214"/>
  </conditionalFormatting>
  <conditionalFormatting sqref="F1299">
    <cfRule type="duplicateValues" dxfId="342" priority="207"/>
  </conditionalFormatting>
  <conditionalFormatting sqref="E1299">
    <cfRule type="duplicateValues" dxfId="341" priority="206"/>
  </conditionalFormatting>
  <conditionalFormatting sqref="E1299">
    <cfRule type="duplicateValues" dxfId="340" priority="205"/>
  </conditionalFormatting>
  <conditionalFormatting sqref="F1299">
    <cfRule type="duplicateValues" dxfId="339" priority="203"/>
    <cfRule type="duplicateValues" dxfId="338" priority="204"/>
  </conditionalFormatting>
  <conditionalFormatting sqref="F1299">
    <cfRule type="duplicateValues" dxfId="337" priority="208"/>
  </conditionalFormatting>
  <conditionalFormatting sqref="F1300">
    <cfRule type="duplicateValues" dxfId="336" priority="201"/>
  </conditionalFormatting>
  <conditionalFormatting sqref="E1300">
    <cfRule type="duplicateValues" dxfId="335" priority="200"/>
  </conditionalFormatting>
  <conditionalFormatting sqref="E1300">
    <cfRule type="duplicateValues" dxfId="334" priority="199"/>
  </conditionalFormatting>
  <conditionalFormatting sqref="F1300">
    <cfRule type="duplicateValues" dxfId="333" priority="197"/>
    <cfRule type="duplicateValues" dxfId="332" priority="198"/>
  </conditionalFormatting>
  <conditionalFormatting sqref="F1300">
    <cfRule type="duplicateValues" dxfId="331" priority="202"/>
  </conditionalFormatting>
  <conditionalFormatting sqref="F1301:F1302">
    <cfRule type="duplicateValues" dxfId="330" priority="195"/>
  </conditionalFormatting>
  <conditionalFormatting sqref="E1301:E1302">
    <cfRule type="duplicateValues" dxfId="329" priority="194"/>
  </conditionalFormatting>
  <conditionalFormatting sqref="E1301:E1302">
    <cfRule type="duplicateValues" dxfId="328" priority="193"/>
  </conditionalFormatting>
  <conditionalFormatting sqref="F1301:F1302">
    <cfRule type="duplicateValues" dxfId="327" priority="191"/>
    <cfRule type="duplicateValues" dxfId="326" priority="192"/>
  </conditionalFormatting>
  <conditionalFormatting sqref="F1301:F1302">
    <cfRule type="duplicateValues" dxfId="325" priority="196"/>
  </conditionalFormatting>
  <conditionalFormatting sqref="E1303:E1304">
    <cfRule type="duplicateValues" dxfId="324" priority="187"/>
  </conditionalFormatting>
  <conditionalFormatting sqref="E1303:E1304">
    <cfRule type="duplicateValues" dxfId="323" priority="186"/>
  </conditionalFormatting>
  <conditionalFormatting sqref="F1303:F1310">
    <cfRule type="duplicateValues" dxfId="322" priority="188"/>
  </conditionalFormatting>
  <conditionalFormatting sqref="F1303:F1310">
    <cfRule type="duplicateValues" dxfId="321" priority="189"/>
    <cfRule type="duplicateValues" dxfId="320" priority="190"/>
  </conditionalFormatting>
  <conditionalFormatting sqref="E1314:E1315">
    <cfRule type="duplicateValues" dxfId="319" priority="172"/>
  </conditionalFormatting>
  <conditionalFormatting sqref="F1314:F1315">
    <cfRule type="duplicateValues" dxfId="318" priority="170"/>
    <cfRule type="duplicateValues" dxfId="317" priority="171"/>
  </conditionalFormatting>
  <conditionalFormatting sqref="F1314:F1315">
    <cfRule type="duplicateValues" dxfId="316" priority="173"/>
  </conditionalFormatting>
  <conditionalFormatting sqref="E1311:E1313">
    <cfRule type="duplicateValues" dxfId="315" priority="174"/>
  </conditionalFormatting>
  <conditionalFormatting sqref="F1311:F1313">
    <cfRule type="duplicateValues" dxfId="314" priority="175"/>
    <cfRule type="duplicateValues" dxfId="313" priority="176"/>
  </conditionalFormatting>
  <conditionalFormatting sqref="F1311:F1313">
    <cfRule type="duplicateValues" dxfId="312" priority="177"/>
  </conditionalFormatting>
  <conditionalFormatting sqref="E1316:E1318">
    <cfRule type="duplicateValues" dxfId="311" priority="178"/>
  </conditionalFormatting>
  <conditionalFormatting sqref="F1316:F1318">
    <cfRule type="duplicateValues" dxfId="310" priority="179"/>
    <cfRule type="duplicateValues" dxfId="309" priority="180"/>
  </conditionalFormatting>
  <conditionalFormatting sqref="F1316:F1318">
    <cfRule type="duplicateValues" dxfId="308" priority="181"/>
  </conditionalFormatting>
  <conditionalFormatting sqref="E1319:E1321">
    <cfRule type="duplicateValues" dxfId="307" priority="182"/>
  </conditionalFormatting>
  <conditionalFormatting sqref="F1319:F1321">
    <cfRule type="duplicateValues" dxfId="306" priority="183"/>
    <cfRule type="duplicateValues" dxfId="305" priority="184"/>
  </conditionalFormatting>
  <conditionalFormatting sqref="F1319:F1321">
    <cfRule type="duplicateValues" dxfId="304" priority="185"/>
  </conditionalFormatting>
  <conditionalFormatting sqref="E1322:E1323">
    <cfRule type="duplicateValues" dxfId="303" priority="152"/>
  </conditionalFormatting>
  <conditionalFormatting sqref="F1322:F1323">
    <cfRule type="duplicateValues" dxfId="302" priority="150"/>
    <cfRule type="duplicateValues" dxfId="301" priority="151"/>
  </conditionalFormatting>
  <conditionalFormatting sqref="F1322:F1323">
    <cfRule type="duplicateValues" dxfId="300" priority="153"/>
  </conditionalFormatting>
  <conditionalFormatting sqref="E1328">
    <cfRule type="duplicateValues" dxfId="299" priority="154"/>
  </conditionalFormatting>
  <conditionalFormatting sqref="F1328">
    <cfRule type="duplicateValues" dxfId="298" priority="155"/>
    <cfRule type="duplicateValues" dxfId="297" priority="156"/>
  </conditionalFormatting>
  <conditionalFormatting sqref="F1328">
    <cfRule type="duplicateValues" dxfId="296" priority="157"/>
  </conditionalFormatting>
  <conditionalFormatting sqref="E1327">
    <cfRule type="duplicateValues" dxfId="295" priority="158"/>
  </conditionalFormatting>
  <conditionalFormatting sqref="F1327">
    <cfRule type="duplicateValues" dxfId="294" priority="159"/>
    <cfRule type="duplicateValues" dxfId="293" priority="160"/>
  </conditionalFormatting>
  <conditionalFormatting sqref="F1327">
    <cfRule type="duplicateValues" dxfId="292" priority="161"/>
  </conditionalFormatting>
  <conditionalFormatting sqref="E1326">
    <cfRule type="duplicateValues" dxfId="291" priority="162"/>
  </conditionalFormatting>
  <conditionalFormatting sqref="F1326">
    <cfRule type="duplicateValues" dxfId="290" priority="163"/>
    <cfRule type="duplicateValues" dxfId="289" priority="164"/>
  </conditionalFormatting>
  <conditionalFormatting sqref="F1326">
    <cfRule type="duplicateValues" dxfId="288" priority="165"/>
  </conditionalFormatting>
  <conditionalFormatting sqref="E1324:E1325">
    <cfRule type="duplicateValues" dxfId="287" priority="166"/>
  </conditionalFormatting>
  <conditionalFormatting sqref="F1324:F1325">
    <cfRule type="duplicateValues" dxfId="286" priority="167"/>
    <cfRule type="duplicateValues" dxfId="285" priority="168"/>
  </conditionalFormatting>
  <conditionalFormatting sqref="F1324:F1325">
    <cfRule type="duplicateValues" dxfId="284" priority="169"/>
  </conditionalFormatting>
  <conditionalFormatting sqref="F1337:F1338">
    <cfRule type="duplicateValues" dxfId="283" priority="148"/>
  </conditionalFormatting>
  <conditionalFormatting sqref="E1337:E1338">
    <cfRule type="duplicateValues" dxfId="282" priority="147"/>
  </conditionalFormatting>
  <conditionalFormatting sqref="E1337:E1338">
    <cfRule type="duplicateValues" dxfId="281" priority="146"/>
  </conditionalFormatting>
  <conditionalFormatting sqref="F1337:F1338">
    <cfRule type="duplicateValues" dxfId="280" priority="144"/>
    <cfRule type="duplicateValues" dxfId="279" priority="145"/>
  </conditionalFormatting>
  <conditionalFormatting sqref="F1337:F1338">
    <cfRule type="duplicateValues" dxfId="278" priority="149"/>
  </conditionalFormatting>
  <conditionalFormatting sqref="E1339">
    <cfRule type="duplicateValues" dxfId="277" priority="142"/>
  </conditionalFormatting>
  <conditionalFormatting sqref="F1339">
    <cfRule type="duplicateValues" dxfId="276" priority="143"/>
  </conditionalFormatting>
  <conditionalFormatting sqref="F1340">
    <cfRule type="duplicateValues" dxfId="275" priority="140"/>
  </conditionalFormatting>
  <conditionalFormatting sqref="E1340">
    <cfRule type="duplicateValues" dxfId="274" priority="139"/>
  </conditionalFormatting>
  <conditionalFormatting sqref="E1340">
    <cfRule type="duplicateValues" dxfId="273" priority="138"/>
  </conditionalFormatting>
  <conditionalFormatting sqref="F1340">
    <cfRule type="duplicateValues" dxfId="272" priority="136"/>
    <cfRule type="duplicateValues" dxfId="271" priority="137"/>
  </conditionalFormatting>
  <conditionalFormatting sqref="F1340">
    <cfRule type="duplicateValues" dxfId="270" priority="141"/>
  </conditionalFormatting>
  <conditionalFormatting sqref="E1341">
    <cfRule type="duplicateValues" dxfId="269" priority="134"/>
  </conditionalFormatting>
  <conditionalFormatting sqref="F1341">
    <cfRule type="duplicateValues" dxfId="268" priority="132"/>
    <cfRule type="duplicateValues" dxfId="267" priority="133"/>
  </conditionalFormatting>
  <conditionalFormatting sqref="F1341">
    <cfRule type="duplicateValues" dxfId="266" priority="135"/>
  </conditionalFormatting>
  <conditionalFormatting sqref="E1342">
    <cfRule type="duplicateValues" dxfId="265" priority="129"/>
  </conditionalFormatting>
  <conditionalFormatting sqref="E1342">
    <cfRule type="duplicateValues" dxfId="264" priority="128"/>
  </conditionalFormatting>
  <conditionalFormatting sqref="F1342">
    <cfRule type="duplicateValues" dxfId="263" priority="126"/>
    <cfRule type="duplicateValues" dxfId="262" priority="127"/>
  </conditionalFormatting>
  <conditionalFormatting sqref="F1342">
    <cfRule type="duplicateValues" dxfId="261" priority="130"/>
  </conditionalFormatting>
  <conditionalFormatting sqref="F1342">
    <cfRule type="duplicateValues" dxfId="260" priority="131"/>
  </conditionalFormatting>
  <conditionalFormatting sqref="F1343:F1353">
    <cfRule type="duplicateValues" dxfId="259" priority="123"/>
  </conditionalFormatting>
  <conditionalFormatting sqref="F1343:F1353">
    <cfRule type="duplicateValues" dxfId="258" priority="124"/>
    <cfRule type="duplicateValues" dxfId="257" priority="125"/>
  </conditionalFormatting>
  <conditionalFormatting sqref="E1357:E1364 E1354">
    <cfRule type="duplicateValues" dxfId="256" priority="119"/>
  </conditionalFormatting>
  <conditionalFormatting sqref="F1357:F1364 F1354">
    <cfRule type="duplicateValues" dxfId="255" priority="120"/>
    <cfRule type="duplicateValues" dxfId="254" priority="121"/>
  </conditionalFormatting>
  <conditionalFormatting sqref="F1357:F1364 F1354">
    <cfRule type="duplicateValues" dxfId="253" priority="122"/>
  </conditionalFormatting>
  <conditionalFormatting sqref="E1365:E1366">
    <cfRule type="duplicateValues" dxfId="252" priority="118"/>
  </conditionalFormatting>
  <conditionalFormatting sqref="F1365:F1366">
    <cfRule type="duplicateValues" dxfId="251" priority="115"/>
    <cfRule type="duplicateValues" dxfId="250" priority="116"/>
  </conditionalFormatting>
  <conditionalFormatting sqref="F1365:F1366">
    <cfRule type="duplicateValues" dxfId="249" priority="117"/>
  </conditionalFormatting>
  <conditionalFormatting sqref="E1355">
    <cfRule type="duplicateValues" dxfId="248" priority="113"/>
  </conditionalFormatting>
  <conditionalFormatting sqref="F1355">
    <cfRule type="duplicateValues" dxfId="247" priority="111"/>
    <cfRule type="duplicateValues" dxfId="246" priority="112"/>
  </conditionalFormatting>
  <conditionalFormatting sqref="F1355">
    <cfRule type="duplicateValues" dxfId="245" priority="114"/>
  </conditionalFormatting>
  <conditionalFormatting sqref="E1367">
    <cfRule type="duplicateValues" dxfId="244" priority="97"/>
  </conditionalFormatting>
  <conditionalFormatting sqref="F1367">
    <cfRule type="duplicateValues" dxfId="243" priority="95"/>
    <cfRule type="duplicateValues" dxfId="242" priority="96"/>
  </conditionalFormatting>
  <conditionalFormatting sqref="F1367">
    <cfRule type="duplicateValues" dxfId="241" priority="98"/>
  </conditionalFormatting>
  <conditionalFormatting sqref="E1374">
    <cfRule type="duplicateValues" dxfId="240" priority="93"/>
  </conditionalFormatting>
  <conditionalFormatting sqref="F1374">
    <cfRule type="duplicateValues" dxfId="239" priority="91"/>
    <cfRule type="duplicateValues" dxfId="238" priority="92"/>
  </conditionalFormatting>
  <conditionalFormatting sqref="F1374">
    <cfRule type="duplicateValues" dxfId="237" priority="94"/>
  </conditionalFormatting>
  <conditionalFormatting sqref="E1375 E1368">
    <cfRule type="duplicateValues" dxfId="236" priority="99"/>
  </conditionalFormatting>
  <conditionalFormatting sqref="F1375 F1368">
    <cfRule type="duplicateValues" dxfId="235" priority="100"/>
    <cfRule type="duplicateValues" dxfId="234" priority="101"/>
  </conditionalFormatting>
  <conditionalFormatting sqref="F1375 F1368">
    <cfRule type="duplicateValues" dxfId="233" priority="102"/>
  </conditionalFormatting>
  <conditionalFormatting sqref="E1370">
    <cfRule type="duplicateValues" dxfId="232" priority="103"/>
  </conditionalFormatting>
  <conditionalFormatting sqref="F1370">
    <cfRule type="duplicateValues" dxfId="231" priority="104"/>
    <cfRule type="duplicateValues" dxfId="230" priority="105"/>
  </conditionalFormatting>
  <conditionalFormatting sqref="F1370">
    <cfRule type="duplicateValues" dxfId="229" priority="106"/>
  </conditionalFormatting>
  <conditionalFormatting sqref="E1369 E1371:E1373">
    <cfRule type="duplicateValues" dxfId="228" priority="107"/>
  </conditionalFormatting>
  <conditionalFormatting sqref="F1369 F1371:F1373">
    <cfRule type="duplicateValues" dxfId="227" priority="108"/>
    <cfRule type="duplicateValues" dxfId="226" priority="109"/>
  </conditionalFormatting>
  <conditionalFormatting sqref="F1369 F1371:F1373">
    <cfRule type="duplicateValues" dxfId="225" priority="110"/>
  </conditionalFormatting>
  <conditionalFormatting sqref="E1387:E1388">
    <cfRule type="duplicateValues" dxfId="224" priority="89"/>
  </conditionalFormatting>
  <conditionalFormatting sqref="F1387:F1388">
    <cfRule type="duplicateValues" dxfId="223" priority="87"/>
    <cfRule type="duplicateValues" dxfId="222" priority="88"/>
  </conditionalFormatting>
  <conditionalFormatting sqref="F1387:F1388">
    <cfRule type="duplicateValues" dxfId="221" priority="90"/>
  </conditionalFormatting>
  <conditionalFormatting sqref="E1389:E1390">
    <cfRule type="duplicateValues" dxfId="220" priority="85"/>
  </conditionalFormatting>
  <conditionalFormatting sqref="F1389:F1390">
    <cfRule type="duplicateValues" dxfId="219" priority="83"/>
    <cfRule type="duplicateValues" dxfId="218" priority="84"/>
  </conditionalFormatting>
  <conditionalFormatting sqref="F1389:F1390">
    <cfRule type="duplicateValues" dxfId="217" priority="86"/>
  </conditionalFormatting>
  <conditionalFormatting sqref="E1391">
    <cfRule type="duplicateValues" dxfId="216" priority="81"/>
  </conditionalFormatting>
  <conditionalFormatting sqref="F1391">
    <cfRule type="duplicateValues" dxfId="215" priority="79"/>
    <cfRule type="duplicateValues" dxfId="214" priority="80"/>
  </conditionalFormatting>
  <conditionalFormatting sqref="F1391">
    <cfRule type="duplicateValues" dxfId="213" priority="82"/>
  </conditionalFormatting>
  <conditionalFormatting sqref="E1392:E1393">
    <cfRule type="duplicateValues" dxfId="212" priority="77"/>
  </conditionalFormatting>
  <conditionalFormatting sqref="F1392:F1393">
    <cfRule type="duplicateValues" dxfId="211" priority="75"/>
    <cfRule type="duplicateValues" dxfId="210" priority="76"/>
  </conditionalFormatting>
  <conditionalFormatting sqref="F1392:F1393">
    <cfRule type="duplicateValues" dxfId="209" priority="78"/>
  </conditionalFormatting>
  <conditionalFormatting sqref="E1400:E1402">
    <cfRule type="duplicateValues" dxfId="208" priority="74"/>
  </conditionalFormatting>
  <conditionalFormatting sqref="F1400:F1402">
    <cfRule type="duplicateValues" dxfId="207" priority="71"/>
    <cfRule type="duplicateValues" dxfId="206" priority="72"/>
  </conditionalFormatting>
  <conditionalFormatting sqref="F1400:F1402">
    <cfRule type="duplicateValues" dxfId="205" priority="73"/>
  </conditionalFormatting>
  <conditionalFormatting sqref="E1403:E1405">
    <cfRule type="duplicateValues" dxfId="204" priority="70"/>
  </conditionalFormatting>
  <conditionalFormatting sqref="F1403:F1405">
    <cfRule type="duplicateValues" dxfId="203" priority="67"/>
    <cfRule type="duplicateValues" dxfId="202" priority="68"/>
  </conditionalFormatting>
  <conditionalFormatting sqref="F1403:F1405">
    <cfRule type="duplicateValues" dxfId="201" priority="69"/>
  </conditionalFormatting>
  <conditionalFormatting sqref="E1406:E1408">
    <cfRule type="duplicateValues" dxfId="200" priority="66"/>
  </conditionalFormatting>
  <conditionalFormatting sqref="F1406:F1408">
    <cfRule type="duplicateValues" dxfId="199" priority="63"/>
    <cfRule type="duplicateValues" dxfId="198" priority="64"/>
  </conditionalFormatting>
  <conditionalFormatting sqref="F1406:F1408">
    <cfRule type="duplicateValues" dxfId="197" priority="65"/>
  </conditionalFormatting>
  <conditionalFormatting sqref="E1409:E1411">
    <cfRule type="duplicateValues" dxfId="196" priority="61"/>
  </conditionalFormatting>
  <conditionalFormatting sqref="F1409:F1411">
    <cfRule type="duplicateValues" dxfId="195" priority="59"/>
    <cfRule type="duplicateValues" dxfId="194" priority="60"/>
  </conditionalFormatting>
  <conditionalFormatting sqref="F1409:F1411">
    <cfRule type="duplicateValues" dxfId="193" priority="62"/>
  </conditionalFormatting>
  <conditionalFormatting sqref="E1412:E1414">
    <cfRule type="duplicateValues" dxfId="192" priority="57"/>
  </conditionalFormatting>
  <conditionalFormatting sqref="F1412:F1414">
    <cfRule type="duplicateValues" dxfId="191" priority="55"/>
    <cfRule type="duplicateValues" dxfId="190" priority="56"/>
  </conditionalFormatting>
  <conditionalFormatting sqref="F1412:F1414">
    <cfRule type="duplicateValues" dxfId="189" priority="58"/>
  </conditionalFormatting>
  <conditionalFormatting sqref="E1428:E1429">
    <cfRule type="duplicateValues" dxfId="188" priority="53"/>
  </conditionalFormatting>
  <conditionalFormatting sqref="F1428:F1429">
    <cfRule type="duplicateValues" dxfId="187" priority="51"/>
    <cfRule type="duplicateValues" dxfId="186" priority="52"/>
  </conditionalFormatting>
  <conditionalFormatting sqref="F1428:F1429">
    <cfRule type="duplicateValues" dxfId="185" priority="54"/>
  </conditionalFormatting>
  <conditionalFormatting sqref="E1430:E1431">
    <cfRule type="duplicateValues" dxfId="184" priority="49"/>
  </conditionalFormatting>
  <conditionalFormatting sqref="F1430:F1431">
    <cfRule type="duplicateValues" dxfId="183" priority="47"/>
    <cfRule type="duplicateValues" dxfId="182" priority="48"/>
  </conditionalFormatting>
  <conditionalFormatting sqref="F1430:F1431">
    <cfRule type="duplicateValues" dxfId="181" priority="50"/>
  </conditionalFormatting>
  <conditionalFormatting sqref="E1432">
    <cfRule type="duplicateValues" dxfId="180" priority="45"/>
  </conditionalFormatting>
  <conditionalFormatting sqref="F1432">
    <cfRule type="duplicateValues" dxfId="179" priority="43"/>
    <cfRule type="duplicateValues" dxfId="178" priority="44"/>
  </conditionalFormatting>
  <conditionalFormatting sqref="F1432">
    <cfRule type="duplicateValues" dxfId="177" priority="46"/>
  </conditionalFormatting>
  <conditionalFormatting sqref="E1435:E1437">
    <cfRule type="duplicateValues" dxfId="176" priority="41"/>
  </conditionalFormatting>
  <conditionalFormatting sqref="F1435:F1437">
    <cfRule type="duplicateValues" dxfId="175" priority="39"/>
    <cfRule type="duplicateValues" dxfId="174" priority="40"/>
  </conditionalFormatting>
  <conditionalFormatting sqref="F1435:F1437">
    <cfRule type="duplicateValues" dxfId="173" priority="42"/>
  </conditionalFormatting>
  <conditionalFormatting sqref="E1438:E1440">
    <cfRule type="duplicateValues" dxfId="172" priority="37"/>
  </conditionalFormatting>
  <conditionalFormatting sqref="F1438:F1440">
    <cfRule type="duplicateValues" dxfId="171" priority="35"/>
    <cfRule type="duplicateValues" dxfId="170" priority="36"/>
  </conditionalFormatting>
  <conditionalFormatting sqref="F1438:F1440">
    <cfRule type="duplicateValues" dxfId="169" priority="38"/>
  </conditionalFormatting>
  <conditionalFormatting sqref="E1441:E1442">
    <cfRule type="duplicateValues" dxfId="168" priority="33"/>
  </conditionalFormatting>
  <conditionalFormatting sqref="F1441:F1442">
    <cfRule type="duplicateValues" dxfId="167" priority="31"/>
    <cfRule type="duplicateValues" dxfId="166" priority="32"/>
  </conditionalFormatting>
  <conditionalFormatting sqref="F1441:F1442">
    <cfRule type="duplicateValues" dxfId="165" priority="34"/>
  </conditionalFormatting>
  <conditionalFormatting sqref="E1443:E1444">
    <cfRule type="duplicateValues" dxfId="164" priority="29"/>
  </conditionalFormatting>
  <conditionalFormatting sqref="F1443:F1444">
    <cfRule type="duplicateValues" dxfId="163" priority="27"/>
    <cfRule type="duplicateValues" dxfId="162" priority="28"/>
  </conditionalFormatting>
  <conditionalFormatting sqref="F1443:F1444">
    <cfRule type="duplicateValues" dxfId="161" priority="30"/>
  </conditionalFormatting>
  <conditionalFormatting sqref="E1433">
    <cfRule type="duplicateValues" dxfId="160" priority="25"/>
  </conditionalFormatting>
  <conditionalFormatting sqref="F1433">
    <cfRule type="duplicateValues" dxfId="159" priority="23"/>
    <cfRule type="duplicateValues" dxfId="158" priority="24"/>
  </conditionalFormatting>
  <conditionalFormatting sqref="F1433">
    <cfRule type="duplicateValues" dxfId="157" priority="26"/>
  </conditionalFormatting>
  <conditionalFormatting sqref="E1434">
    <cfRule type="duplicateValues" dxfId="156" priority="21"/>
  </conditionalFormatting>
  <conditionalFormatting sqref="F1434">
    <cfRule type="duplicateValues" dxfId="155" priority="19"/>
    <cfRule type="duplicateValues" dxfId="154" priority="20"/>
  </conditionalFormatting>
  <conditionalFormatting sqref="F1434">
    <cfRule type="duplicateValues" dxfId="153" priority="22"/>
  </conditionalFormatting>
  <conditionalFormatting sqref="E1452 E1445:E1447">
    <cfRule type="duplicateValues" dxfId="152" priority="9"/>
  </conditionalFormatting>
  <conditionalFormatting sqref="F1452 F1445:F1447">
    <cfRule type="duplicateValues" dxfId="151" priority="7"/>
    <cfRule type="duplicateValues" dxfId="150" priority="8"/>
  </conditionalFormatting>
  <conditionalFormatting sqref="F1452 F1445:F1447">
    <cfRule type="duplicateValues" dxfId="149" priority="10"/>
  </conditionalFormatting>
  <conditionalFormatting sqref="E1449:E1450">
    <cfRule type="duplicateValues" dxfId="148" priority="11"/>
  </conditionalFormatting>
  <conditionalFormatting sqref="F1449:F1450">
    <cfRule type="duplicateValues" dxfId="147" priority="12"/>
    <cfRule type="duplicateValues" dxfId="146" priority="13"/>
  </conditionalFormatting>
  <conditionalFormatting sqref="F1449:F1450">
    <cfRule type="duplicateValues" dxfId="145" priority="14"/>
  </conditionalFormatting>
  <conditionalFormatting sqref="E1451 E1448">
    <cfRule type="duplicateValues" dxfId="144" priority="15"/>
  </conditionalFormatting>
  <conditionalFormatting sqref="F1451 F1448">
    <cfRule type="duplicateValues" dxfId="143" priority="16"/>
    <cfRule type="duplicateValues" dxfId="142" priority="17"/>
  </conditionalFormatting>
  <conditionalFormatting sqref="F1451 F1448">
    <cfRule type="duplicateValues" dxfId="141" priority="18"/>
  </conditionalFormatting>
  <conditionalFormatting sqref="F1336">
    <cfRule type="duplicateValues" dxfId="140" priority="227"/>
  </conditionalFormatting>
  <conditionalFormatting sqref="E1336">
    <cfRule type="duplicateValues" dxfId="139" priority="228"/>
  </conditionalFormatting>
  <conditionalFormatting sqref="F1336">
    <cfRule type="duplicateValues" dxfId="138" priority="229"/>
    <cfRule type="duplicateValues" dxfId="137" priority="230"/>
  </conditionalFormatting>
  <conditionalFormatting sqref="F1394:F1398">
    <cfRule type="duplicateValues" dxfId="136" priority="231"/>
  </conditionalFormatting>
  <conditionalFormatting sqref="F1394:F1398">
    <cfRule type="duplicateValues" dxfId="135" priority="232"/>
    <cfRule type="duplicateValues" dxfId="134" priority="233"/>
  </conditionalFormatting>
  <conditionalFormatting sqref="I1296:I1476">
    <cfRule type="cellIs" dxfId="133" priority="4" operator="equal">
      <formula>3</formula>
    </cfRule>
    <cfRule type="cellIs" dxfId="132" priority="5" operator="greaterThan">
      <formula>3</formula>
    </cfRule>
    <cfRule type="cellIs" priority="6" operator="greaterThanOrEqual">
      <formula>3</formula>
    </cfRule>
  </conditionalFormatting>
  <conditionalFormatting sqref="F1339">
    <cfRule type="duplicateValues" dxfId="131" priority="234"/>
  </conditionalFormatting>
  <conditionalFormatting sqref="E1339">
    <cfRule type="duplicateValues" dxfId="130" priority="235"/>
  </conditionalFormatting>
  <conditionalFormatting sqref="F1339">
    <cfRule type="duplicateValues" dxfId="129" priority="236"/>
    <cfRule type="duplicateValues" dxfId="128" priority="237"/>
  </conditionalFormatting>
  <conditionalFormatting sqref="E1415:E1416">
    <cfRule type="duplicateValues" dxfId="127" priority="238"/>
  </conditionalFormatting>
  <conditionalFormatting sqref="F1415:F1416">
    <cfRule type="duplicateValues" dxfId="126" priority="239"/>
    <cfRule type="duplicateValues" dxfId="125" priority="240"/>
  </conditionalFormatting>
  <conditionalFormatting sqref="F1415:F1416">
    <cfRule type="duplicateValues" dxfId="124" priority="241"/>
  </conditionalFormatting>
  <conditionalFormatting sqref="E1417">
    <cfRule type="duplicateValues" dxfId="123" priority="242"/>
  </conditionalFormatting>
  <conditionalFormatting sqref="F1417">
    <cfRule type="duplicateValues" dxfId="122" priority="243"/>
    <cfRule type="duplicateValues" dxfId="121" priority="244"/>
  </conditionalFormatting>
  <conditionalFormatting sqref="F1417">
    <cfRule type="duplicateValues" dxfId="120" priority="245"/>
  </conditionalFormatting>
  <conditionalFormatting sqref="F1478:F1048576 F1:F1476">
    <cfRule type="duplicateValues" dxfId="119" priority="3"/>
  </conditionalFormatting>
  <conditionalFormatting sqref="E1478:E1048576 E1:E1476">
    <cfRule type="duplicateValues" dxfId="118" priority="1"/>
    <cfRule type="duplicateValues" dxfId="117"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16" priority="2"/>
  </conditionalFormatting>
  <conditionalFormatting sqref="D1:E1">
    <cfRule type="duplicateValues" dxfId="115"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2025-05-23T05:11:49Z</dcterms:modified>
</cp:coreProperties>
</file>