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D319431D-7FAD-4002-9EAF-16AE3CA1F132}" xr6:coauthVersionLast="47" xr6:coauthVersionMax="47" xr10:uidLastSave="{00000000-0000-0000-0000-000000000000}"/>
  <bookViews>
    <workbookView xWindow="-96" yWindow="-96" windowWidth="23232" windowHeight="12432"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88" i="12" l="1"/>
  <c r="AL589" i="12"/>
  <c r="AL590" i="12"/>
  <c r="AL591" i="12"/>
  <c r="AL592" i="12"/>
  <c r="AL593" i="12"/>
  <c r="AL594" i="12"/>
  <c r="AL595" i="12"/>
  <c r="AL586" i="12"/>
  <c r="AL587" i="12"/>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AL576" i="12"/>
  <c r="AL577" i="12"/>
  <c r="AL578" i="12"/>
  <c r="AL579" i="12"/>
  <c r="AL580" i="12"/>
  <c r="AL581" i="12"/>
  <c r="AL582" i="12"/>
  <c r="AL583" i="12"/>
  <c r="AL584" i="12"/>
  <c r="AL585" i="12"/>
  <c r="AL570" i="12"/>
  <c r="AL571" i="12"/>
  <c r="AL572" i="12"/>
  <c r="AL573" i="12"/>
  <c r="AL574" i="12"/>
  <c r="AL575" i="12"/>
  <c r="AL566" i="12"/>
  <c r="AL567" i="12"/>
  <c r="AL568" i="12"/>
  <c r="AL569" i="12"/>
  <c r="R97" i="1" a="1"/>
  <c r="R97" i="1" s="1"/>
  <c r="AL565" i="12"/>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9" i="1"/>
  <c r="T143" i="1"/>
  <c r="T141" i="1"/>
  <c r="T157" i="1"/>
  <c r="T158" i="1"/>
  <c r="T159" i="1"/>
  <c r="T160" i="1"/>
  <c r="T161" i="1"/>
  <c r="T162" i="1"/>
  <c r="T163" i="1"/>
  <c r="T164" i="1"/>
  <c r="T165" i="1"/>
  <c r="T166" i="1"/>
  <c r="T167" i="1"/>
  <c r="T168" i="1"/>
  <c r="T169" i="1"/>
  <c r="T148" i="1"/>
  <c r="T156" i="1"/>
  <c r="T170" i="1"/>
  <c r="T171" i="1"/>
  <c r="T146" i="1"/>
  <c r="T144" i="1"/>
  <c r="T172" i="1"/>
  <c r="T173" i="1"/>
  <c r="T174" i="1"/>
  <c r="T142" i="1"/>
  <c r="T175" i="1"/>
  <c r="T150" i="1"/>
  <c r="T176" i="1"/>
  <c r="T177" i="1"/>
  <c r="T178" i="1"/>
  <c r="T179" i="1"/>
  <c r="T180" i="1"/>
  <c r="T181" i="1"/>
  <c r="T182" i="1"/>
  <c r="T183" i="1"/>
  <c r="T184" i="1"/>
  <c r="T185" i="1"/>
  <c r="T186" i="1"/>
  <c r="T187" i="1"/>
  <c r="T188" i="1"/>
  <c r="T189" i="1"/>
  <c r="T190" i="1"/>
  <c r="T191" i="1"/>
  <c r="T192" i="1"/>
  <c r="T193" i="1"/>
  <c r="T194" i="1"/>
  <c r="T195" i="1"/>
  <c r="T196" i="1"/>
  <c r="T152" i="1"/>
  <c r="T197" i="1"/>
  <c r="T198" i="1"/>
  <c r="T199" i="1"/>
  <c r="T200" i="1"/>
  <c r="T201" i="1"/>
  <c r="T145" i="1"/>
  <c r="T202" i="1"/>
  <c r="T147" i="1"/>
  <c r="T155" i="1"/>
  <c r="T153" i="1"/>
  <c r="T203" i="1"/>
  <c r="T204" i="1"/>
  <c r="T205" i="1"/>
  <c r="T206" i="1"/>
  <c r="T140" i="1"/>
  <c r="T207" i="1"/>
  <c r="T208" i="1"/>
  <c r="T209" i="1"/>
  <c r="T151" i="1"/>
  <c r="T210" i="1"/>
  <c r="T211" i="1"/>
  <c r="T212" i="1"/>
  <c r="T213" i="1"/>
  <c r="T214" i="1"/>
  <c r="T154" i="1"/>
  <c r="T215" i="1"/>
  <c r="T216" i="1"/>
  <c r="T217" i="1"/>
  <c r="T218" i="1"/>
  <c r="T219" i="1"/>
  <c r="T220" i="1"/>
  <c r="T221" i="1"/>
  <c r="T222" i="1"/>
  <c r="T223" i="1"/>
  <c r="T224" i="1"/>
  <c r="T225" i="1"/>
  <c r="T226" i="1"/>
  <c r="AL548" i="12"/>
  <c r="AL549" i="12"/>
  <c r="AL550" i="12"/>
  <c r="AL551" i="12"/>
  <c r="AL552" i="12"/>
  <c r="AL553" i="12"/>
  <c r="AL554" i="12"/>
  <c r="AL555" i="12"/>
  <c r="AL556" i="12"/>
  <c r="AL557" i="12"/>
  <c r="AL558" i="12"/>
  <c r="AL559" i="12"/>
  <c r="AL560" i="12"/>
  <c r="AL561" i="12"/>
  <c r="AL562" i="12"/>
  <c r="AL563" i="12"/>
  <c r="AL564" i="12"/>
  <c r="AL546" i="12"/>
  <c r="AL547" i="12"/>
  <c r="V97" i="1" l="1"/>
  <c r="C8" i="2"/>
  <c r="D8" i="2" s="1"/>
  <c r="C9" i="2"/>
  <c r="D9" i="2" s="1"/>
  <c r="E9" i="2" s="1"/>
  <c r="C10" i="2"/>
  <c r="C11" i="2"/>
  <c r="D11" i="2" s="1"/>
  <c r="C12" i="2"/>
  <c r="D12" i="2" s="1"/>
  <c r="E12" i="2" s="1"/>
  <c r="C13" i="2"/>
  <c r="D13" i="2" s="1"/>
  <c r="E13" i="2" s="1"/>
  <c r="C29" i="2"/>
  <c r="D29" i="2" s="1"/>
  <c r="C14" i="2"/>
  <c r="D14" i="2" s="1"/>
  <c r="C15" i="2"/>
  <c r="D15" i="2" s="1"/>
  <c r="C16" i="2"/>
  <c r="D16" i="2" s="1"/>
  <c r="E16" i="2" s="1"/>
  <c r="C17" i="2"/>
  <c r="C30" i="2"/>
  <c r="D30" i="2" s="1"/>
  <c r="C18" i="2"/>
  <c r="D18" i="2" s="1"/>
  <c r="E18" i="2" s="1"/>
  <c r="C31" i="2"/>
  <c r="D31" i="2" s="1"/>
  <c r="E31" i="2" s="1"/>
  <c r="C19" i="2"/>
  <c r="D19" i="2" s="1"/>
  <c r="E19" i="2" s="1"/>
  <c r="C20" i="2"/>
  <c r="D20" i="2" s="1"/>
  <c r="C21" i="2"/>
  <c r="D21" i="2" s="1"/>
  <c r="E21" i="2" s="1"/>
  <c r="C22" i="2"/>
  <c r="D22" i="2" s="1"/>
  <c r="E22" i="2" s="1"/>
  <c r="C23" i="2"/>
  <c r="C33" i="2"/>
  <c r="D33" i="2" s="1"/>
  <c r="C24" i="2"/>
  <c r="D24" i="2" s="1"/>
  <c r="E24" i="2" s="1"/>
  <c r="C25" i="2"/>
  <c r="D25" i="2" s="1"/>
  <c r="E25" i="2" s="1"/>
  <c r="C26" i="2"/>
  <c r="D26" i="2" s="1"/>
  <c r="C32" i="2"/>
  <c r="D32" i="2" s="1"/>
  <c r="C27" i="2"/>
  <c r="D27" i="2" s="1"/>
  <c r="E27" i="2" s="1"/>
  <c r="C28" i="2"/>
  <c r="D28" i="2" s="1"/>
  <c r="E28" i="2" s="1"/>
  <c r="C34" i="2"/>
  <c r="C35" i="2"/>
  <c r="D35" i="2" s="1"/>
  <c r="C36" i="2"/>
  <c r="D36" i="2" s="1"/>
  <c r="E36" i="2" s="1"/>
  <c r="C37" i="2"/>
  <c r="D37" i="2" s="1"/>
  <c r="E37" i="2" s="1"/>
  <c r="C38" i="2"/>
  <c r="D38" i="2" s="1"/>
  <c r="C39" i="2"/>
  <c r="D39" i="2" s="1"/>
  <c r="C40" i="2"/>
  <c r="D40" i="2" s="1"/>
  <c r="E40" i="2" s="1"/>
  <c r="C41" i="2"/>
  <c r="D41" i="2" s="1"/>
  <c r="E41" i="2" s="1"/>
  <c r="C42" i="2"/>
  <c r="C43" i="2"/>
  <c r="D43" i="2" s="1"/>
  <c r="C44" i="2"/>
  <c r="D44" i="2" s="1"/>
  <c r="E44" i="2" s="1"/>
  <c r="C45" i="2"/>
  <c r="D45" i="2" s="1"/>
  <c r="E45" i="2" s="1"/>
  <c r="C46" i="2"/>
  <c r="D46" i="2" s="1"/>
  <c r="C47" i="2"/>
  <c r="D47" i="2" s="1"/>
  <c r="C48" i="2"/>
  <c r="D48" i="2" s="1"/>
  <c r="E48" i="2" s="1"/>
  <c r="C49" i="2"/>
  <c r="D49" i="2" s="1"/>
  <c r="E49" i="2" s="1"/>
  <c r="C50" i="2"/>
  <c r="C51" i="2"/>
  <c r="D51" i="2" s="1"/>
  <c r="C52" i="2"/>
  <c r="D52" i="2" s="1"/>
  <c r="E52" i="2" s="1"/>
  <c r="C53" i="2"/>
  <c r="D53" i="2" s="1"/>
  <c r="E53" i="2" s="1"/>
  <c r="C54" i="2"/>
  <c r="D54" i="2" s="1"/>
  <c r="C55" i="2"/>
  <c r="D55" i="2" s="1"/>
  <c r="C56" i="2"/>
  <c r="D56" i="2" s="1"/>
  <c r="E56" i="2" s="1"/>
  <c r="C57" i="2"/>
  <c r="D57" i="2" s="1"/>
  <c r="E57" i="2" s="1"/>
  <c r="C58" i="2"/>
  <c r="C59" i="2"/>
  <c r="D59" i="2" s="1"/>
  <c r="C60" i="2"/>
  <c r="D60" i="2" s="1"/>
  <c r="E60" i="2" s="1"/>
  <c r="C61" i="2"/>
  <c r="D61" i="2" s="1"/>
  <c r="E61" i="2" s="1"/>
  <c r="C62" i="2"/>
  <c r="D62" i="2" s="1"/>
  <c r="C63" i="2"/>
  <c r="D63" i="2" s="1"/>
  <c r="C64" i="2"/>
  <c r="D64" i="2" s="1"/>
  <c r="E64" i="2" s="1"/>
  <c r="C8" i="3"/>
  <c r="D8" i="3" s="1"/>
  <c r="C9" i="3"/>
  <c r="D9" i="3" s="1"/>
  <c r="C10" i="3"/>
  <c r="D10" i="3" s="1"/>
  <c r="E10" i="3" s="1"/>
  <c r="C11" i="3"/>
  <c r="D11" i="3" s="1"/>
  <c r="E11" i="3" s="1"/>
  <c r="C12" i="3"/>
  <c r="D12" i="3" s="1"/>
  <c r="C27" i="3"/>
  <c r="D27" i="3" s="1"/>
  <c r="C13" i="3"/>
  <c r="D13" i="3" s="1"/>
  <c r="E13" i="3" s="1"/>
  <c r="C28" i="3"/>
  <c r="D28" i="3" s="1"/>
  <c r="E28" i="3" s="1"/>
  <c r="C14" i="3"/>
  <c r="D14" i="3" s="1"/>
  <c r="C15" i="3"/>
  <c r="D15" i="3" s="1"/>
  <c r="C16" i="3"/>
  <c r="D16" i="3" s="1"/>
  <c r="E16" i="3" s="1"/>
  <c r="C17" i="3"/>
  <c r="D17" i="3" s="1"/>
  <c r="E17" i="3" s="1"/>
  <c r="C18" i="3"/>
  <c r="D18" i="3" s="1"/>
  <c r="C19" i="3"/>
  <c r="D19" i="3" s="1"/>
  <c r="C20" i="3"/>
  <c r="D20" i="3" s="1"/>
  <c r="E20" i="3" s="1"/>
  <c r="C21" i="3"/>
  <c r="D21" i="3" s="1"/>
  <c r="E21" i="3" s="1"/>
  <c r="C22" i="3"/>
  <c r="D22" i="3" s="1"/>
  <c r="C23" i="3"/>
  <c r="D23" i="3" s="1"/>
  <c r="E23" i="3" s="1"/>
  <c r="C24" i="3"/>
  <c r="C25" i="3"/>
  <c r="D25" i="3" s="1"/>
  <c r="E25" i="3" s="1"/>
  <c r="C26" i="3"/>
  <c r="D26" i="3" s="1"/>
  <c r="C29" i="3"/>
  <c r="D29" i="3" s="1"/>
  <c r="C30" i="3"/>
  <c r="D30" i="3" s="1"/>
  <c r="C31" i="3"/>
  <c r="D31" i="3" s="1"/>
  <c r="E31" i="3" s="1"/>
  <c r="C32" i="3"/>
  <c r="D32" i="3" s="1"/>
  <c r="C33" i="3"/>
  <c r="D33" i="3" s="1"/>
  <c r="E33" i="3" s="1"/>
  <c r="C34" i="3"/>
  <c r="C35" i="3"/>
  <c r="D35" i="3" s="1"/>
  <c r="E35" i="3" s="1"/>
  <c r="C36" i="3"/>
  <c r="D36" i="3" s="1"/>
  <c r="C37" i="3"/>
  <c r="D37" i="3" s="1"/>
  <c r="C38" i="3"/>
  <c r="D38" i="3" s="1"/>
  <c r="C39" i="3"/>
  <c r="D39" i="3" s="1"/>
  <c r="C40" i="3"/>
  <c r="D40" i="3" s="1"/>
  <c r="C41" i="3"/>
  <c r="D41" i="3" s="1"/>
  <c r="C7" i="3"/>
  <c r="C7" i="2"/>
  <c r="D7" i="2" s="1"/>
  <c r="C7" i="4"/>
  <c r="D7" i="4" s="1"/>
  <c r="C8" i="4"/>
  <c r="D8" i="4" s="1"/>
  <c r="C44" i="4"/>
  <c r="D44" i="4" s="1"/>
  <c r="C9" i="4"/>
  <c r="D9" i="4" s="1"/>
  <c r="C10" i="4"/>
  <c r="D10" i="4" s="1"/>
  <c r="E10" i="4" s="1"/>
  <c r="C11" i="4"/>
  <c r="D11" i="4" s="1"/>
  <c r="C12" i="4"/>
  <c r="D12" i="4" s="1"/>
  <c r="C13" i="4"/>
  <c r="C45" i="4"/>
  <c r="D45" i="4" s="1"/>
  <c r="C14" i="4"/>
  <c r="D14" i="4" s="1"/>
  <c r="C15" i="4"/>
  <c r="D15" i="4" s="1"/>
  <c r="C16" i="4"/>
  <c r="D16" i="4" s="1"/>
  <c r="E16" i="4" s="1"/>
  <c r="C46" i="4"/>
  <c r="D46" i="4" s="1"/>
  <c r="E46" i="4" s="1"/>
  <c r="C17" i="4"/>
  <c r="D17" i="4" s="1"/>
  <c r="C18" i="4"/>
  <c r="D18" i="4" s="1"/>
  <c r="E18" i="4" s="1"/>
  <c r="C47" i="4"/>
  <c r="D47" i="4" s="1"/>
  <c r="C19" i="4"/>
  <c r="D19" i="4" s="1"/>
  <c r="C20" i="4"/>
  <c r="D20" i="4" s="1"/>
  <c r="C41" i="4"/>
  <c r="D41" i="4" s="1"/>
  <c r="E41" i="4" s="1"/>
  <c r="C48" i="4"/>
  <c r="D48" i="4" s="1"/>
  <c r="E48" i="4" s="1"/>
  <c r="C21" i="4"/>
  <c r="D21" i="4" s="1"/>
  <c r="E21" i="4" s="1"/>
  <c r="C42" i="4"/>
  <c r="D42" i="4" s="1"/>
  <c r="C22" i="4"/>
  <c r="D22" i="4" s="1"/>
  <c r="C52" i="4"/>
  <c r="D52" i="4" s="1"/>
  <c r="C23" i="4"/>
  <c r="D23" i="4" s="1"/>
  <c r="C24" i="4"/>
  <c r="D24" i="4" s="1"/>
  <c r="C25" i="4"/>
  <c r="D25" i="4" s="1"/>
  <c r="C26" i="4"/>
  <c r="D26" i="4" s="1"/>
  <c r="E26" i="4" s="1"/>
  <c r="C27" i="4"/>
  <c r="C28" i="4"/>
  <c r="D28" i="4" s="1"/>
  <c r="C29" i="4"/>
  <c r="D29" i="4" s="1"/>
  <c r="C30" i="4"/>
  <c r="D30" i="4" s="1"/>
  <c r="E30" i="4" s="1"/>
  <c r="C53" i="4"/>
  <c r="D53" i="4" s="1"/>
  <c r="C31" i="4"/>
  <c r="D31" i="4" s="1"/>
  <c r="C32" i="4"/>
  <c r="D32" i="4" s="1"/>
  <c r="C33" i="4"/>
  <c r="D33" i="4" s="1"/>
  <c r="E33" i="4" s="1"/>
  <c r="C34" i="4"/>
  <c r="D34" i="4" s="1"/>
  <c r="C35" i="4"/>
  <c r="D35" i="4" s="1"/>
  <c r="C36" i="4"/>
  <c r="D36" i="4" s="1"/>
  <c r="C37" i="4"/>
  <c r="D37" i="4" s="1"/>
  <c r="E37" i="4" s="1"/>
  <c r="C38" i="4"/>
  <c r="D38" i="4" s="1"/>
  <c r="C39" i="4"/>
  <c r="D39" i="4" s="1"/>
  <c r="C49" i="4"/>
  <c r="D49" i="4" s="1"/>
  <c r="C40" i="4"/>
  <c r="D40" i="4" s="1"/>
  <c r="E40" i="4" s="1"/>
  <c r="C50" i="4"/>
  <c r="D50" i="4" s="1"/>
  <c r="C51" i="4"/>
  <c r="C54" i="4"/>
  <c r="D54" i="4" s="1"/>
  <c r="C55" i="4"/>
  <c r="D55" i="4" s="1"/>
  <c r="C56" i="4"/>
  <c r="D56" i="4" s="1"/>
  <c r="C57" i="4"/>
  <c r="D57" i="4" s="1"/>
  <c r="C58" i="4"/>
  <c r="D58" i="4" s="1"/>
  <c r="C59" i="4"/>
  <c r="D59" i="4" s="1"/>
  <c r="E59" i="4" s="1"/>
  <c r="C60" i="4"/>
  <c r="D60" i="4" s="1"/>
  <c r="E60" i="4" s="1"/>
  <c r="C61" i="4"/>
  <c r="D61" i="4" s="1"/>
  <c r="C62" i="4"/>
  <c r="D62" i="4" s="1"/>
  <c r="C63" i="4"/>
  <c r="D63" i="4" s="1"/>
  <c r="C64" i="4"/>
  <c r="D64" i="4" s="1"/>
  <c r="C65" i="4"/>
  <c r="D65" i="4" s="1"/>
  <c r="C66" i="4"/>
  <c r="D66" i="4" s="1"/>
  <c r="C67" i="4"/>
  <c r="D67" i="4" s="1"/>
  <c r="E67" i="4" s="1"/>
  <c r="C68" i="4"/>
  <c r="D68" i="4" s="1"/>
  <c r="E68" i="4" s="1"/>
  <c r="C69" i="4"/>
  <c r="D69" i="4" s="1"/>
  <c r="C70" i="4"/>
  <c r="D70" i="4" s="1"/>
  <c r="C71" i="4"/>
  <c r="D71" i="4" s="1"/>
  <c r="C72" i="4"/>
  <c r="D72" i="4" s="1"/>
  <c r="C73" i="4"/>
  <c r="D73" i="4" s="1"/>
  <c r="E73" i="4" s="1"/>
  <c r="C74" i="4"/>
  <c r="D74" i="4" s="1"/>
  <c r="C75" i="4"/>
  <c r="D75" i="4" s="1"/>
  <c r="E75" i="4" s="1"/>
  <c r="C76" i="4"/>
  <c r="D76" i="4" s="1"/>
  <c r="C77" i="4"/>
  <c r="D77" i="4" s="1"/>
  <c r="C78" i="4"/>
  <c r="D78" i="4" s="1"/>
  <c r="C79" i="4"/>
  <c r="D79" i="4" s="1"/>
  <c r="C80" i="4"/>
  <c r="D80" i="4" s="1"/>
  <c r="C81" i="4"/>
  <c r="D81" i="4" s="1"/>
  <c r="E81" i="4" s="1"/>
  <c r="C82" i="4"/>
  <c r="D82" i="4" s="1"/>
  <c r="C83" i="4"/>
  <c r="D83" i="4" s="1"/>
  <c r="E83" i="4" s="1"/>
  <c r="C84" i="4"/>
  <c r="D84" i="4" s="1"/>
  <c r="E84" i="4" s="1"/>
  <c r="C85" i="4"/>
  <c r="D85" i="4" s="1"/>
  <c r="C86" i="4"/>
  <c r="D86" i="4" s="1"/>
  <c r="C87" i="4"/>
  <c r="D87" i="4" s="1"/>
  <c r="C88" i="4"/>
  <c r="D88" i="4" s="1"/>
  <c r="C89" i="4"/>
  <c r="D89" i="4" s="1"/>
  <c r="E89" i="4" s="1"/>
  <c r="C90" i="4"/>
  <c r="D90" i="4" s="1"/>
  <c r="C91" i="4"/>
  <c r="D91" i="4" s="1"/>
  <c r="E91" i="4" s="1"/>
  <c r="C92" i="4"/>
  <c r="D92" i="4" s="1"/>
  <c r="C93" i="4"/>
  <c r="D93" i="4" s="1"/>
  <c r="C94" i="4"/>
  <c r="D94" i="4" s="1"/>
  <c r="C95" i="4"/>
  <c r="D95" i="4" s="1"/>
  <c r="C96" i="4"/>
  <c r="D96" i="4" s="1"/>
  <c r="C97" i="4"/>
  <c r="D97" i="4" s="1"/>
  <c r="E97" i="4" s="1"/>
  <c r="C98" i="4"/>
  <c r="D98" i="4" s="1"/>
  <c r="C99" i="4"/>
  <c r="D99" i="4" s="1"/>
  <c r="E99" i="4" s="1"/>
  <c r="C100" i="4"/>
  <c r="D100" i="4" s="1"/>
  <c r="E100" i="4" s="1"/>
  <c r="C101" i="4"/>
  <c r="D101" i="4" s="1"/>
  <c r="C102" i="4"/>
  <c r="D102" i="4" s="1"/>
  <c r="C103" i="4"/>
  <c r="D103" i="4" s="1"/>
  <c r="C104" i="4"/>
  <c r="D104" i="4" s="1"/>
  <c r="C105" i="4"/>
  <c r="D105" i="4" s="1"/>
  <c r="E105" i="4" s="1"/>
  <c r="C106" i="4"/>
  <c r="D106" i="4" s="1"/>
  <c r="C107" i="4"/>
  <c r="D107" i="4" s="1"/>
  <c r="E107" i="4" s="1"/>
  <c r="C108" i="4"/>
  <c r="D108" i="4" s="1"/>
  <c r="C109" i="4"/>
  <c r="D109" i="4" s="1"/>
  <c r="C110" i="4"/>
  <c r="D110" i="4" s="1"/>
  <c r="C111" i="4"/>
  <c r="D111" i="4" s="1"/>
  <c r="C112" i="4"/>
  <c r="D112" i="4" s="1"/>
  <c r="C113" i="4"/>
  <c r="D113" i="4" s="1"/>
  <c r="E113" i="4" s="1"/>
  <c r="C114" i="4"/>
  <c r="D114" i="4" s="1"/>
  <c r="C115" i="4"/>
  <c r="D115" i="4" s="1"/>
  <c r="E115" i="4" s="1"/>
  <c r="C116" i="4"/>
  <c r="D116" i="4" s="1"/>
  <c r="E116" i="4" s="1"/>
  <c r="C117" i="4"/>
  <c r="D117" i="4" s="1"/>
  <c r="C118" i="4"/>
  <c r="D118" i="4" s="1"/>
  <c r="C119" i="4"/>
  <c r="D119" i="4" s="1"/>
  <c r="C120" i="4"/>
  <c r="D120" i="4" s="1"/>
  <c r="C121" i="4"/>
  <c r="D121" i="4" s="1"/>
  <c r="E121" i="4" s="1"/>
  <c r="C122" i="4"/>
  <c r="D122" i="4" s="1"/>
  <c r="C123" i="4"/>
  <c r="C43" i="4"/>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49" i="1"/>
  <c r="N149" i="1" s="1" a="1"/>
  <c r="N149" i="1" s="1"/>
  <c r="W143" i="1"/>
  <c r="N143" i="1" s="1" a="1"/>
  <c r="N143" i="1" s="1"/>
  <c r="W137" i="1"/>
  <c r="W141" i="1"/>
  <c r="N141" i="1" s="1" a="1"/>
  <c r="N141" i="1" s="1"/>
  <c r="W157" i="1"/>
  <c r="N157" i="1" s="1" a="1"/>
  <c r="N157" i="1" s="1"/>
  <c r="W138" i="1"/>
  <c r="W158" i="1"/>
  <c r="N158" i="1" s="1" a="1"/>
  <c r="N158" i="1" s="1"/>
  <c r="W159" i="1"/>
  <c r="N159" i="1" s="1" a="1"/>
  <c r="N159" i="1" s="1"/>
  <c r="W160" i="1"/>
  <c r="N160" i="1" s="1" a="1"/>
  <c r="N160" i="1" s="1"/>
  <c r="W161" i="1"/>
  <c r="N161" i="1" s="1" a="1"/>
  <c r="N161" i="1" s="1"/>
  <c r="W134" i="1"/>
  <c r="W162" i="1"/>
  <c r="N162" i="1" s="1" a="1"/>
  <c r="N162" i="1" s="1"/>
  <c r="W163" i="1"/>
  <c r="N163" i="1" s="1" a="1"/>
  <c r="N163" i="1" s="1"/>
  <c r="W164" i="1"/>
  <c r="N164" i="1" s="1" a="1"/>
  <c r="N164" i="1" s="1"/>
  <c r="W165" i="1"/>
  <c r="N165" i="1" s="1" a="1"/>
  <c r="N165" i="1" s="1"/>
  <c r="W166" i="1"/>
  <c r="N166" i="1" s="1" a="1"/>
  <c r="N166" i="1" s="1"/>
  <c r="W167" i="1"/>
  <c r="N167" i="1" s="1" a="1"/>
  <c r="N167" i="1" s="1"/>
  <c r="W168" i="1"/>
  <c r="N168" i="1" s="1" a="1"/>
  <c r="N168" i="1" s="1"/>
  <c r="W169" i="1"/>
  <c r="N169" i="1" s="1" a="1"/>
  <c r="N169" i="1" s="1"/>
  <c r="W148" i="1"/>
  <c r="N148" i="1" s="1" a="1"/>
  <c r="N148" i="1" s="1"/>
  <c r="W156" i="1"/>
  <c r="N156" i="1" s="1" a="1"/>
  <c r="N156" i="1" s="1"/>
  <c r="W170" i="1"/>
  <c r="N170" i="1" s="1" a="1"/>
  <c r="N170" i="1" s="1"/>
  <c r="W131" i="1"/>
  <c r="W171" i="1"/>
  <c r="N171" i="1" s="1" a="1"/>
  <c r="N171" i="1" s="1"/>
  <c r="W146" i="1"/>
  <c r="N146" i="1" s="1" a="1"/>
  <c r="N146" i="1" s="1"/>
  <c r="W144" i="1"/>
  <c r="N144" i="1" s="1" a="1"/>
  <c r="N144" i="1" s="1"/>
  <c r="W136" i="1"/>
  <c r="W172" i="1"/>
  <c r="N172" i="1" s="1" a="1"/>
  <c r="N172" i="1" s="1"/>
  <c r="W173" i="1"/>
  <c r="N173" i="1" s="1" a="1"/>
  <c r="N173" i="1" s="1"/>
  <c r="W174" i="1"/>
  <c r="N174" i="1" s="1" a="1"/>
  <c r="N174" i="1" s="1"/>
  <c r="W142" i="1"/>
  <c r="N142" i="1" s="1" a="1"/>
  <c r="N142" i="1" s="1"/>
  <c r="W175" i="1"/>
  <c r="N175" i="1" s="1" a="1"/>
  <c r="N175" i="1" s="1"/>
  <c r="W132" i="1"/>
  <c r="W150" i="1"/>
  <c r="N150" i="1" s="1" a="1"/>
  <c r="N150" i="1" s="1"/>
  <c r="W176" i="1"/>
  <c r="N176" i="1" s="1" a="1"/>
  <c r="N176" i="1" s="1"/>
  <c r="W139" i="1"/>
  <c r="W177" i="1"/>
  <c r="N177" i="1" s="1" a="1"/>
  <c r="N177" i="1" s="1"/>
  <c r="W178" i="1"/>
  <c r="N178" i="1" s="1" a="1"/>
  <c r="N178" i="1" s="1"/>
  <c r="W179" i="1"/>
  <c r="N179" i="1" s="1" a="1"/>
  <c r="N179" i="1" s="1"/>
  <c r="W180" i="1"/>
  <c r="N180" i="1" s="1" a="1"/>
  <c r="N180" i="1" s="1"/>
  <c r="W181" i="1"/>
  <c r="N181" i="1" s="1" a="1"/>
  <c r="N181" i="1" s="1"/>
  <c r="W182" i="1"/>
  <c r="N182" i="1" s="1" a="1"/>
  <c r="N182" i="1" s="1"/>
  <c r="W183" i="1"/>
  <c r="N183" i="1" s="1" a="1"/>
  <c r="N183" i="1" s="1"/>
  <c r="W184" i="1"/>
  <c r="N184" i="1" s="1" a="1"/>
  <c r="N184" i="1" s="1"/>
  <c r="W185" i="1"/>
  <c r="N185" i="1" s="1" a="1"/>
  <c r="N185" i="1" s="1"/>
  <c r="W186" i="1"/>
  <c r="N186" i="1" s="1" a="1"/>
  <c r="N186" i="1" s="1"/>
  <c r="W135" i="1"/>
  <c r="W187" i="1"/>
  <c r="N187" i="1" s="1" a="1"/>
  <c r="N187" i="1" s="1"/>
  <c r="W188" i="1"/>
  <c r="N188" i="1" s="1" a="1"/>
  <c r="N188" i="1" s="1"/>
  <c r="W133" i="1"/>
  <c r="W189" i="1"/>
  <c r="N189" i="1" s="1" a="1"/>
  <c r="N189" i="1" s="1"/>
  <c r="W190" i="1"/>
  <c r="N190" i="1" s="1" a="1"/>
  <c r="N190" i="1" s="1"/>
  <c r="W191" i="1"/>
  <c r="N191" i="1" s="1" a="1"/>
  <c r="N191" i="1" s="1"/>
  <c r="W192" i="1"/>
  <c r="N192" i="1" s="1" a="1"/>
  <c r="N192" i="1" s="1"/>
  <c r="W193" i="1"/>
  <c r="N193" i="1" s="1" a="1"/>
  <c r="N193" i="1" s="1"/>
  <c r="W194" i="1"/>
  <c r="N194" i="1" s="1" a="1"/>
  <c r="N194" i="1" s="1"/>
  <c r="W195" i="1"/>
  <c r="N195" i="1" s="1" a="1"/>
  <c r="N195" i="1" s="1"/>
  <c r="W196" i="1"/>
  <c r="N196" i="1" s="1" a="1"/>
  <c r="N196" i="1" s="1"/>
  <c r="W152" i="1"/>
  <c r="N152" i="1" s="1" a="1"/>
  <c r="N152" i="1" s="1"/>
  <c r="W197" i="1"/>
  <c r="N197" i="1" s="1" a="1"/>
  <c r="N197" i="1" s="1"/>
  <c r="W198" i="1"/>
  <c r="N198" i="1" s="1" a="1"/>
  <c r="N198" i="1" s="1"/>
  <c r="W199" i="1"/>
  <c r="N199" i="1" s="1" a="1"/>
  <c r="N199" i="1" s="1"/>
  <c r="W200" i="1"/>
  <c r="N200" i="1" s="1" a="1"/>
  <c r="N200" i="1" s="1"/>
  <c r="W201" i="1"/>
  <c r="N201" i="1" s="1" a="1"/>
  <c r="N201" i="1" s="1"/>
  <c r="W145" i="1"/>
  <c r="N145" i="1" s="1" a="1"/>
  <c r="N145" i="1" s="1"/>
  <c r="W202" i="1"/>
  <c r="N202" i="1" s="1" a="1"/>
  <c r="N202" i="1" s="1"/>
  <c r="W147" i="1"/>
  <c r="N147" i="1" s="1" a="1"/>
  <c r="N147" i="1" s="1"/>
  <c r="W155" i="1"/>
  <c r="N155" i="1" s="1" a="1"/>
  <c r="N155" i="1" s="1"/>
  <c r="W153" i="1"/>
  <c r="N153" i="1" s="1" a="1"/>
  <c r="N153" i="1" s="1"/>
  <c r="W203" i="1"/>
  <c r="N203" i="1" s="1" a="1"/>
  <c r="N203" i="1" s="1"/>
  <c r="W204" i="1"/>
  <c r="N204" i="1" s="1" a="1"/>
  <c r="N204" i="1" s="1"/>
  <c r="W205" i="1"/>
  <c r="N205" i="1" s="1" a="1"/>
  <c r="N205" i="1" s="1"/>
  <c r="W206" i="1"/>
  <c r="N206" i="1" s="1" a="1"/>
  <c r="N206" i="1" s="1"/>
  <c r="W140" i="1"/>
  <c r="W207" i="1"/>
  <c r="N207" i="1" s="1" a="1"/>
  <c r="N207" i="1" s="1"/>
  <c r="W208" i="1"/>
  <c r="N208" i="1" s="1" a="1"/>
  <c r="N208" i="1" s="1"/>
  <c r="W209" i="1"/>
  <c r="N209" i="1" s="1" a="1"/>
  <c r="N209" i="1" s="1"/>
  <c r="W151" i="1"/>
  <c r="N151" i="1" s="1" a="1"/>
  <c r="N151" i="1" s="1"/>
  <c r="W210" i="1"/>
  <c r="N210" i="1" s="1" a="1"/>
  <c r="N210" i="1" s="1"/>
  <c r="W211" i="1"/>
  <c r="N211" i="1" s="1" a="1"/>
  <c r="N211" i="1" s="1"/>
  <c r="W212" i="1"/>
  <c r="N212" i="1" s="1" a="1"/>
  <c r="N212" i="1" s="1"/>
  <c r="W213" i="1"/>
  <c r="N213" i="1" s="1" a="1"/>
  <c r="N213" i="1" s="1"/>
  <c r="W214" i="1"/>
  <c r="N214" i="1" s="1" a="1"/>
  <c r="N214" i="1" s="1"/>
  <c r="W154" i="1"/>
  <c r="N154" i="1" s="1" a="1"/>
  <c r="N154" i="1" s="1"/>
  <c r="W215" i="1"/>
  <c r="N215" i="1" s="1" a="1"/>
  <c r="N215" i="1" s="1"/>
  <c r="W216" i="1"/>
  <c r="N216" i="1" s="1" a="1"/>
  <c r="N216" i="1" s="1"/>
  <c r="W217" i="1"/>
  <c r="N217" i="1" s="1" a="1"/>
  <c r="N217" i="1" s="1"/>
  <c r="W218" i="1"/>
  <c r="N218" i="1" s="1" a="1"/>
  <c r="N218" i="1" s="1"/>
  <c r="W219" i="1"/>
  <c r="N219" i="1" s="1" a="1"/>
  <c r="N219" i="1" s="1"/>
  <c r="W220" i="1"/>
  <c r="N220" i="1" s="1" a="1"/>
  <c r="N220" i="1" s="1"/>
  <c r="W221" i="1"/>
  <c r="N221" i="1" s="1" a="1"/>
  <c r="N221" i="1" s="1"/>
  <c r="W222" i="1"/>
  <c r="N222" i="1" s="1" a="1"/>
  <c r="N222" i="1" s="1"/>
  <c r="W223" i="1"/>
  <c r="N223" i="1" s="1" a="1"/>
  <c r="N223" i="1" s="1"/>
  <c r="W224" i="1"/>
  <c r="N224" i="1" s="1" a="1"/>
  <c r="N224" i="1" s="1"/>
  <c r="W225" i="1"/>
  <c r="N225" i="1" s="1" a="1"/>
  <c r="N225" i="1" s="1"/>
  <c r="W226" i="1"/>
  <c r="N226" i="1" s="1" a="1"/>
  <c r="N226" i="1" s="1"/>
  <c r="W15" i="1"/>
  <c r="AL541" i="12"/>
  <c r="AL542" i="12"/>
  <c r="AL543" i="12"/>
  <c r="AL544" i="12"/>
  <c r="AL545" i="12"/>
  <c r="AL5" i="16"/>
  <c r="AL535" i="12"/>
  <c r="AL536" i="12"/>
  <c r="AL537" i="12"/>
  <c r="AL538" i="12"/>
  <c r="AL539" i="12"/>
  <c r="AL540" i="12"/>
  <c r="AL527" i="12"/>
  <c r="AL528" i="12"/>
  <c r="AL529" i="12"/>
  <c r="AL530" i="12"/>
  <c r="AL531" i="12"/>
  <c r="AL532" i="12"/>
  <c r="AL533" i="12"/>
  <c r="AL534" i="12"/>
  <c r="B2" i="26"/>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49" i="1" a="1"/>
  <c r="Q149" i="1" s="1"/>
  <c r="Q143" i="1" a="1"/>
  <c r="Q143" i="1" s="1"/>
  <c r="Q137" i="1" a="1"/>
  <c r="Q137" i="1" s="1"/>
  <c r="Q141" i="1" a="1"/>
  <c r="Q141" i="1" s="1"/>
  <c r="Q157" i="1" a="1"/>
  <c r="Q157" i="1" s="1"/>
  <c r="Q138" i="1" a="1"/>
  <c r="Q138" i="1" s="1"/>
  <c r="Q158" i="1" a="1"/>
  <c r="Q158" i="1" s="1"/>
  <c r="Q159" i="1" a="1"/>
  <c r="Q159" i="1" s="1"/>
  <c r="Q128" i="1" a="1"/>
  <c r="Q128" i="1" s="1"/>
  <c r="Q126" i="1" a="1"/>
  <c r="Q126" i="1" s="1"/>
  <c r="Q160" i="1" a="1"/>
  <c r="Q160" i="1" s="1"/>
  <c r="Q161" i="1" a="1"/>
  <c r="Q161" i="1" s="1"/>
  <c r="Q134" i="1" a="1"/>
  <c r="Q134" i="1" s="1"/>
  <c r="Q162" i="1" a="1"/>
  <c r="Q162" i="1" s="1"/>
  <c r="Q163" i="1" a="1"/>
  <c r="Q163" i="1" s="1"/>
  <c r="Q164" i="1" a="1"/>
  <c r="Q164" i="1" s="1"/>
  <c r="Q165" i="1" a="1"/>
  <c r="Q165" i="1" s="1"/>
  <c r="Q166" i="1" a="1"/>
  <c r="Q166" i="1" s="1"/>
  <c r="Q167" i="1" a="1"/>
  <c r="Q167" i="1" s="1"/>
  <c r="Q168" i="1" a="1"/>
  <c r="Q168" i="1" s="1"/>
  <c r="Q169" i="1" a="1"/>
  <c r="Q169" i="1" s="1"/>
  <c r="Q148" i="1" a="1"/>
  <c r="Q148" i="1" s="1"/>
  <c r="Q156" i="1" a="1"/>
  <c r="Q156" i="1" s="1"/>
  <c r="Q124" i="1" a="1"/>
  <c r="Q124" i="1" s="1"/>
  <c r="Q125" i="1" a="1"/>
  <c r="Q125" i="1" s="1"/>
  <c r="Q127" i="1" a="1"/>
  <c r="Q127" i="1" s="1"/>
  <c r="Q170" i="1" a="1"/>
  <c r="Q170" i="1" s="1"/>
  <c r="Q131" i="1" a="1"/>
  <c r="Q131" i="1" s="1"/>
  <c r="Q171" i="1" a="1"/>
  <c r="Q171" i="1" s="1"/>
  <c r="Q146" i="1" a="1"/>
  <c r="Q146" i="1" s="1"/>
  <c r="Q121" i="1" a="1"/>
  <c r="Q121" i="1" s="1"/>
  <c r="Q144" i="1" a="1"/>
  <c r="Q144" i="1" s="1"/>
  <c r="Q119" i="1" a="1"/>
  <c r="Q119" i="1" s="1"/>
  <c r="Q136" i="1" a="1"/>
  <c r="Q136" i="1" s="1"/>
  <c r="Q118" i="1" a="1"/>
  <c r="Q118" i="1" s="1"/>
  <c r="Q172" i="1" a="1"/>
  <c r="Q172" i="1" s="1"/>
  <c r="Q173" i="1" a="1"/>
  <c r="Q173" i="1" s="1"/>
  <c r="Q174" i="1" a="1"/>
  <c r="Q174" i="1" s="1"/>
  <c r="Q142" i="1" a="1"/>
  <c r="Q142" i="1" s="1"/>
  <c r="Q175" i="1" a="1"/>
  <c r="Q175" i="1" s="1"/>
  <c r="Q132" i="1" a="1"/>
  <c r="Q132" i="1" s="1"/>
  <c r="Q150" i="1" a="1"/>
  <c r="Q150" i="1" s="1"/>
  <c r="Q176" i="1" a="1"/>
  <c r="Q176" i="1" s="1"/>
  <c r="Q139" i="1" a="1"/>
  <c r="Q139" i="1" s="1"/>
  <c r="Q177" i="1" a="1"/>
  <c r="Q177" i="1" s="1"/>
  <c r="Q122" i="1" a="1"/>
  <c r="Q122" i="1" s="1"/>
  <c r="Q120" i="1" a="1"/>
  <c r="Q120" i="1" s="1"/>
  <c r="Q117" i="1" a="1"/>
  <c r="Q117" i="1" s="1"/>
  <c r="Q178" i="1" a="1"/>
  <c r="Q178" i="1" s="1"/>
  <c r="Q179" i="1" a="1"/>
  <c r="Q179" i="1" s="1"/>
  <c r="Q180" i="1" a="1"/>
  <c r="Q180" i="1" s="1"/>
  <c r="Q181" i="1" a="1"/>
  <c r="Q181" i="1" s="1"/>
  <c r="Q182" i="1" a="1"/>
  <c r="Q182" i="1" s="1"/>
  <c r="Q183" i="1" a="1"/>
  <c r="Q183" i="1" s="1"/>
  <c r="Q184" i="1" a="1"/>
  <c r="Q184" i="1" s="1"/>
  <c r="Q185" i="1" a="1"/>
  <c r="Q185" i="1" s="1"/>
  <c r="Q186" i="1" a="1"/>
  <c r="Q186" i="1" s="1"/>
  <c r="Q135" i="1" a="1"/>
  <c r="Q135" i="1" s="1"/>
  <c r="Q187" i="1" a="1"/>
  <c r="Q187" i="1" s="1"/>
  <c r="Q116" i="1" a="1"/>
  <c r="Q116" i="1" s="1"/>
  <c r="Q188" i="1" a="1"/>
  <c r="Q188" i="1" s="1"/>
  <c r="Q133" i="1" a="1"/>
  <c r="Q133" i="1" s="1"/>
  <c r="Q189" i="1" a="1"/>
  <c r="Q189" i="1" s="1"/>
  <c r="Q190" i="1" a="1"/>
  <c r="Q190" i="1" s="1"/>
  <c r="Q191" i="1" a="1"/>
  <c r="Q191" i="1" s="1"/>
  <c r="Q192" i="1" a="1"/>
  <c r="Q192" i="1" s="1"/>
  <c r="Q193" i="1" a="1"/>
  <c r="Q193" i="1" s="1"/>
  <c r="Q194" i="1" a="1"/>
  <c r="Q194" i="1" s="1"/>
  <c r="Q195" i="1" a="1"/>
  <c r="Q195" i="1" s="1"/>
  <c r="Q196" i="1" a="1"/>
  <c r="Q196" i="1" s="1"/>
  <c r="Q152" i="1" a="1"/>
  <c r="Q152" i="1" s="1"/>
  <c r="Q197" i="1" a="1"/>
  <c r="Q197" i="1" s="1"/>
  <c r="Q198" i="1" a="1"/>
  <c r="Q198" i="1" s="1"/>
  <c r="Q130" i="1" a="1"/>
  <c r="Q130" i="1" s="1"/>
  <c r="Q129" i="1" a="1"/>
  <c r="Q129" i="1" s="1"/>
  <c r="Q199" i="1" a="1"/>
  <c r="Q199" i="1" s="1"/>
  <c r="Q200" i="1" a="1"/>
  <c r="Q200" i="1" s="1"/>
  <c r="Q201" i="1" a="1"/>
  <c r="Q201" i="1" s="1"/>
  <c r="Q145" i="1" a="1"/>
  <c r="Q145" i="1" s="1"/>
  <c r="Q202" i="1" a="1"/>
  <c r="Q202" i="1" s="1"/>
  <c r="Q147" i="1" a="1"/>
  <c r="Q147" i="1" s="1"/>
  <c r="Q155" i="1" a="1"/>
  <c r="Q155" i="1" s="1"/>
  <c r="Q153" i="1" a="1"/>
  <c r="Q153" i="1" s="1"/>
  <c r="Q203" i="1" a="1"/>
  <c r="Q203" i="1" s="1"/>
  <c r="Q204" i="1" a="1"/>
  <c r="Q204" i="1" s="1"/>
  <c r="Q205" i="1" a="1"/>
  <c r="Q205" i="1" s="1"/>
  <c r="Q206" i="1" a="1"/>
  <c r="Q206" i="1" s="1"/>
  <c r="Q140" i="1" a="1"/>
  <c r="Q140" i="1" s="1"/>
  <c r="Q207" i="1" a="1"/>
  <c r="Q207" i="1" s="1"/>
  <c r="Q208" i="1" a="1"/>
  <c r="Q208" i="1" s="1"/>
  <c r="Q209" i="1" a="1"/>
  <c r="Q209" i="1" s="1"/>
  <c r="Q151" i="1" a="1"/>
  <c r="Q151" i="1" s="1"/>
  <c r="Q210" i="1" a="1"/>
  <c r="Q210" i="1" s="1"/>
  <c r="Q211" i="1" a="1"/>
  <c r="Q211" i="1" s="1"/>
  <c r="Q212" i="1" a="1"/>
  <c r="Q212" i="1" s="1"/>
  <c r="Q213" i="1" a="1"/>
  <c r="Q213" i="1" s="1"/>
  <c r="Q214" i="1" a="1"/>
  <c r="Q214" i="1" s="1"/>
  <c r="Q154" i="1" a="1"/>
  <c r="Q15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123" i="1" a="1"/>
  <c r="Q123" i="1" s="1"/>
  <c r="Q225" i="1" a="1"/>
  <c r="Q225" i="1" s="1"/>
  <c r="Q226" i="1" a="1"/>
  <c r="Q226" i="1" s="1"/>
  <c r="Q15" i="1" a="1"/>
  <c r="Q15" i="1" s="1"/>
  <c r="R16" i="1" a="1"/>
  <c r="R16" i="1" s="1"/>
  <c r="V16" i="1" s="1"/>
  <c r="R17" i="1" a="1"/>
  <c r="R17" i="1" s="1"/>
  <c r="V17" i="1" s="1"/>
  <c r="R18" i="1" a="1"/>
  <c r="R18" i="1" s="1"/>
  <c r="V18" i="1" s="1"/>
  <c r="R19" i="1" a="1"/>
  <c r="R19" i="1" s="1"/>
  <c r="V19" i="1" s="1"/>
  <c r="R20" i="1" a="1"/>
  <c r="R20" i="1" s="1"/>
  <c r="V20" i="1" s="1"/>
  <c r="R21" i="1" a="1"/>
  <c r="R21" i="1" s="1"/>
  <c r="V21" i="1" s="1"/>
  <c r="R22" i="1" a="1"/>
  <c r="R22" i="1" s="1"/>
  <c r="V22" i="1" s="1"/>
  <c r="R23" i="1" a="1"/>
  <c r="R23" i="1" s="1"/>
  <c r="V23" i="1" s="1"/>
  <c r="R24" i="1" a="1"/>
  <c r="R24" i="1" s="1"/>
  <c r="V24" i="1" s="1"/>
  <c r="R25" i="1" a="1"/>
  <c r="R25" i="1" s="1"/>
  <c r="V25" i="1" s="1"/>
  <c r="R26" i="1" a="1"/>
  <c r="R26" i="1" s="1"/>
  <c r="V26" i="1" s="1"/>
  <c r="R27" i="1" a="1"/>
  <c r="R27" i="1" s="1"/>
  <c r="V27" i="1" s="1"/>
  <c r="R28" i="1" a="1"/>
  <c r="R28" i="1" s="1"/>
  <c r="V28" i="1" s="1"/>
  <c r="R29" i="1" a="1"/>
  <c r="R29" i="1" s="1"/>
  <c r="V29" i="1" s="1"/>
  <c r="R30" i="1" a="1"/>
  <c r="R30" i="1" s="1"/>
  <c r="V30" i="1" s="1"/>
  <c r="R31" i="1" a="1"/>
  <c r="R31" i="1" s="1"/>
  <c r="V31" i="1" s="1"/>
  <c r="R32" i="1" a="1"/>
  <c r="R32" i="1" s="1"/>
  <c r="V32" i="1" s="1"/>
  <c r="R33" i="1" a="1"/>
  <c r="R33" i="1" s="1"/>
  <c r="V33" i="1" s="1"/>
  <c r="R34" i="1" a="1"/>
  <c r="R34" i="1" s="1"/>
  <c r="V34" i="1" s="1"/>
  <c r="R35" i="1" a="1"/>
  <c r="R35" i="1" s="1"/>
  <c r="V35" i="1" s="1"/>
  <c r="R36" i="1" a="1"/>
  <c r="R36" i="1" s="1"/>
  <c r="V36" i="1" s="1"/>
  <c r="R37" i="1" a="1"/>
  <c r="R37" i="1" s="1"/>
  <c r="V37" i="1" s="1"/>
  <c r="R38" i="1" a="1"/>
  <c r="R38" i="1" s="1"/>
  <c r="V38" i="1" s="1"/>
  <c r="R39" i="1" a="1"/>
  <c r="R39" i="1" s="1"/>
  <c r="V39" i="1" s="1"/>
  <c r="R40" i="1" a="1"/>
  <c r="R40" i="1" s="1"/>
  <c r="V40" i="1" s="1"/>
  <c r="R41" i="1" a="1"/>
  <c r="R41" i="1" s="1"/>
  <c r="V41" i="1" s="1"/>
  <c r="R42" i="1" a="1"/>
  <c r="R42" i="1" s="1"/>
  <c r="V42" i="1" s="1"/>
  <c r="R43" i="1" a="1"/>
  <c r="R43" i="1" s="1"/>
  <c r="V43" i="1" s="1"/>
  <c r="R44" i="1" a="1"/>
  <c r="R44" i="1" s="1"/>
  <c r="V44" i="1" s="1"/>
  <c r="R45" i="1" a="1"/>
  <c r="R45" i="1" s="1"/>
  <c r="V45" i="1" s="1"/>
  <c r="R46" i="1" a="1"/>
  <c r="R46" i="1" s="1"/>
  <c r="V46" i="1" s="1"/>
  <c r="R47" i="1" a="1"/>
  <c r="R47" i="1" s="1"/>
  <c r="V47" i="1" s="1"/>
  <c r="R48" i="1" a="1"/>
  <c r="R48" i="1" s="1"/>
  <c r="V48" i="1" s="1"/>
  <c r="R49" i="1" a="1"/>
  <c r="R49" i="1" s="1"/>
  <c r="V49" i="1" s="1"/>
  <c r="R50" i="1" a="1"/>
  <c r="R50" i="1" s="1"/>
  <c r="V50" i="1" s="1"/>
  <c r="R51" i="1" a="1"/>
  <c r="R51" i="1" s="1"/>
  <c r="V51" i="1" s="1"/>
  <c r="R52" i="1" a="1"/>
  <c r="R52" i="1" s="1"/>
  <c r="V52" i="1" s="1"/>
  <c r="R53" i="1" a="1"/>
  <c r="R53" i="1" s="1"/>
  <c r="V53" i="1" s="1"/>
  <c r="R54" i="1" a="1"/>
  <c r="R54" i="1" s="1"/>
  <c r="V54" i="1" s="1"/>
  <c r="R55" i="1" a="1"/>
  <c r="R55" i="1" s="1"/>
  <c r="V55" i="1" s="1"/>
  <c r="R56" i="1" a="1"/>
  <c r="R56" i="1" s="1"/>
  <c r="V56" i="1" s="1"/>
  <c r="R57" i="1" a="1"/>
  <c r="R57" i="1" s="1"/>
  <c r="V57" i="1" s="1"/>
  <c r="R58" i="1" a="1"/>
  <c r="R58" i="1" s="1"/>
  <c r="V58" i="1" s="1"/>
  <c r="R59" i="1" a="1"/>
  <c r="R59" i="1" s="1"/>
  <c r="V59" i="1" s="1"/>
  <c r="R60" i="1" a="1"/>
  <c r="R60" i="1" s="1"/>
  <c r="V60" i="1" s="1"/>
  <c r="R61" i="1" a="1"/>
  <c r="R61" i="1" s="1"/>
  <c r="V61" i="1" s="1"/>
  <c r="R62" i="1" a="1"/>
  <c r="R62" i="1" s="1"/>
  <c r="V62" i="1" s="1"/>
  <c r="R63" i="1" a="1"/>
  <c r="R63" i="1" s="1"/>
  <c r="V63" i="1" s="1"/>
  <c r="R64" i="1" a="1"/>
  <c r="R64" i="1" s="1"/>
  <c r="V64" i="1" s="1"/>
  <c r="R65" i="1" a="1"/>
  <c r="R65" i="1" s="1"/>
  <c r="V65" i="1" s="1"/>
  <c r="R66" i="1" a="1"/>
  <c r="R66" i="1" s="1"/>
  <c r="V66" i="1" s="1"/>
  <c r="R67" i="1" a="1"/>
  <c r="R67" i="1" s="1"/>
  <c r="V67" i="1" s="1"/>
  <c r="R68" i="1" a="1"/>
  <c r="R68" i="1" s="1"/>
  <c r="V68" i="1" s="1"/>
  <c r="R69" i="1" a="1"/>
  <c r="R69" i="1" s="1"/>
  <c r="V69" i="1" s="1"/>
  <c r="R70" i="1" a="1"/>
  <c r="R70" i="1" s="1"/>
  <c r="V70" i="1" s="1"/>
  <c r="R71" i="1" a="1"/>
  <c r="R71" i="1" s="1"/>
  <c r="V71" i="1" s="1"/>
  <c r="R72" i="1" a="1"/>
  <c r="R72" i="1" s="1"/>
  <c r="V72" i="1" s="1"/>
  <c r="R73" i="1" a="1"/>
  <c r="R73" i="1" s="1"/>
  <c r="V73" i="1" s="1"/>
  <c r="R74" i="1" a="1"/>
  <c r="R74" i="1" s="1"/>
  <c r="V74" i="1" s="1"/>
  <c r="R75" i="1" a="1"/>
  <c r="R75" i="1" s="1"/>
  <c r="V75" i="1" s="1"/>
  <c r="R76" i="1" a="1"/>
  <c r="R76" i="1" s="1"/>
  <c r="V76" i="1" s="1"/>
  <c r="R77" i="1" a="1"/>
  <c r="R77" i="1" s="1"/>
  <c r="V77" i="1" s="1"/>
  <c r="R78" i="1" a="1"/>
  <c r="R78" i="1" s="1"/>
  <c r="V78" i="1" s="1"/>
  <c r="R79" i="1" a="1"/>
  <c r="R79" i="1" s="1"/>
  <c r="V79" i="1" s="1"/>
  <c r="R80" i="1" a="1"/>
  <c r="R80" i="1" s="1"/>
  <c r="V80" i="1" s="1"/>
  <c r="R81" i="1" a="1"/>
  <c r="R81" i="1" s="1"/>
  <c r="V81" i="1" s="1"/>
  <c r="R82" i="1" a="1"/>
  <c r="R82" i="1" s="1"/>
  <c r="V82" i="1" s="1"/>
  <c r="R83" i="1" a="1"/>
  <c r="R83" i="1" s="1"/>
  <c r="V83" i="1" s="1"/>
  <c r="R84" i="1" a="1"/>
  <c r="R84" i="1" s="1"/>
  <c r="V84" i="1" s="1"/>
  <c r="R85" i="1" a="1"/>
  <c r="R85" i="1" s="1"/>
  <c r="V85" i="1" s="1"/>
  <c r="R86" i="1" a="1"/>
  <c r="R86" i="1" s="1"/>
  <c r="V86" i="1" s="1"/>
  <c r="R87" i="1" a="1"/>
  <c r="R87" i="1" s="1"/>
  <c r="V87" i="1" s="1"/>
  <c r="R88" i="1" a="1"/>
  <c r="R88" i="1" s="1"/>
  <c r="V88" i="1" s="1"/>
  <c r="R89" i="1" a="1"/>
  <c r="R89" i="1" s="1"/>
  <c r="V89" i="1" s="1"/>
  <c r="R90" i="1" a="1"/>
  <c r="R90" i="1" s="1"/>
  <c r="V90" i="1" s="1"/>
  <c r="R91" i="1" a="1"/>
  <c r="R91" i="1" s="1"/>
  <c r="V91" i="1" s="1"/>
  <c r="R92" i="1" a="1"/>
  <c r="R92" i="1" s="1"/>
  <c r="V92" i="1" s="1"/>
  <c r="R93" i="1" a="1"/>
  <c r="R93" i="1" s="1"/>
  <c r="V93" i="1" s="1"/>
  <c r="R94" i="1" a="1"/>
  <c r="R94" i="1" s="1"/>
  <c r="V94" i="1" s="1"/>
  <c r="R95" i="1" a="1"/>
  <c r="R95" i="1" s="1"/>
  <c r="V95" i="1" s="1"/>
  <c r="R96" i="1" a="1"/>
  <c r="R96" i="1" s="1"/>
  <c r="V96" i="1" s="1"/>
  <c r="R98" i="1" a="1"/>
  <c r="R98" i="1" s="1"/>
  <c r="V98" i="1" s="1"/>
  <c r="R99" i="1" a="1"/>
  <c r="R99" i="1" s="1"/>
  <c r="V99" i="1" s="1"/>
  <c r="R100" i="1" a="1"/>
  <c r="R100" i="1" s="1"/>
  <c r="V100" i="1" s="1"/>
  <c r="R101" i="1" a="1"/>
  <c r="R101" i="1" s="1"/>
  <c r="V101" i="1" s="1"/>
  <c r="R102" i="1" a="1"/>
  <c r="R102" i="1" s="1"/>
  <c r="V102" i="1" s="1"/>
  <c r="R103" i="1" a="1"/>
  <c r="R103" i="1" s="1"/>
  <c r="V103" i="1" s="1"/>
  <c r="R104" i="1" a="1"/>
  <c r="R104" i="1" s="1"/>
  <c r="V104" i="1" s="1"/>
  <c r="R105" i="1" a="1"/>
  <c r="R105" i="1" s="1"/>
  <c r="V105" i="1" s="1"/>
  <c r="R106" i="1" a="1"/>
  <c r="R106" i="1" s="1"/>
  <c r="V106" i="1" s="1"/>
  <c r="R107" i="1" a="1"/>
  <c r="R107" i="1" s="1"/>
  <c r="V107" i="1" s="1"/>
  <c r="R108" i="1" a="1"/>
  <c r="R108" i="1" s="1"/>
  <c r="V108" i="1" s="1"/>
  <c r="R109" i="1" a="1"/>
  <c r="R109" i="1" s="1"/>
  <c r="V109" i="1" s="1"/>
  <c r="R110" i="1" a="1"/>
  <c r="R110" i="1" s="1"/>
  <c r="V110" i="1" s="1"/>
  <c r="R111" i="1" a="1"/>
  <c r="R111" i="1" s="1"/>
  <c r="V111" i="1" s="1"/>
  <c r="R112" i="1" a="1"/>
  <c r="R112" i="1" s="1"/>
  <c r="V112" i="1" s="1"/>
  <c r="R113" i="1" a="1"/>
  <c r="R113" i="1" s="1"/>
  <c r="V113" i="1" s="1"/>
  <c r="R114" i="1" a="1"/>
  <c r="R114" i="1" s="1"/>
  <c r="V114" i="1" s="1"/>
  <c r="R115" i="1" a="1"/>
  <c r="R115" i="1" s="1"/>
  <c r="V115" i="1" s="1"/>
  <c r="R149" i="1" a="1"/>
  <c r="R149" i="1" s="1"/>
  <c r="V149" i="1" s="1"/>
  <c r="R143" i="1" a="1"/>
  <c r="R143" i="1" s="1"/>
  <c r="V143" i="1" s="1"/>
  <c r="R137" i="1" a="1"/>
  <c r="R137" i="1" s="1"/>
  <c r="V137" i="1" s="1"/>
  <c r="R141" i="1" a="1"/>
  <c r="R141" i="1" s="1"/>
  <c r="V141" i="1" s="1"/>
  <c r="R157" i="1" a="1"/>
  <c r="R157" i="1" s="1"/>
  <c r="V157" i="1" s="1"/>
  <c r="R138" i="1" a="1"/>
  <c r="R138" i="1" s="1"/>
  <c r="V138" i="1" s="1"/>
  <c r="R158" i="1" a="1"/>
  <c r="R158" i="1" s="1"/>
  <c r="V158" i="1" s="1"/>
  <c r="R159" i="1" a="1"/>
  <c r="R159" i="1" s="1"/>
  <c r="V159" i="1" s="1"/>
  <c r="R128" i="1" a="1"/>
  <c r="R128" i="1" s="1"/>
  <c r="V128" i="1" s="1"/>
  <c r="R126" i="1" a="1"/>
  <c r="R126" i="1" s="1"/>
  <c r="V126" i="1" s="1"/>
  <c r="R160" i="1" a="1"/>
  <c r="R160" i="1" s="1"/>
  <c r="V160" i="1" s="1"/>
  <c r="R161" i="1" a="1"/>
  <c r="R161" i="1" s="1"/>
  <c r="V161" i="1" s="1"/>
  <c r="R134" i="1" a="1"/>
  <c r="R134" i="1" s="1"/>
  <c r="V134" i="1" s="1"/>
  <c r="R162" i="1" a="1"/>
  <c r="R162" i="1" s="1"/>
  <c r="V162" i="1" s="1"/>
  <c r="R163" i="1" a="1"/>
  <c r="R163" i="1" s="1"/>
  <c r="V163" i="1" s="1"/>
  <c r="R164" i="1" a="1"/>
  <c r="R164" i="1" s="1"/>
  <c r="V164" i="1" s="1"/>
  <c r="R165" i="1" a="1"/>
  <c r="R165" i="1" s="1"/>
  <c r="V165" i="1" s="1"/>
  <c r="R166" i="1" a="1"/>
  <c r="R166" i="1" s="1"/>
  <c r="V166" i="1" s="1"/>
  <c r="R167" i="1" a="1"/>
  <c r="R167" i="1" s="1"/>
  <c r="V167" i="1" s="1"/>
  <c r="R168" i="1" a="1"/>
  <c r="R168" i="1" s="1"/>
  <c r="V168" i="1" s="1"/>
  <c r="R169" i="1" a="1"/>
  <c r="R169" i="1" s="1"/>
  <c r="V169" i="1" s="1"/>
  <c r="R148" i="1" a="1"/>
  <c r="R148" i="1" s="1"/>
  <c r="V148" i="1" s="1"/>
  <c r="R156" i="1" a="1"/>
  <c r="R156" i="1" s="1"/>
  <c r="V156" i="1" s="1"/>
  <c r="R124" i="1" a="1"/>
  <c r="R124" i="1" s="1"/>
  <c r="V124" i="1" s="1"/>
  <c r="R125" i="1" a="1"/>
  <c r="R125" i="1" s="1"/>
  <c r="V125" i="1" s="1"/>
  <c r="R127" i="1" a="1"/>
  <c r="R127" i="1" s="1"/>
  <c r="V127" i="1" s="1"/>
  <c r="R170" i="1" a="1"/>
  <c r="R170" i="1" s="1"/>
  <c r="V170" i="1" s="1"/>
  <c r="R131" i="1" a="1"/>
  <c r="R131" i="1" s="1"/>
  <c r="V131" i="1" s="1"/>
  <c r="R171" i="1" a="1"/>
  <c r="R171" i="1" s="1"/>
  <c r="V171" i="1" s="1"/>
  <c r="R146" i="1" a="1"/>
  <c r="R146" i="1" s="1"/>
  <c r="V146" i="1" s="1"/>
  <c r="R121" i="1" a="1"/>
  <c r="R121" i="1" s="1"/>
  <c r="V121" i="1" s="1"/>
  <c r="R144" i="1" a="1"/>
  <c r="R144" i="1" s="1"/>
  <c r="V144" i="1" s="1"/>
  <c r="R119" i="1" a="1"/>
  <c r="R119" i="1" s="1"/>
  <c r="V119" i="1" s="1"/>
  <c r="R136" i="1" a="1"/>
  <c r="R136" i="1" s="1"/>
  <c r="V136" i="1" s="1"/>
  <c r="R118" i="1" a="1"/>
  <c r="R118" i="1" s="1"/>
  <c r="V118" i="1" s="1"/>
  <c r="R172" i="1" a="1"/>
  <c r="R172" i="1" s="1"/>
  <c r="V172" i="1" s="1"/>
  <c r="R173" i="1" a="1"/>
  <c r="R173" i="1" s="1"/>
  <c r="V173" i="1" s="1"/>
  <c r="R174" i="1" a="1"/>
  <c r="R174" i="1" s="1"/>
  <c r="V174" i="1" s="1"/>
  <c r="R142" i="1" a="1"/>
  <c r="R142" i="1" s="1"/>
  <c r="V142" i="1" s="1"/>
  <c r="R175" i="1" a="1"/>
  <c r="R175" i="1" s="1"/>
  <c r="V175" i="1" s="1"/>
  <c r="R132" i="1" a="1"/>
  <c r="R132" i="1" s="1"/>
  <c r="V132" i="1" s="1"/>
  <c r="R150" i="1" a="1"/>
  <c r="R150" i="1" s="1"/>
  <c r="V150" i="1" s="1"/>
  <c r="R176" i="1" a="1"/>
  <c r="R176" i="1" s="1"/>
  <c r="V176" i="1" s="1"/>
  <c r="R139" i="1" a="1"/>
  <c r="R139" i="1" s="1"/>
  <c r="V139" i="1" s="1"/>
  <c r="R177" i="1" a="1"/>
  <c r="R177" i="1" s="1"/>
  <c r="V177" i="1" s="1"/>
  <c r="R122" i="1" a="1"/>
  <c r="R122" i="1" s="1"/>
  <c r="V122" i="1" s="1"/>
  <c r="R120" i="1" a="1"/>
  <c r="R120" i="1" s="1"/>
  <c r="V120" i="1" s="1"/>
  <c r="R117" i="1" a="1"/>
  <c r="R117" i="1" s="1"/>
  <c r="V117" i="1" s="1"/>
  <c r="R178" i="1" a="1"/>
  <c r="R178" i="1" s="1"/>
  <c r="V178" i="1" s="1"/>
  <c r="R179" i="1" a="1"/>
  <c r="R179" i="1" s="1"/>
  <c r="V179" i="1" s="1"/>
  <c r="R180" i="1" a="1"/>
  <c r="R180" i="1" s="1"/>
  <c r="V180" i="1" s="1"/>
  <c r="R181" i="1" a="1"/>
  <c r="R181" i="1" s="1"/>
  <c r="V181" i="1" s="1"/>
  <c r="R182" i="1" a="1"/>
  <c r="R182" i="1" s="1"/>
  <c r="V182" i="1" s="1"/>
  <c r="R183" i="1" a="1"/>
  <c r="R183" i="1" s="1"/>
  <c r="V183" i="1" s="1"/>
  <c r="R184" i="1" a="1"/>
  <c r="R184" i="1" s="1"/>
  <c r="V184" i="1" s="1"/>
  <c r="R185" i="1" a="1"/>
  <c r="R185" i="1" s="1"/>
  <c r="V185" i="1" s="1"/>
  <c r="R186" i="1" a="1"/>
  <c r="R186" i="1" s="1"/>
  <c r="V186" i="1" s="1"/>
  <c r="R135" i="1" a="1"/>
  <c r="R135" i="1" s="1"/>
  <c r="V135" i="1" s="1"/>
  <c r="R187" i="1" a="1"/>
  <c r="R187" i="1" s="1"/>
  <c r="V187" i="1" s="1"/>
  <c r="R116" i="1" a="1"/>
  <c r="R116" i="1" s="1"/>
  <c r="V116" i="1" s="1"/>
  <c r="R188" i="1" a="1"/>
  <c r="R188" i="1" s="1"/>
  <c r="V188" i="1" s="1"/>
  <c r="R133" i="1" a="1"/>
  <c r="R133" i="1" s="1"/>
  <c r="V133" i="1" s="1"/>
  <c r="R189" i="1" a="1"/>
  <c r="R189" i="1" s="1"/>
  <c r="V189" i="1" s="1"/>
  <c r="R190" i="1" a="1"/>
  <c r="R190" i="1" s="1"/>
  <c r="V190" i="1" s="1"/>
  <c r="R191" i="1" a="1"/>
  <c r="R191" i="1" s="1"/>
  <c r="V191" i="1" s="1"/>
  <c r="R192" i="1" a="1"/>
  <c r="R192" i="1" s="1"/>
  <c r="V192" i="1" s="1"/>
  <c r="R193" i="1" a="1"/>
  <c r="R193" i="1" s="1"/>
  <c r="V193" i="1" s="1"/>
  <c r="R194" i="1" a="1"/>
  <c r="R194" i="1" s="1"/>
  <c r="V194" i="1" s="1"/>
  <c r="R195" i="1" a="1"/>
  <c r="R195" i="1" s="1"/>
  <c r="V195" i="1" s="1"/>
  <c r="R196" i="1" a="1"/>
  <c r="R196" i="1" s="1"/>
  <c r="V196" i="1" s="1"/>
  <c r="R152" i="1" a="1"/>
  <c r="R152" i="1" s="1"/>
  <c r="V152" i="1" s="1"/>
  <c r="R197" i="1" a="1"/>
  <c r="R197" i="1" s="1"/>
  <c r="V197" i="1" s="1"/>
  <c r="R198" i="1" a="1"/>
  <c r="R198" i="1" s="1"/>
  <c r="V198" i="1" s="1"/>
  <c r="R130" i="1" a="1"/>
  <c r="R130" i="1" s="1"/>
  <c r="V130" i="1" s="1"/>
  <c r="R129" i="1" a="1"/>
  <c r="R129" i="1" s="1"/>
  <c r="V129" i="1" s="1"/>
  <c r="R199" i="1" a="1"/>
  <c r="R199" i="1" s="1"/>
  <c r="V199" i="1" s="1"/>
  <c r="R200" i="1" a="1"/>
  <c r="R200" i="1" s="1"/>
  <c r="V200" i="1" s="1"/>
  <c r="R201" i="1" a="1"/>
  <c r="R201" i="1" s="1"/>
  <c r="V201" i="1" s="1"/>
  <c r="R145" i="1" a="1"/>
  <c r="R145" i="1" s="1"/>
  <c r="V145" i="1" s="1"/>
  <c r="R202" i="1" a="1"/>
  <c r="R202" i="1" s="1"/>
  <c r="V202" i="1" s="1"/>
  <c r="R147" i="1" a="1"/>
  <c r="R147" i="1" s="1"/>
  <c r="V147" i="1" s="1"/>
  <c r="R155" i="1" a="1"/>
  <c r="R155" i="1" s="1"/>
  <c r="V155" i="1" s="1"/>
  <c r="R153" i="1" a="1"/>
  <c r="R153" i="1" s="1"/>
  <c r="V153" i="1" s="1"/>
  <c r="R203" i="1" a="1"/>
  <c r="R203" i="1" s="1"/>
  <c r="V203" i="1" s="1"/>
  <c r="R204" i="1" a="1"/>
  <c r="R204" i="1" s="1"/>
  <c r="V204" i="1" s="1"/>
  <c r="R205" i="1" a="1"/>
  <c r="R205" i="1" s="1"/>
  <c r="V205" i="1" s="1"/>
  <c r="R206" i="1" a="1"/>
  <c r="R206" i="1" s="1"/>
  <c r="V206" i="1" s="1"/>
  <c r="R140" i="1" a="1"/>
  <c r="R140" i="1" s="1"/>
  <c r="V140" i="1" s="1"/>
  <c r="R207" i="1" a="1"/>
  <c r="R207" i="1" s="1"/>
  <c r="V207" i="1" s="1"/>
  <c r="R208" i="1" a="1"/>
  <c r="R208" i="1" s="1"/>
  <c r="V208" i="1" s="1"/>
  <c r="R209" i="1" a="1"/>
  <c r="R209" i="1" s="1"/>
  <c r="V209" i="1" s="1"/>
  <c r="R151" i="1" a="1"/>
  <c r="R151" i="1" s="1"/>
  <c r="V151" i="1" s="1"/>
  <c r="R210" i="1" a="1"/>
  <c r="R210" i="1" s="1"/>
  <c r="V210" i="1" s="1"/>
  <c r="R211" i="1" a="1"/>
  <c r="R211" i="1" s="1"/>
  <c r="V211" i="1" s="1"/>
  <c r="R212" i="1" a="1"/>
  <c r="R212" i="1" s="1"/>
  <c r="V212" i="1" s="1"/>
  <c r="R213" i="1" a="1"/>
  <c r="R213" i="1" s="1"/>
  <c r="V213" i="1" s="1"/>
  <c r="R214" i="1" a="1"/>
  <c r="R214" i="1" s="1"/>
  <c r="V214" i="1" s="1"/>
  <c r="R154" i="1" a="1"/>
  <c r="R154" i="1" s="1"/>
  <c r="V154" i="1" s="1"/>
  <c r="R215" i="1" a="1"/>
  <c r="R215" i="1" s="1"/>
  <c r="V215" i="1" s="1"/>
  <c r="R216" i="1" a="1"/>
  <c r="R216" i="1" s="1"/>
  <c r="V216" i="1" s="1"/>
  <c r="R217" i="1" a="1"/>
  <c r="R217" i="1" s="1"/>
  <c r="V217" i="1" s="1"/>
  <c r="R218" i="1" a="1"/>
  <c r="R218" i="1" s="1"/>
  <c r="V218" i="1" s="1"/>
  <c r="R219" i="1" a="1"/>
  <c r="R219" i="1" s="1"/>
  <c r="V219" i="1" s="1"/>
  <c r="R220" i="1" a="1"/>
  <c r="R220" i="1" s="1"/>
  <c r="V220" i="1" s="1"/>
  <c r="R221" i="1" a="1"/>
  <c r="R221" i="1" s="1"/>
  <c r="V221" i="1" s="1"/>
  <c r="R222" i="1" a="1"/>
  <c r="R222" i="1" s="1"/>
  <c r="V222" i="1" s="1"/>
  <c r="R223" i="1" a="1"/>
  <c r="R223" i="1" s="1"/>
  <c r="V223" i="1" s="1"/>
  <c r="R224" i="1" a="1"/>
  <c r="R224" i="1" s="1"/>
  <c r="V224" i="1" s="1"/>
  <c r="R123" i="1" a="1"/>
  <c r="R123" i="1" s="1"/>
  <c r="V123" i="1" s="1"/>
  <c r="R225" i="1" a="1"/>
  <c r="R225" i="1" s="1"/>
  <c r="V225" i="1" s="1"/>
  <c r="R226" i="1" a="1"/>
  <c r="R226" i="1" s="1"/>
  <c r="V226" i="1" s="1"/>
  <c r="R15" i="1" a="1"/>
  <c r="R15" i="1" s="1"/>
  <c r="V15" i="1" s="1"/>
  <c r="M25"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N140" i="1" l="1" a="1"/>
  <c r="N140" i="1" s="1"/>
  <c r="N133" i="1" a="1"/>
  <c r="N133" i="1" s="1"/>
  <c r="N124" i="1" a="1"/>
  <c r="N124" i="1" s="1"/>
  <c r="N116" i="1" a="1"/>
  <c r="N116" i="1" s="1"/>
  <c r="N108" i="1" a="1"/>
  <c r="N108" i="1" s="1"/>
  <c r="N100" i="1" a="1"/>
  <c r="N100" i="1" s="1"/>
  <c r="N92" i="1" a="1"/>
  <c r="N92" i="1" s="1"/>
  <c r="N84" i="1" a="1"/>
  <c r="N84" i="1" s="1"/>
  <c r="N76" i="1" a="1"/>
  <c r="N76" i="1" s="1"/>
  <c r="N68" i="1" a="1"/>
  <c r="N68" i="1" s="1"/>
  <c r="N60" i="1" a="1"/>
  <c r="N60" i="1" s="1"/>
  <c r="N52" i="1" a="1"/>
  <c r="N52" i="1" s="1"/>
  <c r="N44" i="1" a="1"/>
  <c r="N44" i="1" s="1"/>
  <c r="N36" i="1" a="1"/>
  <c r="N36" i="1" s="1"/>
  <c r="N28" i="1" a="1"/>
  <c r="N28" i="1" s="1"/>
  <c r="N20" i="1" a="1"/>
  <c r="N20" i="1" s="1"/>
  <c r="N132" i="1" a="1"/>
  <c r="N132" i="1" s="1"/>
  <c r="N123" i="1" a="1"/>
  <c r="N123" i="1" s="1"/>
  <c r="N115" i="1" a="1"/>
  <c r="N115" i="1" s="1"/>
  <c r="N107" i="1" a="1"/>
  <c r="N107" i="1" s="1"/>
  <c r="N99" i="1" a="1"/>
  <c r="N99" i="1" s="1"/>
  <c r="N91" i="1" a="1"/>
  <c r="N91" i="1" s="1"/>
  <c r="N83" i="1" a="1"/>
  <c r="N83" i="1" s="1"/>
  <c r="N75" i="1" a="1"/>
  <c r="N75" i="1" s="1"/>
  <c r="N67" i="1" a="1"/>
  <c r="N67" i="1" s="1"/>
  <c r="N59" i="1" a="1"/>
  <c r="N59" i="1" s="1"/>
  <c r="N51" i="1" a="1"/>
  <c r="N51" i="1" s="1"/>
  <c r="N43" i="1" a="1"/>
  <c r="N43" i="1" s="1"/>
  <c r="N35" i="1" a="1"/>
  <c r="N35" i="1" s="1"/>
  <c r="N27" i="1" a="1"/>
  <c r="N27" i="1" s="1"/>
  <c r="N19" i="1" a="1"/>
  <c r="N19" i="1" s="1"/>
  <c r="N15" i="1" a="1"/>
  <c r="N15" i="1" s="1"/>
  <c r="N130" i="1" a="1"/>
  <c r="N130" i="1" s="1"/>
  <c r="N122" i="1" a="1"/>
  <c r="N122" i="1" s="1"/>
  <c r="N114" i="1" a="1"/>
  <c r="N114" i="1" s="1"/>
  <c r="N106" i="1" a="1"/>
  <c r="N106" i="1" s="1"/>
  <c r="N98" i="1" a="1"/>
  <c r="N98" i="1" s="1"/>
  <c r="N90" i="1" a="1"/>
  <c r="N90" i="1" s="1"/>
  <c r="N82" i="1" a="1"/>
  <c r="N82" i="1" s="1"/>
  <c r="N74" i="1" a="1"/>
  <c r="N74" i="1" s="1"/>
  <c r="N66" i="1" a="1"/>
  <c r="N66" i="1" s="1"/>
  <c r="N58" i="1" a="1"/>
  <c r="N58" i="1" s="1"/>
  <c r="N50" i="1" a="1"/>
  <c r="N50" i="1" s="1"/>
  <c r="N42" i="1" a="1"/>
  <c r="N42" i="1" s="1"/>
  <c r="N34" i="1" a="1"/>
  <c r="N34" i="1" s="1"/>
  <c r="N26" i="1" a="1"/>
  <c r="N26" i="1" s="1"/>
  <c r="N18" i="1" a="1"/>
  <c r="N18" i="1" s="1"/>
  <c r="N135" i="1" a="1"/>
  <c r="N135" i="1" s="1"/>
  <c r="N131" i="1" a="1"/>
  <c r="N131" i="1" s="1"/>
  <c r="N129" i="1" a="1"/>
  <c r="N129" i="1" s="1"/>
  <c r="N121" i="1" a="1"/>
  <c r="N121" i="1" s="1"/>
  <c r="N113" i="1" a="1"/>
  <c r="N113" i="1" s="1"/>
  <c r="N105" i="1" a="1"/>
  <c r="N105" i="1" s="1"/>
  <c r="N97" i="1" a="1"/>
  <c r="N97" i="1" s="1"/>
  <c r="N89" i="1" a="1"/>
  <c r="N89" i="1" s="1"/>
  <c r="N81" i="1" a="1"/>
  <c r="N81" i="1" s="1"/>
  <c r="N73" i="1" a="1"/>
  <c r="N73" i="1" s="1"/>
  <c r="N65" i="1" a="1"/>
  <c r="N65" i="1" s="1"/>
  <c r="N57" i="1" a="1"/>
  <c r="N57" i="1" s="1"/>
  <c r="N49" i="1" a="1"/>
  <c r="N49" i="1" s="1"/>
  <c r="N41" i="1" a="1"/>
  <c r="N41" i="1" s="1"/>
  <c r="N33" i="1" a="1"/>
  <c r="N33" i="1" s="1"/>
  <c r="N25" i="1" a="1"/>
  <c r="N25" i="1" s="1"/>
  <c r="N17" i="1" a="1"/>
  <c r="N17" i="1" s="1"/>
  <c r="N138" i="1" a="1"/>
  <c r="N138" i="1" s="1"/>
  <c r="N128" i="1" a="1"/>
  <c r="N128" i="1" s="1"/>
  <c r="N120" i="1" a="1"/>
  <c r="N120" i="1" s="1"/>
  <c r="N112" i="1" a="1"/>
  <c r="N112" i="1" s="1"/>
  <c r="N104" i="1" a="1"/>
  <c r="N104" i="1" s="1"/>
  <c r="N96" i="1" a="1"/>
  <c r="N96" i="1" s="1"/>
  <c r="N88" i="1" a="1"/>
  <c r="N88" i="1" s="1"/>
  <c r="N80" i="1" a="1"/>
  <c r="N80" i="1" s="1"/>
  <c r="N72" i="1" a="1"/>
  <c r="N72" i="1" s="1"/>
  <c r="N64" i="1" a="1"/>
  <c r="N64" i="1" s="1"/>
  <c r="N56" i="1" a="1"/>
  <c r="N56" i="1" s="1"/>
  <c r="N48" i="1" a="1"/>
  <c r="N48" i="1" s="1"/>
  <c r="N40" i="1" a="1"/>
  <c r="N40" i="1" s="1"/>
  <c r="N32" i="1" a="1"/>
  <c r="N32" i="1" s="1"/>
  <c r="N24" i="1" a="1"/>
  <c r="N24" i="1" s="1"/>
  <c r="N16" i="1" a="1"/>
  <c r="N16" i="1" s="1"/>
  <c r="N127" i="1" a="1"/>
  <c r="N127" i="1" s="1"/>
  <c r="N119" i="1" a="1"/>
  <c r="N119" i="1" s="1"/>
  <c r="N111" i="1" a="1"/>
  <c r="N111" i="1" s="1"/>
  <c r="N103" i="1" a="1"/>
  <c r="N103" i="1" s="1"/>
  <c r="N95" i="1" a="1"/>
  <c r="N95" i="1" s="1"/>
  <c r="N87" i="1" a="1"/>
  <c r="N87" i="1" s="1"/>
  <c r="N79" i="1" a="1"/>
  <c r="N79" i="1" s="1"/>
  <c r="N71" i="1" a="1"/>
  <c r="N71" i="1" s="1"/>
  <c r="N63" i="1" a="1"/>
  <c r="N63" i="1" s="1"/>
  <c r="N55" i="1" a="1"/>
  <c r="N55" i="1" s="1"/>
  <c r="N47" i="1" a="1"/>
  <c r="N47" i="1" s="1"/>
  <c r="N39" i="1" a="1"/>
  <c r="N39" i="1" s="1"/>
  <c r="N31" i="1" a="1"/>
  <c r="N31" i="1" s="1"/>
  <c r="N23" i="1" a="1"/>
  <c r="N23" i="1" s="1"/>
  <c r="N139" i="1" a="1"/>
  <c r="N139" i="1" s="1"/>
  <c r="N126" i="1" a="1"/>
  <c r="N126" i="1" s="1"/>
  <c r="N118" i="1" a="1"/>
  <c r="N118" i="1" s="1"/>
  <c r="N110" i="1" a="1"/>
  <c r="N110" i="1" s="1"/>
  <c r="N102" i="1" a="1"/>
  <c r="N102" i="1" s="1"/>
  <c r="N94" i="1" a="1"/>
  <c r="N94" i="1" s="1"/>
  <c r="N86" i="1" a="1"/>
  <c r="N86" i="1" s="1"/>
  <c r="N78" i="1" a="1"/>
  <c r="N78" i="1" s="1"/>
  <c r="N70" i="1" a="1"/>
  <c r="N70" i="1" s="1"/>
  <c r="N62" i="1" a="1"/>
  <c r="N62" i="1" s="1"/>
  <c r="N54" i="1" a="1"/>
  <c r="N54" i="1" s="1"/>
  <c r="N46" i="1" a="1"/>
  <c r="N46" i="1" s="1"/>
  <c r="N38" i="1" a="1"/>
  <c r="N38" i="1" s="1"/>
  <c r="N30" i="1" a="1"/>
  <c r="N30" i="1" s="1"/>
  <c r="N22" i="1" a="1"/>
  <c r="N22" i="1" s="1"/>
  <c r="N136" i="1" a="1"/>
  <c r="N136" i="1" s="1"/>
  <c r="N134" i="1" a="1"/>
  <c r="N134" i="1" s="1"/>
  <c r="N137" i="1" a="1"/>
  <c r="N137" i="1" s="1"/>
  <c r="N125" i="1" a="1"/>
  <c r="N125" i="1" s="1"/>
  <c r="N117" i="1" a="1"/>
  <c r="N117" i="1" s="1"/>
  <c r="N109" i="1" a="1"/>
  <c r="N109" i="1" s="1"/>
  <c r="N101" i="1" a="1"/>
  <c r="N101" i="1" s="1"/>
  <c r="N93" i="1" a="1"/>
  <c r="N93" i="1" s="1"/>
  <c r="N85" i="1" a="1"/>
  <c r="N85" i="1" s="1"/>
  <c r="N77" i="1" a="1"/>
  <c r="N77" i="1" s="1"/>
  <c r="N69" i="1" a="1"/>
  <c r="N69" i="1" s="1"/>
  <c r="N61" i="1" a="1"/>
  <c r="N61" i="1" s="1"/>
  <c r="N53" i="1" a="1"/>
  <c r="N53" i="1" s="1"/>
  <c r="N45" i="1" a="1"/>
  <c r="N45" i="1" s="1"/>
  <c r="N37" i="1" a="1"/>
  <c r="N37" i="1" s="1"/>
  <c r="N29" i="1" a="1"/>
  <c r="N29" i="1" s="1"/>
  <c r="N21" i="1" a="1"/>
  <c r="N21" i="1" s="1"/>
  <c r="M116" i="1"/>
  <c r="M139" i="1"/>
  <c r="M131" i="1"/>
  <c r="M161" i="1"/>
  <c r="M111" i="1"/>
  <c r="M95" i="1"/>
  <c r="M79" i="1"/>
  <c r="M63" i="1"/>
  <c r="M55" i="1"/>
  <c r="M47" i="1"/>
  <c r="M39" i="1"/>
  <c r="M31" i="1"/>
  <c r="M23" i="1"/>
  <c r="M199" i="1"/>
  <c r="M110" i="1"/>
  <c r="M102" i="1"/>
  <c r="M94" i="1"/>
  <c r="M86" i="1"/>
  <c r="M78" i="1"/>
  <c r="M70" i="1"/>
  <c r="M62" i="1"/>
  <c r="M54" i="1"/>
  <c r="M46" i="1"/>
  <c r="M38" i="1"/>
  <c r="M30" i="1"/>
  <c r="M22" i="1"/>
  <c r="M77" i="1"/>
  <c r="M69" i="1"/>
  <c r="M61" i="1"/>
  <c r="M53" i="1"/>
  <c r="M45" i="1"/>
  <c r="M37" i="1"/>
  <c r="M29" i="1"/>
  <c r="M21" i="1"/>
  <c r="M218" i="1"/>
  <c r="M211" i="1"/>
  <c r="M201" i="1"/>
  <c r="M196" i="1"/>
  <c r="M133" i="1"/>
  <c r="M183" i="1"/>
  <c r="M122" i="1"/>
  <c r="M174" i="1"/>
  <c r="M146" i="1"/>
  <c r="M148" i="1"/>
  <c r="M162" i="1"/>
  <c r="M138" i="1"/>
  <c r="M113" i="1"/>
  <c r="M105" i="1"/>
  <c r="M97" i="1"/>
  <c r="M89" i="1"/>
  <c r="M81" i="1"/>
  <c r="M73" i="1"/>
  <c r="M65" i="1"/>
  <c r="M57" i="1"/>
  <c r="M41" i="1"/>
  <c r="M33" i="1"/>
  <c r="E41" i="3"/>
  <c r="E30" i="3"/>
  <c r="E36" i="3"/>
  <c r="E26" i="3"/>
  <c r="E108" i="4"/>
  <c r="E38" i="3"/>
  <c r="E76" i="4"/>
  <c r="E92" i="4"/>
  <c r="E50" i="4"/>
  <c r="E39" i="3"/>
  <c r="E34" i="4"/>
  <c r="E12" i="4"/>
  <c r="E52" i="4"/>
  <c r="D27" i="4"/>
  <c r="E27" i="4" s="1"/>
  <c r="E29" i="2"/>
  <c r="E15" i="2"/>
  <c r="D13" i="4"/>
  <c r="E13" i="4" s="1"/>
  <c r="E122" i="4"/>
  <c r="E106" i="4"/>
  <c r="E90" i="4"/>
  <c r="E74" i="4"/>
  <c r="E44" i="4"/>
  <c r="E114" i="4"/>
  <c r="E98" i="4"/>
  <c r="E82" i="4"/>
  <c r="E66" i="4"/>
  <c r="E58" i="4"/>
  <c r="E49" i="4"/>
  <c r="E32" i="4"/>
  <c r="E25" i="4"/>
  <c r="D51" i="4"/>
  <c r="E51" i="4" s="1"/>
  <c r="E42" i="4"/>
  <c r="E47" i="4"/>
  <c r="E93" i="4"/>
  <c r="E15" i="4"/>
  <c r="E101" i="4"/>
  <c r="E77" i="4"/>
  <c r="E61" i="4"/>
  <c r="D43" i="4"/>
  <c r="E43" i="4" s="1"/>
  <c r="E117" i="4"/>
  <c r="E28" i="4"/>
  <c r="E111" i="4"/>
  <c r="E95" i="4"/>
  <c r="E79" i="4"/>
  <c r="E71" i="4"/>
  <c r="E55" i="4"/>
  <c r="E109" i="4"/>
  <c r="E85" i="4"/>
  <c r="E69" i="4"/>
  <c r="E35" i="4"/>
  <c r="E119" i="4"/>
  <c r="E103" i="4"/>
  <c r="E87" i="4"/>
  <c r="E63" i="4"/>
  <c r="D123" i="4"/>
  <c r="E123" i="4" s="1"/>
  <c r="E63" i="2"/>
  <c r="D58" i="2"/>
  <c r="E58" i="2" s="1"/>
  <c r="E55" i="2"/>
  <c r="D50" i="2"/>
  <c r="E50" i="2" s="1"/>
  <c r="E47" i="2"/>
  <c r="D42" i="2"/>
  <c r="E42" i="2" s="1"/>
  <c r="E39" i="2"/>
  <c r="D34" i="2"/>
  <c r="E34" i="2" s="1"/>
  <c r="E32" i="2"/>
  <c r="D23" i="2"/>
  <c r="E23" i="2" s="1"/>
  <c r="E20" i="2"/>
  <c r="D17" i="2"/>
  <c r="E17" i="2" s="1"/>
  <c r="E14" i="2"/>
  <c r="D10" i="2"/>
  <c r="E10" i="2" s="1"/>
  <c r="E62" i="2"/>
  <c r="E54" i="2"/>
  <c r="E46" i="2"/>
  <c r="E38" i="2"/>
  <c r="E26" i="2"/>
  <c r="E59" i="2"/>
  <c r="E51" i="2"/>
  <c r="E43" i="2"/>
  <c r="E35" i="2"/>
  <c r="E33" i="2"/>
  <c r="E30" i="2"/>
  <c r="E11" i="2"/>
  <c r="E8" i="2"/>
  <c r="E18" i="3"/>
  <c r="E12" i="3"/>
  <c r="E15" i="3"/>
  <c r="E9" i="3"/>
  <c r="D24" i="3"/>
  <c r="E24" i="3" s="1"/>
  <c r="D34" i="3"/>
  <c r="E34" i="3" s="1"/>
  <c r="E40" i="3"/>
  <c r="E32" i="3"/>
  <c r="E22" i="3"/>
  <c r="E14" i="3"/>
  <c r="E8" i="3"/>
  <c r="E37" i="3"/>
  <c r="E29" i="3"/>
  <c r="E19" i="3"/>
  <c r="E27" i="3"/>
  <c r="D7" i="3"/>
  <c r="E7" i="3" s="1"/>
  <c r="E7" i="2"/>
  <c r="E65" i="4"/>
  <c r="E57" i="4"/>
  <c r="E39" i="4"/>
  <c r="E31" i="4"/>
  <c r="E24" i="4"/>
  <c r="E20" i="4"/>
  <c r="E14" i="4"/>
  <c r="E8" i="4"/>
  <c r="E118" i="4"/>
  <c r="E110" i="4"/>
  <c r="E102" i="4"/>
  <c r="E94" i="4"/>
  <c r="E86" i="4"/>
  <c r="E78" i="4"/>
  <c r="E70" i="4"/>
  <c r="E62" i="4"/>
  <c r="E54" i="4"/>
  <c r="E36" i="4"/>
  <c r="E29" i="4"/>
  <c r="E22" i="4"/>
  <c r="E9" i="4"/>
  <c r="E112" i="4"/>
  <c r="E104" i="4"/>
  <c r="E96" i="4"/>
  <c r="E88" i="4"/>
  <c r="E80" i="4"/>
  <c r="E72" i="4"/>
  <c r="E64" i="4"/>
  <c r="E56" i="4"/>
  <c r="E38" i="4"/>
  <c r="E53" i="4"/>
  <c r="E23" i="4"/>
  <c r="E19" i="4"/>
  <c r="E45" i="4"/>
  <c r="E7" i="4"/>
  <c r="E120" i="4"/>
  <c r="E17" i="4"/>
  <c r="E11" i="4"/>
  <c r="M222" i="1"/>
  <c r="M154" i="1"/>
  <c r="M155" i="1"/>
  <c r="M130" i="1"/>
  <c r="M192" i="1"/>
  <c r="M179" i="1"/>
  <c r="M150" i="1"/>
  <c r="M136" i="1"/>
  <c r="M127" i="1"/>
  <c r="M166" i="1"/>
  <c r="M126" i="1"/>
  <c r="M143" i="1"/>
  <c r="M109" i="1"/>
  <c r="M101" i="1"/>
  <c r="M93" i="1"/>
  <c r="M85" i="1"/>
  <c r="M220" i="1"/>
  <c r="M140" i="1"/>
  <c r="M202" i="1"/>
  <c r="M197" i="1"/>
  <c r="M190" i="1"/>
  <c r="M185" i="1"/>
  <c r="M117" i="1"/>
  <c r="M175" i="1"/>
  <c r="M144" i="1"/>
  <c r="M124" i="1"/>
  <c r="M164" i="1"/>
  <c r="M159" i="1"/>
  <c r="M115" i="1"/>
  <c r="M107" i="1"/>
  <c r="M99" i="1"/>
  <c r="M91" i="1"/>
  <c r="M83" i="1"/>
  <c r="M75" i="1"/>
  <c r="M67" i="1"/>
  <c r="M59" i="1"/>
  <c r="M51" i="1"/>
  <c r="M43" i="1"/>
  <c r="M35" i="1"/>
  <c r="M27" i="1"/>
  <c r="M19" i="1"/>
  <c r="M205" i="1"/>
  <c r="M225" i="1"/>
  <c r="M129" i="1"/>
  <c r="M167" i="1"/>
  <c r="M194" i="1"/>
  <c r="M181" i="1"/>
  <c r="M223" i="1"/>
  <c r="M172" i="1"/>
  <c r="M49" i="1"/>
  <c r="M17" i="1"/>
  <c r="M168" i="1"/>
  <c r="M224" i="1"/>
  <c r="M141" i="1"/>
  <c r="M103" i="1"/>
  <c r="M87" i="1"/>
  <c r="M71" i="1"/>
  <c r="M216" i="1"/>
  <c r="M151" i="1"/>
  <c r="M203" i="1"/>
  <c r="M215" i="1"/>
  <c r="M209" i="1"/>
  <c r="M153" i="1"/>
  <c r="M193" i="1"/>
  <c r="M187" i="1"/>
  <c r="M180" i="1"/>
  <c r="M176" i="1"/>
  <c r="M118" i="1"/>
  <c r="M170" i="1"/>
  <c r="M160" i="1"/>
  <c r="M137" i="1"/>
  <c r="M208" i="1"/>
  <c r="M135" i="1"/>
  <c r="M213" i="1"/>
  <c r="M123" i="1"/>
  <c r="M217" i="1"/>
  <c r="M210" i="1"/>
  <c r="M204" i="1"/>
  <c r="M200" i="1"/>
  <c r="M195" i="1"/>
  <c r="M188" i="1"/>
  <c r="M182" i="1"/>
  <c r="M177" i="1"/>
  <c r="M173" i="1"/>
  <c r="M171" i="1"/>
  <c r="M169" i="1"/>
  <c r="M134" i="1"/>
  <c r="M157" i="1"/>
  <c r="M112" i="1"/>
  <c r="M104" i="1"/>
  <c r="M96" i="1"/>
  <c r="M88" i="1"/>
  <c r="M80" i="1"/>
  <c r="M72" i="1"/>
  <c r="M64" i="1"/>
  <c r="M56" i="1"/>
  <c r="M48" i="1"/>
  <c r="M40" i="1"/>
  <c r="M32" i="1"/>
  <c r="M24" i="1"/>
  <c r="M16" i="1"/>
  <c r="M221" i="1"/>
  <c r="M214" i="1"/>
  <c r="M207" i="1"/>
  <c r="M147" i="1"/>
  <c r="M198" i="1"/>
  <c r="M191" i="1"/>
  <c r="M186" i="1"/>
  <c r="M178" i="1"/>
  <c r="M132" i="1"/>
  <c r="M119" i="1"/>
  <c r="M125" i="1"/>
  <c r="M165" i="1"/>
  <c r="M128" i="1"/>
  <c r="M149" i="1"/>
  <c r="M108" i="1"/>
  <c r="M100" i="1"/>
  <c r="M92" i="1"/>
  <c r="M84" i="1"/>
  <c r="M76" i="1"/>
  <c r="M68" i="1"/>
  <c r="M60" i="1"/>
  <c r="M52" i="1"/>
  <c r="M44" i="1"/>
  <c r="M36" i="1"/>
  <c r="M28" i="1"/>
  <c r="M20" i="1"/>
  <c r="M226" i="1"/>
  <c r="M219" i="1"/>
  <c r="M212" i="1"/>
  <c r="M206" i="1"/>
  <c r="M145" i="1"/>
  <c r="M152" i="1"/>
  <c r="M189" i="1"/>
  <c r="M184" i="1"/>
  <c r="M120" i="1"/>
  <c r="M142" i="1"/>
  <c r="M121" i="1"/>
  <c r="M156" i="1"/>
  <c r="M163" i="1"/>
  <c r="M158" i="1"/>
  <c r="M114" i="1"/>
  <c r="M106" i="1"/>
  <c r="M98" i="1"/>
  <c r="M90" i="1"/>
  <c r="M82" i="1"/>
  <c r="M74" i="1"/>
  <c r="M66" i="1"/>
  <c r="M58" i="1"/>
  <c r="M50" i="1"/>
  <c r="M42" i="1"/>
  <c r="M34" i="1"/>
  <c r="M26" i="1"/>
  <c r="M18" i="1"/>
  <c r="M15" i="1"/>
  <c r="C4" i="3"/>
  <c r="C3" i="3"/>
  <c r="C2" i="3"/>
  <c r="C4" i="2"/>
  <c r="C3" i="2"/>
  <c r="C2" i="2"/>
  <c r="C5" i="4"/>
  <c r="C4" i="4"/>
  <c r="C3" i="4"/>
  <c r="C2" i="4"/>
  <c r="U2" i="3"/>
  <c r="U2" i="2"/>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E3" i="4" l="1"/>
  <c r="D4" i="26"/>
  <c r="C5" i="3"/>
  <c r="C5" i="2"/>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49" i="1"/>
  <c r="B94" i="1"/>
  <c r="B103" i="1"/>
  <c r="B61" i="1"/>
  <c r="B143" i="1"/>
  <c r="B137" i="1"/>
  <c r="B92" i="1"/>
  <c r="B141" i="1"/>
  <c r="B157" i="1"/>
  <c r="B113" i="1"/>
  <c r="B138" i="1"/>
  <c r="B158" i="1"/>
  <c r="B159" i="1"/>
  <c r="B57" i="1"/>
  <c r="B97" i="1"/>
  <c r="B64" i="1"/>
  <c r="B63" i="1"/>
  <c r="B60" i="1"/>
  <c r="B56" i="1"/>
  <c r="B62" i="1"/>
  <c r="B66" i="1"/>
  <c r="B70" i="1"/>
  <c r="B107" i="1"/>
  <c r="B69" i="1"/>
  <c r="B77" i="1"/>
  <c r="B95" i="1"/>
  <c r="B74" i="1"/>
  <c r="B73" i="1"/>
  <c r="B128" i="1"/>
  <c r="B126" i="1"/>
  <c r="B160" i="1"/>
  <c r="B161" i="1"/>
  <c r="B134" i="1"/>
  <c r="B162" i="1"/>
  <c r="B163" i="1"/>
  <c r="B164" i="1"/>
  <c r="B165" i="1"/>
  <c r="B59" i="1"/>
  <c r="B58" i="1"/>
  <c r="B102" i="1"/>
  <c r="B115" i="1"/>
  <c r="B105" i="1"/>
  <c r="B166" i="1"/>
  <c r="B55" i="1"/>
  <c r="B167" i="1"/>
  <c r="B86" i="1"/>
  <c r="B168" i="1"/>
  <c r="B81" i="1"/>
  <c r="B75" i="1"/>
  <c r="B111" i="1"/>
  <c r="B93" i="1"/>
  <c r="B169" i="1"/>
  <c r="B84" i="1"/>
  <c r="B85" i="1"/>
  <c r="B148" i="1"/>
  <c r="B156" i="1"/>
  <c r="B124" i="1"/>
  <c r="B125" i="1"/>
  <c r="B127" i="1"/>
  <c r="B98" i="1"/>
  <c r="B170" i="1"/>
  <c r="B131" i="1"/>
  <c r="B171" i="1"/>
  <c r="B79" i="1"/>
  <c r="B146" i="1"/>
  <c r="B71" i="1"/>
  <c r="B67" i="1"/>
  <c r="B121" i="1"/>
  <c r="B144" i="1"/>
  <c r="B119" i="1"/>
  <c r="B136" i="1"/>
  <c r="B118" i="1"/>
  <c r="B172" i="1"/>
  <c r="B173" i="1"/>
  <c r="B174" i="1"/>
  <c r="B142" i="1"/>
  <c r="B89" i="1"/>
  <c r="B175" i="1"/>
  <c r="B72" i="1"/>
  <c r="B132" i="1"/>
  <c r="B100" i="1"/>
  <c r="B109" i="1"/>
  <c r="B110" i="1"/>
  <c r="B88" i="1"/>
  <c r="B150" i="1"/>
  <c r="B101" i="1"/>
  <c r="B104" i="1"/>
  <c r="B176" i="1"/>
  <c r="B139" i="1"/>
  <c r="B96" i="1"/>
  <c r="B177" i="1"/>
  <c r="B122" i="1"/>
  <c r="B120" i="1"/>
  <c r="B117" i="1"/>
  <c r="B114" i="1"/>
  <c r="B178" i="1"/>
  <c r="B179" i="1"/>
  <c r="B180" i="1"/>
  <c r="B181" i="1"/>
  <c r="B182" i="1"/>
  <c r="B183" i="1"/>
  <c r="B184" i="1"/>
  <c r="B185" i="1"/>
  <c r="B186" i="1"/>
  <c r="B108" i="1"/>
  <c r="B135" i="1"/>
  <c r="B187" i="1"/>
  <c r="B116" i="1"/>
  <c r="B188" i="1"/>
  <c r="B133" i="1"/>
  <c r="B189" i="1"/>
  <c r="B190" i="1"/>
  <c r="B112" i="1"/>
  <c r="B191" i="1"/>
  <c r="B192" i="1"/>
  <c r="B193" i="1"/>
  <c r="B194" i="1"/>
  <c r="B195" i="1"/>
  <c r="B196" i="1"/>
  <c r="B152" i="1"/>
  <c r="B197" i="1"/>
  <c r="B198" i="1"/>
  <c r="B130" i="1"/>
  <c r="B129" i="1"/>
  <c r="B199" i="1"/>
  <c r="B200" i="1"/>
  <c r="B201" i="1"/>
  <c r="B145" i="1"/>
  <c r="B202" i="1"/>
  <c r="B99" i="1"/>
  <c r="B147" i="1"/>
  <c r="B90" i="1"/>
  <c r="B155" i="1"/>
  <c r="B153" i="1"/>
  <c r="B203" i="1"/>
  <c r="B204" i="1"/>
  <c r="B205" i="1"/>
  <c r="B206" i="1"/>
  <c r="B80" i="1"/>
  <c r="B83" i="1"/>
  <c r="B140" i="1"/>
  <c r="B78" i="1"/>
  <c r="B207" i="1"/>
  <c r="B65" i="1"/>
  <c r="B208" i="1"/>
  <c r="B209" i="1"/>
  <c r="B76" i="1"/>
  <c r="B91" i="1"/>
  <c r="B151" i="1"/>
  <c r="B210" i="1"/>
  <c r="B87" i="1"/>
  <c r="B211" i="1"/>
  <c r="B212" i="1"/>
  <c r="B213" i="1"/>
  <c r="B214" i="1"/>
  <c r="B154" i="1"/>
  <c r="B215" i="1"/>
  <c r="B216" i="1"/>
  <c r="B82" i="1"/>
  <c r="B217" i="1"/>
  <c r="B218" i="1"/>
  <c r="B219" i="1"/>
  <c r="B220" i="1"/>
  <c r="B68" i="1"/>
  <c r="B221" i="1"/>
  <c r="B222" i="1"/>
  <c r="B223" i="1"/>
  <c r="B224" i="1"/>
  <c r="B123" i="1"/>
  <c r="B38" i="1"/>
  <c r="B225" i="1"/>
  <c r="P225" i="1" s="1"/>
  <c r="B226" i="1"/>
  <c r="H226" i="1" s="1"/>
  <c r="B15" i="1"/>
  <c r="Z226" i="1"/>
  <c r="S226" i="1" a="1"/>
  <c r="S226" i="1" s="1"/>
  <c r="K226" i="1"/>
  <c r="L226" i="1" s="1" a="1"/>
  <c r="L226" i="1" s="1"/>
  <c r="J226" i="1" a="1"/>
  <c r="J226" i="1" s="1"/>
  <c r="F226" i="1"/>
  <c r="Z225" i="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AL4" i="16"/>
  <c r="AM19" i="12"/>
  <c r="AM20" i="12"/>
  <c r="AM21" i="12"/>
  <c r="AM22" i="12"/>
  <c r="AM23" i="12"/>
  <c r="AM24" i="12"/>
  <c r="AM25" i="12"/>
  <c r="AM26" i="12"/>
  <c r="AM27" i="12"/>
  <c r="AM28" i="12"/>
  <c r="AM29" i="12"/>
  <c r="AM30" i="12"/>
  <c r="AM31" i="12"/>
  <c r="AM32" i="12"/>
  <c r="AM33" i="12"/>
  <c r="AM34" i="12"/>
  <c r="AM35" i="12"/>
  <c r="E2" i="3" l="1"/>
  <c r="E2" i="2"/>
  <c r="X212" i="10"/>
  <c r="D226" i="1"/>
  <c r="E226" i="1" s="1"/>
  <c r="P226" i="1"/>
  <c r="C226" i="1"/>
  <c r="H225" i="1"/>
  <c r="C225" i="1"/>
  <c r="D225" i="1"/>
  <c r="E225" i="1" s="1"/>
  <c r="E2" i="4"/>
  <c r="AM16" i="12"/>
  <c r="AM17" i="12"/>
  <c r="AM18" i="12"/>
  <c r="AM8" i="12"/>
  <c r="AM9" i="12"/>
  <c r="AM10" i="12"/>
  <c r="AM11" i="12"/>
  <c r="AM12" i="12"/>
  <c r="AM13" i="12"/>
  <c r="AM14" i="12"/>
  <c r="AM15" i="12"/>
  <c r="AM4" i="12"/>
  <c r="AM5" i="12"/>
  <c r="AM6" i="12"/>
  <c r="AM7" i="12"/>
  <c r="D2" i="2" l="1"/>
  <c r="D2" i="3"/>
  <c r="E3" i="3"/>
  <c r="G3" i="3" s="1"/>
  <c r="F2" i="3"/>
  <c r="G2" i="3"/>
  <c r="E3" i="2"/>
  <c r="G3" i="2" s="1"/>
  <c r="F2" i="2"/>
  <c r="G2" i="2"/>
  <c r="D2" i="4"/>
  <c r="AM2" i="12"/>
  <c r="AM3" i="12"/>
  <c r="E4" i="3" l="1"/>
  <c r="G4" i="3" s="1"/>
  <c r="E4" i="2"/>
  <c r="G4" i="2" s="1"/>
  <c r="E4" i="4"/>
  <c r="D191" i="25"/>
  <c r="D190" i="25"/>
  <c r="D282" i="25"/>
  <c r="D281" i="25"/>
  <c r="D280" i="25"/>
  <c r="D279" i="25"/>
  <c r="D278" i="25"/>
  <c r="D277" i="25"/>
  <c r="D276" i="25"/>
  <c r="D275" i="25"/>
  <c r="D274" i="25"/>
  <c r="D273" i="25"/>
  <c r="D272" i="25"/>
  <c r="D271" i="25"/>
  <c r="D270" i="25"/>
  <c r="D269" i="25"/>
  <c r="D264" i="25"/>
  <c r="D263" i="25"/>
  <c r="D262" i="25"/>
  <c r="D261" i="25"/>
  <c r="D260" i="25"/>
  <c r="D259" i="25"/>
  <c r="D258" i="25"/>
  <c r="D257" i="25"/>
  <c r="D256" i="25"/>
  <c r="D255" i="25"/>
  <c r="D254" i="25"/>
  <c r="D253" i="25"/>
  <c r="D252" i="25"/>
  <c r="D251" i="25"/>
  <c r="D250" i="25"/>
  <c r="D249" i="25"/>
  <c r="D248" i="25"/>
  <c r="D247" i="25"/>
  <c r="D246" i="25"/>
  <c r="D245" i="25"/>
  <c r="D244" i="25"/>
  <c r="D243" i="25"/>
  <c r="D242" i="25"/>
  <c r="D241" i="25"/>
  <c r="D240" i="25"/>
  <c r="D229" i="25"/>
  <c r="D228" i="25"/>
  <c r="D227" i="25"/>
  <c r="D226" i="25"/>
  <c r="D225" i="25"/>
  <c r="D224" i="25"/>
  <c r="D223" i="25"/>
  <c r="D222" i="25"/>
  <c r="D221" i="25"/>
  <c r="D220" i="25"/>
  <c r="D219" i="25"/>
  <c r="D218" i="25"/>
  <c r="D217" i="25"/>
  <c r="D216" i="25"/>
  <c r="D215" i="25"/>
  <c r="D214" i="25"/>
  <c r="D210" i="25"/>
  <c r="D209" i="25"/>
  <c r="D204" i="25"/>
  <c r="D203" i="25"/>
  <c r="D202" i="25"/>
  <c r="D201" i="25"/>
  <c r="D200" i="25"/>
  <c r="D199" i="25"/>
  <c r="D198" i="25"/>
  <c r="D197" i="25"/>
  <c r="D196" i="25"/>
  <c r="D195" i="25"/>
  <c r="D194" i="25"/>
  <c r="D189" i="25"/>
  <c r="D188" i="25"/>
  <c r="D187" i="25"/>
  <c r="D186" i="25"/>
  <c r="D185" i="25"/>
  <c r="D184" i="25"/>
  <c r="D183" i="25"/>
  <c r="D182" i="25"/>
  <c r="D181" i="25"/>
  <c r="D180" i="25"/>
  <c r="D179" i="25"/>
  <c r="D178" i="25"/>
  <c r="D177" i="25"/>
  <c r="D176" i="25"/>
  <c r="D175" i="25"/>
  <c r="D174" i="25"/>
  <c r="D173" i="25"/>
  <c r="D172" i="25"/>
  <c r="D171" i="25"/>
  <c r="D170" i="25"/>
  <c r="D169" i="25"/>
  <c r="D168" i="25"/>
  <c r="D167" i="25"/>
  <c r="D166" i="25"/>
  <c r="D165" i="25"/>
  <c r="D164" i="25"/>
  <c r="D163" i="25"/>
  <c r="D144" i="25"/>
  <c r="D143" i="25"/>
  <c r="D268" i="25"/>
  <c r="D267" i="25"/>
  <c r="D266" i="25"/>
  <c r="D265" i="25"/>
  <c r="D239" i="25"/>
  <c r="D238" i="25"/>
  <c r="D162" i="25"/>
  <c r="D161" i="25"/>
  <c r="D160" i="25"/>
  <c r="D127" i="25"/>
  <c r="D126" i="25"/>
  <c r="D237" i="25"/>
  <c r="D236" i="25"/>
  <c r="D235" i="25"/>
  <c r="D234" i="25"/>
  <c r="D233" i="25"/>
  <c r="D213" i="25"/>
  <c r="D10" i="25"/>
  <c r="D9" i="25"/>
  <c r="D208" i="25"/>
  <c r="D207" i="25"/>
  <c r="D125" i="25"/>
  <c r="D124" i="25"/>
  <c r="D123" i="25"/>
  <c r="D122" i="25"/>
  <c r="D121" i="25"/>
  <c r="D120" i="25"/>
  <c r="D119" i="25"/>
  <c r="D118" i="25"/>
  <c r="D117" i="25"/>
  <c r="D116" i="25"/>
  <c r="D206" i="25"/>
  <c r="D205" i="25"/>
  <c r="D12" i="25"/>
  <c r="D11" i="25"/>
  <c r="D159" i="25"/>
  <c r="D158" i="25"/>
  <c r="D157" i="25"/>
  <c r="D156" i="25"/>
  <c r="D155" i="25"/>
  <c r="D154" i="25"/>
  <c r="D153" i="25"/>
  <c r="D152" i="25"/>
  <c r="D151" i="25"/>
  <c r="D150" i="25"/>
  <c r="D149" i="25"/>
  <c r="D148" i="25"/>
  <c r="D147" i="25"/>
  <c r="D142" i="25"/>
  <c r="D115" i="25"/>
  <c r="D114" i="25"/>
  <c r="D113" i="25"/>
  <c r="D112" i="25"/>
  <c r="D111" i="25"/>
  <c r="D110" i="25"/>
  <c r="D141" i="25"/>
  <c r="D140" i="25"/>
  <c r="D109" i="25"/>
  <c r="D108" i="25"/>
  <c r="D107" i="25"/>
  <c r="D106" i="25"/>
  <c r="D139" i="25"/>
  <c r="D138" i="25"/>
  <c r="D137" i="25"/>
  <c r="D136" i="25"/>
  <c r="D135" i="25"/>
  <c r="D134" i="25"/>
  <c r="D133" i="25"/>
  <c r="D132" i="25"/>
  <c r="D131" i="25"/>
  <c r="D130" i="25"/>
  <c r="D105" i="25"/>
  <c r="D104" i="25"/>
  <c r="D103" i="25"/>
  <c r="D102" i="25"/>
  <c r="D101" i="25"/>
  <c r="D100" i="25"/>
  <c r="D99" i="25"/>
  <c r="D98" i="25"/>
  <c r="D97" i="25"/>
  <c r="D96" i="25"/>
  <c r="D95" i="25"/>
  <c r="D94" i="25"/>
  <c r="D93" i="25"/>
  <c r="D92" i="25"/>
  <c r="D91" i="25"/>
  <c r="D90" i="25"/>
  <c r="D89" i="25"/>
  <c r="D88" i="25"/>
  <c r="D87" i="25"/>
  <c r="D86" i="25"/>
  <c r="D85" i="25"/>
  <c r="D84" i="25"/>
  <c r="D83" i="25"/>
  <c r="D82" i="25"/>
  <c r="D81" i="25"/>
  <c r="D80" i="25"/>
  <c r="D79" i="25"/>
  <c r="D78" i="25"/>
  <c r="D77" i="25"/>
  <c r="D76" i="25"/>
  <c r="D75" i="25"/>
  <c r="D74" i="25"/>
  <c r="D73" i="25"/>
  <c r="D72" i="25"/>
  <c r="D71" i="25"/>
  <c r="D70" i="25"/>
  <c r="D69" i="25"/>
  <c r="D68" i="25"/>
  <c r="D67" i="25"/>
  <c r="D66" i="25"/>
  <c r="D65" i="25"/>
  <c r="D64" i="25"/>
  <c r="D63" i="25"/>
  <c r="D62" i="25"/>
  <c r="D61" i="25"/>
  <c r="D60" i="25"/>
  <c r="D59" i="25"/>
  <c r="D58" i="25"/>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8" i="25"/>
  <c r="D7" i="25"/>
  <c r="D6" i="25"/>
  <c r="D5" i="25"/>
  <c r="D4" i="25"/>
  <c r="D3" i="25"/>
  <c r="D2" i="25"/>
  <c r="D129" i="25"/>
  <c r="D232" i="25"/>
  <c r="D212" i="25"/>
  <c r="D211" i="25"/>
  <c r="D146" i="25"/>
  <c r="D145" i="25"/>
  <c r="D193" i="25"/>
  <c r="D192" i="25"/>
  <c r="D231" i="25"/>
  <c r="D230" i="25"/>
  <c r="D14" i="25"/>
  <c r="D13" i="25"/>
  <c r="D128" i="25"/>
  <c r="E5" i="3" l="1"/>
  <c r="G5" i="3" s="1"/>
  <c r="E5" i="2"/>
  <c r="G5" i="2" s="1"/>
  <c r="Z15" i="1"/>
  <c r="Z25" i="1"/>
  <c r="Z27" i="1" l="1"/>
  <c r="Z214" i="1"/>
  <c r="Z53" i="1"/>
  <c r="Z159" i="1"/>
  <c r="Z94" i="1"/>
  <c r="Z97" i="1"/>
  <c r="Z64" i="1"/>
  <c r="Z69" i="1"/>
  <c r="Z128" i="1"/>
  <c r="Z165" i="1"/>
  <c r="Z58" i="1"/>
  <c r="Z167" i="1"/>
  <c r="Z84" i="1"/>
  <c r="Z98" i="1"/>
  <c r="Z121" i="1"/>
  <c r="Z142" i="1"/>
  <c r="Z100" i="1"/>
  <c r="Z176" i="1"/>
  <c r="Z114" i="1"/>
  <c r="Z184" i="1"/>
  <c r="Z116" i="1"/>
  <c r="Z193" i="1"/>
  <c r="Z198" i="1"/>
  <c r="Z202" i="1"/>
  <c r="Z205" i="1"/>
  <c r="Z65" i="1"/>
  <c r="Z211" i="1"/>
  <c r="Z82" i="1"/>
  <c r="Z149" i="1"/>
  <c r="Z221" i="1"/>
  <c r="Z123" i="1"/>
  <c r="Z103" i="1"/>
  <c r="Z92" i="1"/>
  <c r="Z157" i="1"/>
  <c r="Z23" i="1"/>
  <c r="Z66" i="1"/>
  <c r="Z74" i="1"/>
  <c r="Z163" i="1"/>
  <c r="Z45" i="1"/>
  <c r="Z55" i="1"/>
  <c r="Z111" i="1"/>
  <c r="Z124" i="1"/>
  <c r="Z146" i="1"/>
  <c r="Z172" i="1"/>
  <c r="Z72" i="1"/>
  <c r="Z101" i="1"/>
  <c r="Z122" i="1"/>
  <c r="Z182" i="1"/>
  <c r="Z135" i="1"/>
  <c r="Z112" i="1"/>
  <c r="Z24" i="1"/>
  <c r="Z201" i="1"/>
  <c r="Z153" i="1"/>
  <c r="Z41" i="1"/>
  <c r="Z151" i="1"/>
  <c r="Z141" i="1"/>
  <c r="Z137" i="1"/>
  <c r="Z32" i="1"/>
  <c r="Z70" i="1"/>
  <c r="Z73" i="1"/>
  <c r="Z162" i="1"/>
  <c r="Z46" i="1"/>
  <c r="Z49" i="1"/>
  <c r="Z93" i="1"/>
  <c r="Z125" i="1"/>
  <c r="Z71" i="1"/>
  <c r="Z173" i="1"/>
  <c r="Z36" i="1"/>
  <c r="Z31" i="1"/>
  <c r="Z120" i="1"/>
  <c r="Z26" i="1"/>
  <c r="Z18" i="1"/>
  <c r="Z191" i="1"/>
  <c r="Z152" i="1"/>
  <c r="Z22" i="1"/>
  <c r="Z203" i="1"/>
  <c r="Z78" i="1"/>
  <c r="Z210" i="1"/>
  <c r="Z68" i="1"/>
  <c r="Z54" i="1"/>
  <c r="Z57" i="1"/>
  <c r="Z29" i="1"/>
  <c r="Z107" i="1"/>
  <c r="Z16" i="1"/>
  <c r="Z164" i="1"/>
  <c r="Z59" i="1"/>
  <c r="Z50" i="1"/>
  <c r="Z169" i="1"/>
  <c r="Z127" i="1"/>
  <c r="Z67" i="1"/>
  <c r="Z174" i="1"/>
  <c r="Z132" i="1"/>
  <c r="Z104" i="1"/>
  <c r="Z117" i="1"/>
  <c r="Z183" i="1"/>
  <c r="Z187" i="1"/>
  <c r="Z192" i="1"/>
  <c r="Z197" i="1"/>
  <c r="Z145" i="1"/>
  <c r="Z204" i="1"/>
  <c r="Z207" i="1"/>
  <c r="Z87" i="1"/>
  <c r="Z216" i="1"/>
  <c r="Z222" i="1"/>
  <c r="Z30" i="1"/>
  <c r="Z34" i="1"/>
  <c r="Z19" i="1"/>
  <c r="Z63" i="1"/>
  <c r="Z77" i="1"/>
  <c r="Z126" i="1"/>
  <c r="Z40" i="1"/>
  <c r="Z102" i="1"/>
  <c r="Z86" i="1"/>
  <c r="Z85" i="1"/>
  <c r="Z144" i="1"/>
  <c r="Z47" i="1"/>
  <c r="Z109" i="1"/>
  <c r="Z28" i="1"/>
  <c r="Z178" i="1"/>
  <c r="Z185" i="1"/>
  <c r="Z188" i="1"/>
  <c r="Z37" i="1"/>
  <c r="Z130" i="1"/>
  <c r="Z99" i="1"/>
  <c r="Z206" i="1"/>
  <c r="Z208" i="1"/>
  <c r="Z212" i="1"/>
  <c r="Z217" i="1"/>
  <c r="Z33" i="1"/>
  <c r="Z51" i="1"/>
  <c r="Z113" i="1"/>
  <c r="Z20" i="1"/>
  <c r="Z56" i="1"/>
  <c r="Z52" i="1"/>
  <c r="Z161" i="1"/>
  <c r="Z43" i="1"/>
  <c r="Z105" i="1"/>
  <c r="Z81" i="1"/>
  <c r="Z17" i="1"/>
  <c r="Z171" i="1"/>
  <c r="Z136" i="1"/>
  <c r="Z89" i="1"/>
  <c r="Z88" i="1"/>
  <c r="Z96" i="1"/>
  <c r="Z180" i="1"/>
  <c r="Z186" i="1"/>
  <c r="Z189" i="1"/>
  <c r="Z195" i="1"/>
  <c r="Z199" i="1"/>
  <c r="Z90" i="1"/>
  <c r="Z83" i="1"/>
  <c r="Z76" i="1"/>
  <c r="Z35" i="1"/>
  <c r="Z219" i="1"/>
  <c r="Z224" i="1"/>
  <c r="Z61" i="1"/>
  <c r="Z106" i="1"/>
  <c r="Z21" i="1"/>
  <c r="Z62" i="1"/>
  <c r="Z95" i="1"/>
  <c r="Z134" i="1"/>
  <c r="Z44" i="1"/>
  <c r="Z166" i="1"/>
  <c r="Z75" i="1"/>
  <c r="Z156" i="1"/>
  <c r="Z79" i="1"/>
  <c r="Z118" i="1"/>
  <c r="Z175" i="1"/>
  <c r="Z150" i="1"/>
  <c r="Z177" i="1"/>
  <c r="Z181" i="1"/>
  <c r="Z108" i="1"/>
  <c r="Z190" i="1"/>
  <c r="Z196" i="1"/>
  <c r="Z200" i="1"/>
  <c r="Z155" i="1"/>
  <c r="Z140" i="1"/>
  <c r="Z91" i="1"/>
  <c r="Z154" i="1"/>
  <c r="Z220" i="1"/>
  <c r="Z39" i="1"/>
  <c r="Z143" i="1"/>
  <c r="Z158" i="1"/>
  <c r="Z215" i="1"/>
  <c r="Z138" i="1"/>
  <c r="Z60" i="1"/>
  <c r="Z160" i="1"/>
  <c r="Z42" i="1"/>
  <c r="Z115" i="1"/>
  <c r="Z168" i="1"/>
  <c r="Z148" i="1"/>
  <c r="Z131" i="1"/>
  <c r="Z119" i="1"/>
  <c r="Z48" i="1"/>
  <c r="Z110" i="1"/>
  <c r="Z139" i="1"/>
  <c r="Z179" i="1"/>
  <c r="Z38" i="1"/>
  <c r="Z133" i="1"/>
  <c r="Z194" i="1"/>
  <c r="Z129" i="1"/>
  <c r="Z147" i="1"/>
  <c r="Z80" i="1"/>
  <c r="Z209" i="1"/>
  <c r="Z213" i="1"/>
  <c r="Z218" i="1"/>
  <c r="Z223" i="1"/>
  <c r="AL3" i="16"/>
  <c r="P39" i="1"/>
  <c r="S39" i="1" a="1"/>
  <c r="S39" i="1" s="1"/>
  <c r="O39" i="1" s="1"/>
  <c r="K39" i="1"/>
  <c r="L39" i="1" s="1" a="1"/>
  <c r="L39" i="1" s="1"/>
  <c r="J39" i="1" a="1"/>
  <c r="J39" i="1" s="1"/>
  <c r="H39" i="1"/>
  <c r="F39" i="1"/>
  <c r="AA14" i="1" l="1"/>
  <c r="Z211" i="10"/>
  <c r="W211" i="10"/>
  <c r="V211" i="10"/>
  <c r="U211" i="10"/>
  <c r="C39" i="1" s="1"/>
  <c r="D39" i="1" l="1"/>
  <c r="E39" i="1" s="1"/>
  <c r="I108" i="4"/>
  <c r="Y211" i="10"/>
  <c r="F108" i="4"/>
  <c r="X211" i="10"/>
  <c r="P123" i="1"/>
  <c r="S123" i="1" a="1"/>
  <c r="S123" i="1" s="1"/>
  <c r="O123" i="1" s="1"/>
  <c r="K123" i="1"/>
  <c r="L123" i="1" s="1" a="1"/>
  <c r="L123" i="1" s="1"/>
  <c r="J123" i="1" a="1"/>
  <c r="J123" i="1" s="1"/>
  <c r="H123" i="1"/>
  <c r="F123" i="1"/>
  <c r="Z210" i="10"/>
  <c r="W210" i="10"/>
  <c r="V210" i="10"/>
  <c r="D123" i="1" s="1"/>
  <c r="E123" i="1" s="1"/>
  <c r="U210" i="10"/>
  <c r="C123" i="1" s="1"/>
  <c r="S149" i="1" a="1"/>
  <c r="S149" i="1" s="1"/>
  <c r="O149" i="1" s="1"/>
  <c r="S94" i="1" a="1"/>
  <c r="S94" i="1" s="1"/>
  <c r="O94" i="1" s="1"/>
  <c r="S103" i="1" a="1"/>
  <c r="S103" i="1" s="1"/>
  <c r="O103" i="1" s="1"/>
  <c r="S33" i="1" a="1"/>
  <c r="S33" i="1" s="1"/>
  <c r="O33" i="1" s="1"/>
  <c r="S34" i="1" a="1"/>
  <c r="S34" i="1" s="1"/>
  <c r="O34" i="1" s="1"/>
  <c r="S27" i="1" a="1"/>
  <c r="S27" i="1" s="1"/>
  <c r="O27" i="1" s="1"/>
  <c r="S61" i="1" a="1"/>
  <c r="S61" i="1" s="1"/>
  <c r="O61" i="1" s="1"/>
  <c r="S143" i="1" a="1"/>
  <c r="S143" i="1" s="1"/>
  <c r="O143" i="1" s="1"/>
  <c r="S137" i="1" a="1"/>
  <c r="S137" i="1" s="1"/>
  <c r="O137" i="1" s="1"/>
  <c r="S92" i="1" a="1"/>
  <c r="S92" i="1" s="1"/>
  <c r="O92" i="1" s="1"/>
  <c r="S141" i="1" a="1"/>
  <c r="S141" i="1" s="1"/>
  <c r="O141" i="1" s="1"/>
  <c r="S157" i="1" a="1"/>
  <c r="S157" i="1" s="1"/>
  <c r="S113" i="1" a="1"/>
  <c r="S113" i="1" s="1"/>
  <c r="O113" i="1" s="1"/>
  <c r="S138" i="1" a="1"/>
  <c r="S138" i="1" s="1"/>
  <c r="O138" i="1" s="1"/>
  <c r="S25" i="1" a="1"/>
  <c r="S25" i="1" s="1"/>
  <c r="O25" i="1" s="1"/>
  <c r="S158" i="1" a="1"/>
  <c r="S158" i="1" s="1"/>
  <c r="S54" i="1" a="1"/>
  <c r="S54" i="1" s="1"/>
  <c r="O54" i="1" s="1"/>
  <c r="S159" i="1" a="1"/>
  <c r="S159" i="1" s="1"/>
  <c r="S57" i="1" a="1"/>
  <c r="S57" i="1" s="1"/>
  <c r="O57" i="1" s="1"/>
  <c r="S97" i="1" a="1"/>
  <c r="S97" i="1" s="1"/>
  <c r="O97" i="1" s="1"/>
  <c r="S19" i="1" a="1"/>
  <c r="S19" i="1" s="1"/>
  <c r="O19" i="1" s="1"/>
  <c r="S15" i="1" a="1"/>
  <c r="S15" i="1" s="1"/>
  <c r="O15" i="1" s="1"/>
  <c r="S20" i="1" a="1"/>
  <c r="S20" i="1" s="1"/>
  <c r="O20" i="1" s="1"/>
  <c r="S21" i="1" a="1"/>
  <c r="S21" i="1" s="1"/>
  <c r="O21" i="1" s="1"/>
  <c r="S23" i="1" a="1"/>
  <c r="S23" i="1" s="1"/>
  <c r="O23" i="1" s="1"/>
  <c r="S32" i="1" a="1"/>
  <c r="S32" i="1" s="1"/>
  <c r="O32" i="1" s="1"/>
  <c r="S29" i="1" a="1"/>
  <c r="S29" i="1" s="1"/>
  <c r="O29" i="1" s="1"/>
  <c r="S64" i="1" a="1"/>
  <c r="S64" i="1" s="1"/>
  <c r="O64" i="1" s="1"/>
  <c r="S63" i="1" a="1"/>
  <c r="S63" i="1" s="1"/>
  <c r="O63" i="1" s="1"/>
  <c r="S60" i="1" a="1"/>
  <c r="S60" i="1" s="1"/>
  <c r="O60" i="1" s="1"/>
  <c r="S56" i="1" a="1"/>
  <c r="S56" i="1" s="1"/>
  <c r="O56" i="1" s="1"/>
  <c r="S62" i="1" a="1"/>
  <c r="S62" i="1" s="1"/>
  <c r="O62" i="1" s="1"/>
  <c r="S66" i="1" a="1"/>
  <c r="S66" i="1" s="1"/>
  <c r="O66" i="1" s="1"/>
  <c r="S70" i="1" a="1"/>
  <c r="S70" i="1" s="1"/>
  <c r="O70" i="1" s="1"/>
  <c r="S107" i="1" a="1"/>
  <c r="S107" i="1" s="1"/>
  <c r="O107" i="1" s="1"/>
  <c r="S69" i="1" a="1"/>
  <c r="S69" i="1" s="1"/>
  <c r="O69" i="1" s="1"/>
  <c r="S77" i="1" a="1"/>
  <c r="S77" i="1" s="1"/>
  <c r="O77" i="1" s="1"/>
  <c r="S51" i="1" a="1"/>
  <c r="S51" i="1" s="1"/>
  <c r="O51" i="1" s="1"/>
  <c r="S52" i="1" a="1"/>
  <c r="S52" i="1" s="1"/>
  <c r="O52" i="1" s="1"/>
  <c r="S95" i="1" a="1"/>
  <c r="S95" i="1" s="1"/>
  <c r="O95" i="1" s="1"/>
  <c r="S74" i="1" a="1"/>
  <c r="S74" i="1" s="1"/>
  <c r="O74" i="1" s="1"/>
  <c r="S73" i="1" a="1"/>
  <c r="S73" i="1" s="1"/>
  <c r="O73" i="1" s="1"/>
  <c r="S16" i="1" a="1"/>
  <c r="S16" i="1" s="1"/>
  <c r="O16" i="1" s="1"/>
  <c r="S128" i="1" a="1"/>
  <c r="S128" i="1" s="1"/>
  <c r="O128" i="1" s="1"/>
  <c r="S126" i="1" a="1"/>
  <c r="S126" i="1" s="1"/>
  <c r="O126" i="1" s="1"/>
  <c r="S160" i="1" a="1"/>
  <c r="S160" i="1" s="1"/>
  <c r="S161" i="1" a="1"/>
  <c r="S161" i="1" s="1"/>
  <c r="S134" i="1" a="1"/>
  <c r="S134" i="1" s="1"/>
  <c r="O134" i="1" s="1"/>
  <c r="S162" i="1" a="1"/>
  <c r="S162" i="1" s="1"/>
  <c r="S163" i="1" a="1"/>
  <c r="S163" i="1" s="1"/>
  <c r="S164" i="1" a="1"/>
  <c r="S164" i="1" s="1"/>
  <c r="S165" i="1" a="1"/>
  <c r="S165" i="1" s="1"/>
  <c r="S40" i="1" a="1"/>
  <c r="S40" i="1" s="1"/>
  <c r="O40" i="1" s="1"/>
  <c r="S42" i="1" a="1"/>
  <c r="S42" i="1" s="1"/>
  <c r="O42" i="1" s="1"/>
  <c r="S43" i="1" a="1"/>
  <c r="S43" i="1" s="1"/>
  <c r="O43" i="1" s="1"/>
  <c r="S44" i="1" a="1"/>
  <c r="S44" i="1" s="1"/>
  <c r="O44" i="1" s="1"/>
  <c r="S45" i="1" a="1"/>
  <c r="S45" i="1" s="1"/>
  <c r="O45" i="1" s="1"/>
  <c r="S46" i="1" a="1"/>
  <c r="S46" i="1" s="1"/>
  <c r="O46" i="1" s="1"/>
  <c r="S59" i="1" a="1"/>
  <c r="S59" i="1" s="1"/>
  <c r="O59" i="1" s="1"/>
  <c r="S58" i="1" a="1"/>
  <c r="S58" i="1" s="1"/>
  <c r="O58" i="1" s="1"/>
  <c r="S102" i="1" a="1"/>
  <c r="S102" i="1" s="1"/>
  <c r="O102" i="1" s="1"/>
  <c r="S115" i="1" a="1"/>
  <c r="S115" i="1" s="1"/>
  <c r="O115" i="1" s="1"/>
  <c r="S105" i="1" a="1"/>
  <c r="S105" i="1" s="1"/>
  <c r="O105" i="1" s="1"/>
  <c r="S166" i="1" a="1"/>
  <c r="S166" i="1" s="1"/>
  <c r="S55" i="1" a="1"/>
  <c r="S55" i="1" s="1"/>
  <c r="O55" i="1" s="1"/>
  <c r="S49" i="1" a="1"/>
  <c r="S49" i="1" s="1"/>
  <c r="O49" i="1" s="1"/>
  <c r="S50" i="1" a="1"/>
  <c r="S50" i="1" s="1"/>
  <c r="O50" i="1" s="1"/>
  <c r="S167" i="1" a="1"/>
  <c r="S167" i="1" s="1"/>
  <c r="S86" i="1" a="1"/>
  <c r="S86" i="1" s="1"/>
  <c r="O86" i="1" s="1"/>
  <c r="S168" i="1" a="1"/>
  <c r="S168" i="1" s="1"/>
  <c r="S81" i="1" a="1"/>
  <c r="S81" i="1" s="1"/>
  <c r="O81" i="1" s="1"/>
  <c r="S75" i="1" a="1"/>
  <c r="S75" i="1" s="1"/>
  <c r="O75" i="1" s="1"/>
  <c r="S111" i="1" a="1"/>
  <c r="S111" i="1" s="1"/>
  <c r="O111" i="1" s="1"/>
  <c r="S93" i="1" a="1"/>
  <c r="S93" i="1" s="1"/>
  <c r="O93" i="1" s="1"/>
  <c r="S169" i="1" a="1"/>
  <c r="S169" i="1" s="1"/>
  <c r="S84" i="1" a="1"/>
  <c r="S84" i="1" s="1"/>
  <c r="O84" i="1" s="1"/>
  <c r="S85" i="1" a="1"/>
  <c r="S85" i="1" s="1"/>
  <c r="O85" i="1" s="1"/>
  <c r="S148" i="1" a="1"/>
  <c r="S148" i="1" s="1"/>
  <c r="O148" i="1" s="1"/>
  <c r="S17" i="1" a="1"/>
  <c r="S17" i="1" s="1"/>
  <c r="O17" i="1" s="1"/>
  <c r="S156" i="1" a="1"/>
  <c r="S156" i="1" s="1"/>
  <c r="O156" i="1" s="1"/>
  <c r="S124" i="1" a="1"/>
  <c r="S124" i="1" s="1"/>
  <c r="O124" i="1" s="1"/>
  <c r="S125" i="1" a="1"/>
  <c r="S125" i="1" s="1"/>
  <c r="O125" i="1" s="1"/>
  <c r="S127" i="1" a="1"/>
  <c r="S127" i="1" s="1"/>
  <c r="O127" i="1" s="1"/>
  <c r="S98" i="1" a="1"/>
  <c r="S98" i="1" s="1"/>
  <c r="O98" i="1" s="1"/>
  <c r="S170" i="1" a="1"/>
  <c r="S170" i="1" s="1"/>
  <c r="S131" i="1" a="1"/>
  <c r="S131" i="1" s="1"/>
  <c r="O131" i="1" s="1"/>
  <c r="S171" i="1" a="1"/>
  <c r="S171" i="1" s="1"/>
  <c r="S79" i="1" a="1"/>
  <c r="S79" i="1" s="1"/>
  <c r="O79" i="1" s="1"/>
  <c r="S146" i="1" a="1"/>
  <c r="S146" i="1" s="1"/>
  <c r="O146" i="1" s="1"/>
  <c r="S71" i="1" a="1"/>
  <c r="S71" i="1" s="1"/>
  <c r="O71" i="1" s="1"/>
  <c r="S67" i="1" a="1"/>
  <c r="S67" i="1" s="1"/>
  <c r="O67" i="1" s="1"/>
  <c r="S121" i="1" a="1"/>
  <c r="S121" i="1" s="1"/>
  <c r="O121" i="1" s="1"/>
  <c r="S144" i="1" a="1"/>
  <c r="S144" i="1" s="1"/>
  <c r="O144" i="1" s="1"/>
  <c r="S119" i="1" a="1"/>
  <c r="S119" i="1" s="1"/>
  <c r="O119" i="1" s="1"/>
  <c r="S136" i="1" a="1"/>
  <c r="S136" i="1" s="1"/>
  <c r="O136" i="1" s="1"/>
  <c r="S118" i="1" a="1"/>
  <c r="S118" i="1" s="1"/>
  <c r="O118" i="1" s="1"/>
  <c r="S172" i="1" a="1"/>
  <c r="S172" i="1" s="1"/>
  <c r="S173" i="1" a="1"/>
  <c r="S173" i="1" s="1"/>
  <c r="S174" i="1" a="1"/>
  <c r="S174" i="1" s="1"/>
  <c r="S142" i="1" a="1"/>
  <c r="S142" i="1" s="1"/>
  <c r="O142" i="1" s="1"/>
  <c r="S47" i="1" a="1"/>
  <c r="S47" i="1" s="1"/>
  <c r="O47" i="1" s="1"/>
  <c r="S48" i="1" a="1"/>
  <c r="S48" i="1" s="1"/>
  <c r="O48" i="1" s="1"/>
  <c r="S89" i="1" a="1"/>
  <c r="S89" i="1" s="1"/>
  <c r="O89" i="1" s="1"/>
  <c r="S175" i="1" a="1"/>
  <c r="S175" i="1" s="1"/>
  <c r="S72" i="1" a="1"/>
  <c r="S72" i="1" s="1"/>
  <c r="O72" i="1" s="1"/>
  <c r="S36" i="1" a="1"/>
  <c r="S36" i="1" s="1"/>
  <c r="O36" i="1" s="1"/>
  <c r="S132" i="1" a="1"/>
  <c r="S132" i="1" s="1"/>
  <c r="O132" i="1" s="1"/>
  <c r="S100" i="1" a="1"/>
  <c r="S100" i="1" s="1"/>
  <c r="O100" i="1" s="1"/>
  <c r="S109" i="1" a="1"/>
  <c r="S109" i="1" s="1"/>
  <c r="O109" i="1" s="1"/>
  <c r="S110" i="1" a="1"/>
  <c r="S110" i="1" s="1"/>
  <c r="O110" i="1" s="1"/>
  <c r="S88" i="1" a="1"/>
  <c r="S88" i="1" s="1"/>
  <c r="O88" i="1" s="1"/>
  <c r="S150" i="1" a="1"/>
  <c r="S150" i="1" s="1"/>
  <c r="O150" i="1" s="1"/>
  <c r="S101" i="1" a="1"/>
  <c r="S101" i="1" s="1"/>
  <c r="O101" i="1" s="1"/>
  <c r="S31" i="1" a="1"/>
  <c r="S31" i="1" s="1"/>
  <c r="O31" i="1" s="1"/>
  <c r="S104" i="1" a="1"/>
  <c r="S104" i="1" s="1"/>
  <c r="O104" i="1" s="1"/>
  <c r="S176" i="1" a="1"/>
  <c r="S176" i="1" s="1"/>
  <c r="S28" i="1" a="1"/>
  <c r="S28" i="1" s="1"/>
  <c r="O28" i="1" s="1"/>
  <c r="S139" i="1" a="1"/>
  <c r="S139" i="1" s="1"/>
  <c r="O139" i="1" s="1"/>
  <c r="S96" i="1" a="1"/>
  <c r="S96" i="1" s="1"/>
  <c r="O96" i="1" s="1"/>
  <c r="S177" i="1" a="1"/>
  <c r="S177" i="1" s="1"/>
  <c r="S122" i="1" a="1"/>
  <c r="S122" i="1" s="1"/>
  <c r="O122" i="1" s="1"/>
  <c r="S120" i="1" a="1"/>
  <c r="S120" i="1" s="1"/>
  <c r="O120" i="1" s="1"/>
  <c r="S117" i="1" a="1"/>
  <c r="S117" i="1" s="1"/>
  <c r="O117" i="1" s="1"/>
  <c r="S114" i="1" a="1"/>
  <c r="S114" i="1" s="1"/>
  <c r="O114" i="1" s="1"/>
  <c r="S178" i="1" a="1"/>
  <c r="S178" i="1" s="1"/>
  <c r="S179" i="1" a="1"/>
  <c r="S179" i="1" s="1"/>
  <c r="S180" i="1" a="1"/>
  <c r="S180" i="1" s="1"/>
  <c r="S181" i="1" a="1"/>
  <c r="S181" i="1" s="1"/>
  <c r="S182" i="1" a="1"/>
  <c r="S182" i="1" s="1"/>
  <c r="S26" i="1" a="1"/>
  <c r="S26" i="1" s="1"/>
  <c r="O26" i="1" s="1"/>
  <c r="S183" i="1" a="1"/>
  <c r="S183" i="1" s="1"/>
  <c r="S184" i="1" a="1"/>
  <c r="S184" i="1" s="1"/>
  <c r="S185" i="1" a="1"/>
  <c r="S185" i="1" s="1"/>
  <c r="S38" i="1" a="1"/>
  <c r="S38" i="1" s="1"/>
  <c r="O38" i="1" s="1"/>
  <c r="S186" i="1" a="1"/>
  <c r="S186" i="1" s="1"/>
  <c r="S108" i="1" a="1"/>
  <c r="S108" i="1" s="1"/>
  <c r="O108" i="1" s="1"/>
  <c r="S135" i="1" a="1"/>
  <c r="S135" i="1" s="1"/>
  <c r="O135" i="1" s="1"/>
  <c r="S18" i="1" a="1"/>
  <c r="S18" i="1" s="1"/>
  <c r="O18" i="1" s="1"/>
  <c r="S187" i="1" a="1"/>
  <c r="S187" i="1" s="1"/>
  <c r="S116" i="1" a="1"/>
  <c r="S116" i="1" s="1"/>
  <c r="O116" i="1" s="1"/>
  <c r="S188" i="1" a="1"/>
  <c r="S188" i="1" s="1"/>
  <c r="S133" i="1" a="1"/>
  <c r="S133" i="1" s="1"/>
  <c r="O133" i="1" s="1"/>
  <c r="S189" i="1" a="1"/>
  <c r="S189" i="1" s="1"/>
  <c r="S190" i="1" a="1"/>
  <c r="S190" i="1" s="1"/>
  <c r="S112" i="1" a="1"/>
  <c r="S112" i="1" s="1"/>
  <c r="O112" i="1" s="1"/>
  <c r="S191" i="1" a="1"/>
  <c r="S191" i="1" s="1"/>
  <c r="S192" i="1" a="1"/>
  <c r="S192" i="1" s="1"/>
  <c r="S193" i="1" a="1"/>
  <c r="S193" i="1" s="1"/>
  <c r="S37" i="1" a="1"/>
  <c r="S37" i="1" s="1"/>
  <c r="O37" i="1" s="1"/>
  <c r="S194" i="1" a="1"/>
  <c r="S194" i="1" s="1"/>
  <c r="S195" i="1" a="1"/>
  <c r="S195" i="1" s="1"/>
  <c r="S196" i="1" a="1"/>
  <c r="S196" i="1" s="1"/>
  <c r="S24" i="1" a="1"/>
  <c r="S24" i="1" s="1"/>
  <c r="O24" i="1" s="1"/>
  <c r="S152" i="1" a="1"/>
  <c r="S152" i="1" s="1"/>
  <c r="O152" i="1" s="1"/>
  <c r="S129" i="1" a="1"/>
  <c r="S129" i="1" s="1"/>
  <c r="O129" i="1" s="1"/>
  <c r="S206" i="1" a="1"/>
  <c r="S206" i="1" s="1"/>
  <c r="S153" i="1" a="1"/>
  <c r="S153" i="1" s="1"/>
  <c r="O153" i="1" s="1"/>
  <c r="S205" i="1" a="1"/>
  <c r="S205" i="1" s="1"/>
  <c r="S155" i="1" a="1"/>
  <c r="S155" i="1" s="1"/>
  <c r="O155" i="1" s="1"/>
  <c r="S130" i="1" a="1"/>
  <c r="S130" i="1" s="1"/>
  <c r="O130" i="1" s="1"/>
  <c r="S198" i="1" a="1"/>
  <c r="S198" i="1" s="1"/>
  <c r="S90" i="1" a="1"/>
  <c r="S90" i="1" s="1"/>
  <c r="O90" i="1" s="1"/>
  <c r="S203" i="1" a="1"/>
  <c r="S203" i="1" s="1"/>
  <c r="S204" i="1" a="1"/>
  <c r="S204" i="1" s="1"/>
  <c r="S83" i="1" a="1"/>
  <c r="S83" i="1" s="1"/>
  <c r="O83" i="1" s="1"/>
  <c r="S215" i="1" a="1"/>
  <c r="S215" i="1" s="1"/>
  <c r="S197" i="1" a="1"/>
  <c r="S197" i="1" s="1"/>
  <c r="S212" i="1" a="1"/>
  <c r="S212" i="1" s="1"/>
  <c r="S208" i="1" a="1"/>
  <c r="S208" i="1" s="1"/>
  <c r="S91" i="1" a="1"/>
  <c r="S91" i="1" s="1"/>
  <c r="O91" i="1" s="1"/>
  <c r="S217" i="1" a="1"/>
  <c r="S217" i="1" s="1"/>
  <c r="S202" i="1" a="1"/>
  <c r="S202" i="1" s="1"/>
  <c r="S68" i="1" a="1"/>
  <c r="S68" i="1" s="1"/>
  <c r="O68" i="1" s="1"/>
  <c r="S82" i="1" a="1"/>
  <c r="S82" i="1" s="1"/>
  <c r="O82" i="1" s="1"/>
  <c r="S22" i="1" a="1"/>
  <c r="S22" i="1" s="1"/>
  <c r="O22" i="1" s="1"/>
  <c r="S216" i="1" a="1"/>
  <c r="S216" i="1" s="1"/>
  <c r="S207" i="1" a="1"/>
  <c r="S207" i="1" s="1"/>
  <c r="S65" i="1" a="1"/>
  <c r="S65" i="1" s="1"/>
  <c r="O65" i="1" s="1"/>
  <c r="S209" i="1" a="1"/>
  <c r="S209" i="1" s="1"/>
  <c r="S210" i="1" a="1"/>
  <c r="S210" i="1" s="1"/>
  <c r="S222" i="1" a="1"/>
  <c r="S222" i="1" s="1"/>
  <c r="S30" i="1" a="1"/>
  <c r="S30" i="1" s="1"/>
  <c r="O30" i="1" s="1"/>
  <c r="S53" i="1" a="1"/>
  <c r="S53" i="1" s="1"/>
  <c r="O53" i="1" s="1"/>
  <c r="S78" i="1" a="1"/>
  <c r="S78" i="1" s="1"/>
  <c r="O78" i="1" s="1"/>
  <c r="S220" i="1" a="1"/>
  <c r="S220" i="1" s="1"/>
  <c r="S219" i="1" a="1"/>
  <c r="S219" i="1" s="1"/>
  <c r="S221" i="1" a="1"/>
  <c r="S221" i="1" s="1"/>
  <c r="S218" i="1" a="1"/>
  <c r="S218" i="1" s="1"/>
  <c r="S223" i="1" a="1"/>
  <c r="S223" i="1" s="1"/>
  <c r="S224" i="1" a="1"/>
  <c r="S224" i="1" s="1"/>
  <c r="S199" i="1" a="1"/>
  <c r="S199" i="1" s="1"/>
  <c r="S200" i="1" a="1"/>
  <c r="S200" i="1" s="1"/>
  <c r="S201" i="1" a="1"/>
  <c r="S201" i="1" s="1"/>
  <c r="S145" i="1" a="1"/>
  <c r="S145" i="1" s="1"/>
  <c r="O145" i="1" s="1"/>
  <c r="S99" i="1" a="1"/>
  <c r="S99" i="1" s="1"/>
  <c r="O99" i="1" s="1"/>
  <c r="S147" i="1" a="1"/>
  <c r="S147" i="1" s="1"/>
  <c r="O147" i="1" s="1"/>
  <c r="S211" i="1" a="1"/>
  <c r="S211" i="1" s="1"/>
  <c r="S151" i="1" a="1"/>
  <c r="S151" i="1" s="1"/>
  <c r="O151" i="1" s="1"/>
  <c r="S87" i="1" a="1"/>
  <c r="S87" i="1" s="1"/>
  <c r="O87" i="1" s="1"/>
  <c r="S41" i="1" a="1"/>
  <c r="S41" i="1" s="1"/>
  <c r="O41" i="1" s="1"/>
  <c r="S80" i="1" a="1"/>
  <c r="S80" i="1" s="1"/>
  <c r="O80" i="1" s="1"/>
  <c r="S140" i="1" a="1"/>
  <c r="S140" i="1" s="1"/>
  <c r="O140" i="1" s="1"/>
  <c r="S35" i="1" a="1"/>
  <c r="S35" i="1" s="1"/>
  <c r="O35" i="1" s="1"/>
  <c r="S76" i="1" a="1"/>
  <c r="S76" i="1" s="1"/>
  <c r="O76" i="1" s="1"/>
  <c r="S214" i="1" a="1"/>
  <c r="S214" i="1" s="1"/>
  <c r="S154" i="1" a="1"/>
  <c r="S154" i="1" s="1"/>
  <c r="O154" i="1" s="1"/>
  <c r="S213" i="1" a="1"/>
  <c r="S213" i="1" s="1"/>
  <c r="S106" i="1" a="1"/>
  <c r="S106" i="1" s="1"/>
  <c r="O106" i="1" s="1"/>
  <c r="J152" i="1" a="1"/>
  <c r="J152" i="1" s="1"/>
  <c r="I36" i="2" l="1"/>
  <c r="X210" i="10"/>
  <c r="A2" i="1"/>
  <c r="G60" i="4" s="1"/>
  <c r="G81" i="4" l="1"/>
  <c r="G59" i="2"/>
  <c r="G96" i="4"/>
  <c r="G54" i="4"/>
  <c r="G61" i="4"/>
  <c r="G123" i="4"/>
  <c r="G66" i="4"/>
  <c r="G44" i="2"/>
  <c r="G71" i="4"/>
  <c r="G72" i="4"/>
  <c r="G47" i="4"/>
  <c r="G67" i="4"/>
  <c r="G53" i="2"/>
  <c r="G51" i="2"/>
  <c r="G43" i="4"/>
  <c r="G31" i="3"/>
  <c r="G116" i="4"/>
  <c r="G62" i="4"/>
  <c r="G37" i="3"/>
  <c r="G94" i="4"/>
  <c r="G50" i="2"/>
  <c r="G45" i="4"/>
  <c r="G60" i="2"/>
  <c r="G58" i="4"/>
  <c r="G64" i="2"/>
  <c r="G55" i="2"/>
  <c r="G35" i="2"/>
  <c r="G83" i="4"/>
  <c r="G41" i="3"/>
  <c r="G35" i="3"/>
  <c r="G109" i="4"/>
  <c r="G46" i="4"/>
  <c r="G28" i="3"/>
  <c r="G101" i="4"/>
  <c r="G97" i="4"/>
  <c r="G68" i="4"/>
  <c r="G89" i="4"/>
  <c r="G52" i="4"/>
  <c r="G43" i="2"/>
  <c r="G73" i="4"/>
  <c r="G65" i="4"/>
  <c r="G105" i="4"/>
  <c r="G30" i="2"/>
  <c r="G79" i="4"/>
  <c r="G102" i="4"/>
  <c r="G29" i="3"/>
  <c r="G59" i="4"/>
  <c r="G70" i="4"/>
  <c r="G45" i="2"/>
  <c r="G78" i="4"/>
  <c r="G39" i="3"/>
  <c r="G117" i="4"/>
  <c r="G42" i="4"/>
  <c r="G29" i="2"/>
  <c r="G41" i="4"/>
  <c r="G30" i="3"/>
  <c r="G98" i="4"/>
  <c r="G77" i="4"/>
  <c r="G107" i="4"/>
  <c r="G50" i="4"/>
  <c r="G57" i="4"/>
  <c r="G51" i="4"/>
  <c r="G39" i="2"/>
  <c r="G40" i="3"/>
  <c r="G76" i="4"/>
  <c r="G36" i="2"/>
  <c r="G47" i="2"/>
  <c r="G115" i="4"/>
  <c r="G87" i="4"/>
  <c r="G31" i="2"/>
  <c r="G120" i="4"/>
  <c r="G86" i="4"/>
  <c r="G27" i="3"/>
  <c r="G37" i="2"/>
  <c r="G93" i="4"/>
  <c r="G42" i="2"/>
  <c r="G41" i="2"/>
  <c r="G61" i="2"/>
  <c r="G100" i="4"/>
  <c r="G90" i="4"/>
  <c r="G58" i="2"/>
  <c r="G82" i="4"/>
  <c r="G49" i="2"/>
  <c r="G104" i="4"/>
  <c r="G112" i="4"/>
  <c r="G92" i="4"/>
  <c r="G64" i="4"/>
  <c r="G52" i="2"/>
  <c r="G38" i="3"/>
  <c r="G119" i="4"/>
  <c r="G63" i="4"/>
  <c r="G88" i="4"/>
  <c r="G28" i="2"/>
  <c r="G17" i="3"/>
  <c r="G19" i="2"/>
  <c r="G25" i="3"/>
  <c r="G8" i="3"/>
  <c r="G21" i="4"/>
  <c r="G31" i="4"/>
  <c r="G16" i="3"/>
  <c r="G10" i="3"/>
  <c r="G9" i="3"/>
  <c r="G23" i="3"/>
  <c r="G25" i="2"/>
  <c r="G12" i="3"/>
  <c r="G21" i="2"/>
  <c r="G24" i="2"/>
  <c r="G16" i="4"/>
  <c r="G22" i="2"/>
  <c r="G20" i="3"/>
  <c r="G18" i="2"/>
  <c r="G27" i="2"/>
  <c r="G33" i="4"/>
  <c r="G30" i="4"/>
  <c r="G21" i="3"/>
  <c r="G40" i="4"/>
  <c r="G37" i="4"/>
  <c r="G10" i="4"/>
  <c r="G28" i="4"/>
  <c r="G29" i="4"/>
  <c r="G26" i="4"/>
  <c r="G13" i="2"/>
  <c r="G15" i="2"/>
  <c r="G16" i="2"/>
  <c r="G7" i="3"/>
  <c r="G22" i="4"/>
  <c r="G11" i="3"/>
  <c r="G13" i="3"/>
  <c r="G18" i="4"/>
  <c r="G12" i="2"/>
  <c r="G9" i="2"/>
  <c r="G7" i="4"/>
  <c r="G14" i="2"/>
  <c r="G15" i="4"/>
  <c r="G38" i="4"/>
  <c r="G23" i="2"/>
  <c r="G39" i="4"/>
  <c r="G12" i="4"/>
  <c r="G34" i="4"/>
  <c r="G20" i="4"/>
  <c r="G24" i="3"/>
  <c r="G25" i="4"/>
  <c r="G26" i="3"/>
  <c r="G14" i="4"/>
  <c r="G11" i="2"/>
  <c r="G10" i="2"/>
  <c r="G36" i="4"/>
  <c r="G23" i="4"/>
  <c r="G8" i="2"/>
  <c r="G17" i="4"/>
  <c r="G17" i="2"/>
  <c r="G15" i="3"/>
  <c r="G8" i="4"/>
  <c r="G26" i="2"/>
  <c r="G9" i="4"/>
  <c r="G13" i="4"/>
  <c r="G32" i="4"/>
  <c r="G7" i="2"/>
  <c r="G20" i="2"/>
  <c r="G24" i="4"/>
  <c r="G19" i="4"/>
  <c r="G22" i="3"/>
  <c r="G35" i="4"/>
  <c r="G19" i="3"/>
  <c r="G14" i="3"/>
  <c r="G18" i="3"/>
  <c r="G11" i="4"/>
  <c r="G27" i="4"/>
  <c r="G108" i="4"/>
  <c r="G111" i="4"/>
  <c r="G74" i="4"/>
  <c r="G55" i="4"/>
  <c r="G48" i="2"/>
  <c r="G40" i="2"/>
  <c r="G33" i="2"/>
  <c r="G75" i="4"/>
  <c r="G85" i="4"/>
  <c r="G99" i="4"/>
  <c r="G49" i="4"/>
  <c r="G118" i="4"/>
  <c r="G48" i="4"/>
  <c r="G95" i="4"/>
  <c r="G56" i="4"/>
  <c r="G106" i="4"/>
  <c r="G44" i="4"/>
  <c r="G56" i="2"/>
  <c r="G34" i="2"/>
  <c r="G36" i="3"/>
  <c r="G46" i="2"/>
  <c r="G34" i="3"/>
  <c r="G63" i="2"/>
  <c r="G122" i="4"/>
  <c r="G91" i="4"/>
  <c r="G62" i="2"/>
  <c r="G32" i="2"/>
  <c r="G54" i="2"/>
  <c r="G113" i="4"/>
  <c r="G38" i="2"/>
  <c r="G114" i="4"/>
  <c r="G84" i="4"/>
  <c r="G33" i="3"/>
  <c r="G103" i="4"/>
  <c r="G110" i="4"/>
  <c r="G121" i="4"/>
  <c r="G53" i="4"/>
  <c r="G80" i="4"/>
  <c r="G32" i="3"/>
  <c r="G57" i="2"/>
  <c r="G69" i="4"/>
  <c r="H15" i="4"/>
  <c r="H42" i="4"/>
  <c r="H29" i="4"/>
  <c r="H37" i="4"/>
  <c r="H47" i="4"/>
  <c r="H55" i="4"/>
  <c r="H63" i="4"/>
  <c r="H71" i="4"/>
  <c r="H79" i="4"/>
  <c r="H87" i="4"/>
  <c r="H95" i="4"/>
  <c r="H103" i="4"/>
  <c r="H111" i="4"/>
  <c r="H119" i="4"/>
  <c r="H10" i="3"/>
  <c r="H16" i="3"/>
  <c r="H24" i="3"/>
  <c r="H34" i="3"/>
  <c r="H7" i="3"/>
  <c r="H14" i="2"/>
  <c r="H20" i="2"/>
  <c r="H32" i="2"/>
  <c r="H39" i="2"/>
  <c r="H47" i="2"/>
  <c r="H55" i="2"/>
  <c r="H63" i="2"/>
  <c r="H27" i="4"/>
  <c r="H77" i="4"/>
  <c r="H22" i="3"/>
  <c r="H25" i="2"/>
  <c r="H36" i="4"/>
  <c r="H94" i="4"/>
  <c r="H33" i="3"/>
  <c r="H54" i="2"/>
  <c r="H8" i="4"/>
  <c r="H16" i="4"/>
  <c r="H22" i="4"/>
  <c r="H30" i="4"/>
  <c r="H38" i="4"/>
  <c r="H48" i="4"/>
  <c r="H56" i="4"/>
  <c r="H64" i="4"/>
  <c r="H72" i="4"/>
  <c r="H80" i="4"/>
  <c r="H88" i="4"/>
  <c r="H96" i="4"/>
  <c r="H104" i="4"/>
  <c r="H112" i="4"/>
  <c r="H120" i="4"/>
  <c r="H11" i="3"/>
  <c r="H17" i="3"/>
  <c r="H25" i="3"/>
  <c r="H35" i="3"/>
  <c r="H8" i="2"/>
  <c r="H15" i="2"/>
  <c r="H21" i="2"/>
  <c r="H27" i="2"/>
  <c r="H40" i="2"/>
  <c r="H48" i="2"/>
  <c r="H56" i="2"/>
  <c r="H64" i="2"/>
  <c r="H13" i="4"/>
  <c r="H61" i="4"/>
  <c r="H93" i="4"/>
  <c r="H14" i="3"/>
  <c r="H45" i="2"/>
  <c r="H21" i="4"/>
  <c r="H70" i="4"/>
  <c r="H118" i="4"/>
  <c r="H29" i="2"/>
  <c r="H62" i="2"/>
  <c r="H9" i="4"/>
  <c r="H17" i="4"/>
  <c r="H23" i="4"/>
  <c r="H31" i="4"/>
  <c r="H39" i="4"/>
  <c r="H49" i="4"/>
  <c r="H57" i="4"/>
  <c r="H65" i="4"/>
  <c r="H73" i="4"/>
  <c r="H81" i="4"/>
  <c r="H89" i="4"/>
  <c r="H97" i="4"/>
  <c r="H105" i="4"/>
  <c r="H113" i="4"/>
  <c r="H121" i="4"/>
  <c r="H12" i="3"/>
  <c r="H18" i="3"/>
  <c r="H26" i="3"/>
  <c r="H36" i="3"/>
  <c r="H9" i="2"/>
  <c r="H16" i="2"/>
  <c r="H22" i="2"/>
  <c r="H28" i="2"/>
  <c r="H41" i="2"/>
  <c r="H49" i="2"/>
  <c r="H57" i="2"/>
  <c r="H7" i="2"/>
  <c r="H41" i="4"/>
  <c r="H69" i="4"/>
  <c r="H117" i="4"/>
  <c r="H13" i="2"/>
  <c r="H61" i="2"/>
  <c r="H14" i="4"/>
  <c r="H62" i="4"/>
  <c r="H86" i="4"/>
  <c r="H15" i="3"/>
  <c r="H19" i="2"/>
  <c r="H10" i="4"/>
  <c r="H18" i="4"/>
  <c r="H24" i="4"/>
  <c r="H32" i="4"/>
  <c r="H40" i="4"/>
  <c r="H50" i="4"/>
  <c r="H58" i="4"/>
  <c r="H66" i="4"/>
  <c r="H74" i="4"/>
  <c r="H82" i="4"/>
  <c r="H90" i="4"/>
  <c r="H98" i="4"/>
  <c r="H106" i="4"/>
  <c r="H114" i="4"/>
  <c r="H122" i="4"/>
  <c r="H27" i="3"/>
  <c r="H19" i="3"/>
  <c r="H29" i="3"/>
  <c r="H37" i="3"/>
  <c r="H10" i="2"/>
  <c r="H17" i="2"/>
  <c r="H23" i="2"/>
  <c r="H34" i="2"/>
  <c r="H42" i="2"/>
  <c r="H50" i="2"/>
  <c r="H58" i="2"/>
  <c r="H35" i="4"/>
  <c r="H85" i="4"/>
  <c r="H8" i="3"/>
  <c r="H31" i="2"/>
  <c r="H46" i="4"/>
  <c r="H102" i="4"/>
  <c r="H41" i="3"/>
  <c r="H46" i="2"/>
  <c r="H11" i="4"/>
  <c r="H19" i="4"/>
  <c r="H25" i="4"/>
  <c r="H33" i="4"/>
  <c r="H43" i="4"/>
  <c r="H51" i="4"/>
  <c r="H59" i="4"/>
  <c r="H67" i="4"/>
  <c r="H75" i="4"/>
  <c r="H83" i="4"/>
  <c r="H91" i="4"/>
  <c r="H99" i="4"/>
  <c r="H107" i="4"/>
  <c r="H115" i="4"/>
  <c r="H123" i="4"/>
  <c r="H13" i="3"/>
  <c r="H20" i="3"/>
  <c r="H30" i="3"/>
  <c r="H38" i="3"/>
  <c r="H11" i="2"/>
  <c r="H30" i="2"/>
  <c r="H33" i="2"/>
  <c r="H35" i="2"/>
  <c r="H43" i="2"/>
  <c r="H51" i="2"/>
  <c r="H59" i="2"/>
  <c r="H53" i="4"/>
  <c r="H109" i="4"/>
  <c r="H40" i="3"/>
  <c r="H37" i="2"/>
  <c r="H54" i="4"/>
  <c r="H110" i="4"/>
  <c r="H23" i="3"/>
  <c r="H38" i="2"/>
  <c r="H12" i="4"/>
  <c r="H20" i="4"/>
  <c r="H26" i="4"/>
  <c r="H34" i="4"/>
  <c r="H44" i="4"/>
  <c r="H52" i="4"/>
  <c r="H60" i="4"/>
  <c r="H68" i="4"/>
  <c r="H76" i="4"/>
  <c r="H84" i="4"/>
  <c r="H92" i="4"/>
  <c r="H100" i="4"/>
  <c r="H108" i="4"/>
  <c r="H116" i="4"/>
  <c r="H7" i="4"/>
  <c r="H28" i="3"/>
  <c r="H21" i="3"/>
  <c r="H31" i="3"/>
  <c r="H39" i="3"/>
  <c r="H12" i="2"/>
  <c r="H18" i="2"/>
  <c r="H24" i="2"/>
  <c r="H36" i="2"/>
  <c r="H44" i="2"/>
  <c r="H52" i="2"/>
  <c r="H60" i="2"/>
  <c r="H45" i="4"/>
  <c r="H101" i="4"/>
  <c r="H32" i="3"/>
  <c r="H53" i="2"/>
  <c r="H28" i="4"/>
  <c r="H78" i="4"/>
  <c r="H9" i="3"/>
  <c r="H26" i="2"/>
  <c r="AB212" i="10"/>
  <c r="AB213" i="10"/>
  <c r="B2" i="1"/>
  <c r="B108" i="4"/>
  <c r="AB210" i="10"/>
  <c r="AB211" i="10"/>
  <c r="B36" i="2"/>
  <c r="F36" i="2"/>
  <c r="J149" i="1" a="1"/>
  <c r="J149" i="1" s="1"/>
  <c r="J94" i="1" a="1"/>
  <c r="J94" i="1" s="1"/>
  <c r="J103" i="1" a="1"/>
  <c r="J103" i="1" s="1"/>
  <c r="J33" i="1" a="1"/>
  <c r="J33" i="1" s="1"/>
  <c r="J34" i="1" a="1"/>
  <c r="J34" i="1" s="1"/>
  <c r="J27" i="1" a="1"/>
  <c r="J27" i="1" s="1"/>
  <c r="J61" i="1" a="1"/>
  <c r="J61" i="1" s="1"/>
  <c r="J143" i="1" a="1"/>
  <c r="J143" i="1" s="1"/>
  <c r="J137" i="1" a="1"/>
  <c r="J137" i="1" s="1"/>
  <c r="J92" i="1" a="1"/>
  <c r="J92" i="1" s="1"/>
  <c r="J141" i="1" a="1"/>
  <c r="J141" i="1" s="1"/>
  <c r="J157" i="1" a="1"/>
  <c r="J157" i="1" s="1"/>
  <c r="J113" i="1" a="1"/>
  <c r="J113" i="1" s="1"/>
  <c r="J138" i="1" a="1"/>
  <c r="J138" i="1" s="1"/>
  <c r="J25" i="1" a="1"/>
  <c r="J25" i="1" s="1"/>
  <c r="J158" i="1" a="1"/>
  <c r="J158" i="1" s="1"/>
  <c r="J54" i="1" a="1"/>
  <c r="J54" i="1" s="1"/>
  <c r="J159" i="1" a="1"/>
  <c r="J159"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8" i="1" a="1"/>
  <c r="J128" i="1" s="1"/>
  <c r="J126" i="1" a="1"/>
  <c r="J126" i="1" s="1"/>
  <c r="J160" i="1" a="1"/>
  <c r="J160" i="1" s="1"/>
  <c r="J161" i="1" a="1"/>
  <c r="J161" i="1" s="1"/>
  <c r="J134" i="1" a="1"/>
  <c r="J134" i="1" s="1"/>
  <c r="J162" i="1" a="1"/>
  <c r="J162" i="1" s="1"/>
  <c r="J163" i="1" a="1"/>
  <c r="J163" i="1" s="1"/>
  <c r="J164" i="1" a="1"/>
  <c r="J164" i="1" s="1"/>
  <c r="J165" i="1" a="1"/>
  <c r="J165"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66" i="1" a="1"/>
  <c r="J166" i="1" s="1"/>
  <c r="J55" i="1" a="1"/>
  <c r="J55" i="1" s="1"/>
  <c r="J49" i="1" a="1"/>
  <c r="J49" i="1" s="1"/>
  <c r="J50" i="1" a="1"/>
  <c r="J50" i="1" s="1"/>
  <c r="J167" i="1" a="1"/>
  <c r="J167" i="1" s="1"/>
  <c r="J86" i="1" a="1"/>
  <c r="J86" i="1" s="1"/>
  <c r="J168" i="1" a="1"/>
  <c r="J168" i="1" s="1"/>
  <c r="J81" i="1" a="1"/>
  <c r="J81" i="1" s="1"/>
  <c r="J75" i="1" a="1"/>
  <c r="J75" i="1" s="1"/>
  <c r="J48" i="1" a="1"/>
  <c r="J48" i="1" s="1"/>
  <c r="J47" i="1" a="1"/>
  <c r="J47" i="1" s="1"/>
  <c r="J129" i="1" a="1"/>
  <c r="J129" i="1" s="1"/>
  <c r="J131" i="1" a="1"/>
  <c r="J131" i="1" s="1"/>
  <c r="J127" i="1" a="1"/>
  <c r="J127" i="1" s="1"/>
  <c r="J173" i="1" a="1"/>
  <c r="J173" i="1" s="1"/>
  <c r="J144" i="1" a="1"/>
  <c r="J144" i="1" s="1"/>
  <c r="J109" i="1" a="1"/>
  <c r="J109" i="1" s="1"/>
  <c r="J88" i="1" a="1"/>
  <c r="J88" i="1" s="1"/>
  <c r="J36" i="1" a="1"/>
  <c r="J36" i="1" s="1"/>
  <c r="J100" i="1" a="1"/>
  <c r="J100" i="1" s="1"/>
  <c r="J192" i="1" a="1"/>
  <c r="J192" i="1" s="1"/>
  <c r="J111" i="1" a="1"/>
  <c r="J111" i="1" s="1"/>
  <c r="J132" i="1" a="1"/>
  <c r="J132" i="1" s="1"/>
  <c r="J188" i="1" a="1"/>
  <c r="J188" i="1" s="1"/>
  <c r="J96" i="1" a="1"/>
  <c r="J96" i="1" s="1"/>
  <c r="J184" i="1" a="1"/>
  <c r="J184" i="1" s="1"/>
  <c r="J150" i="1" a="1"/>
  <c r="J150" i="1" s="1"/>
  <c r="J116" i="1" a="1"/>
  <c r="J116" i="1" s="1"/>
  <c r="J122" i="1" a="1"/>
  <c r="J122" i="1" s="1"/>
  <c r="J120" i="1" a="1"/>
  <c r="J120" i="1" s="1"/>
  <c r="J37" i="1" a="1"/>
  <c r="J37" i="1" s="1"/>
  <c r="J72" i="1" a="1"/>
  <c r="J72" i="1" s="1"/>
  <c r="J38" i="1" a="1"/>
  <c r="J38" i="1" s="1"/>
  <c r="J133" i="1" a="1"/>
  <c r="J133" i="1" s="1"/>
  <c r="J110" i="1" a="1"/>
  <c r="J110" i="1" s="1"/>
  <c r="J71" i="1" a="1"/>
  <c r="J71" i="1" s="1"/>
  <c r="J85" i="1" a="1"/>
  <c r="J85" i="1" s="1"/>
  <c r="J84" i="1" a="1"/>
  <c r="J84" i="1" s="1"/>
  <c r="J148" i="1" a="1"/>
  <c r="J148" i="1" s="1"/>
  <c r="J136" i="1" a="1"/>
  <c r="J136" i="1" s="1"/>
  <c r="J185" i="1" a="1"/>
  <c r="J185" i="1" s="1"/>
  <c r="J191" i="1" a="1"/>
  <c r="J191" i="1" s="1"/>
  <c r="J93" i="1" a="1"/>
  <c r="J93" i="1" s="1"/>
  <c r="J189" i="1" a="1"/>
  <c r="J189" i="1" s="1"/>
  <c r="J190" i="1" a="1"/>
  <c r="J190" i="1" s="1"/>
  <c r="J187" i="1" a="1"/>
  <c r="J187" i="1" s="1"/>
  <c r="J117" i="1" a="1"/>
  <c r="J117" i="1" s="1"/>
  <c r="J177" i="1" a="1"/>
  <c r="J177" i="1" s="1"/>
  <c r="J18" i="1" a="1"/>
  <c r="J18" i="1" s="1"/>
  <c r="J135" i="1" a="1"/>
  <c r="J135" i="1" s="1"/>
  <c r="J108" i="1" a="1"/>
  <c r="J108" i="1" s="1"/>
  <c r="J186" i="1" a="1"/>
  <c r="J186" i="1" s="1"/>
  <c r="J156" i="1" a="1"/>
  <c r="J156" i="1" s="1"/>
  <c r="J206" i="1" a="1"/>
  <c r="J206" i="1" s="1"/>
  <c r="J153" i="1" a="1"/>
  <c r="J153" i="1" s="1"/>
  <c r="J205" i="1" a="1"/>
  <c r="J205" i="1" s="1"/>
  <c r="J155" i="1" a="1"/>
  <c r="J155" i="1" s="1"/>
  <c r="J89" i="1" a="1"/>
  <c r="J89" i="1" s="1"/>
  <c r="J124" i="1" a="1"/>
  <c r="J124" i="1" s="1"/>
  <c r="J125" i="1" a="1"/>
  <c r="J125" i="1" s="1"/>
  <c r="J130" i="1" a="1"/>
  <c r="J130" i="1" s="1"/>
  <c r="J198" i="1" a="1"/>
  <c r="J198" i="1" s="1"/>
  <c r="J196" i="1" a="1"/>
  <c r="J196" i="1" s="1"/>
  <c r="J90" i="1" a="1"/>
  <c r="J90" i="1" s="1"/>
  <c r="J203" i="1" a="1"/>
  <c r="J203" i="1" s="1"/>
  <c r="J204" i="1" a="1"/>
  <c r="J204" i="1" s="1"/>
  <c r="J83" i="1" a="1"/>
  <c r="J83" i="1" s="1"/>
  <c r="J193" i="1" a="1"/>
  <c r="J193" i="1" s="1"/>
  <c r="J195" i="1" a="1"/>
  <c r="J195" i="1" s="1"/>
  <c r="J180" i="1" a="1"/>
  <c r="J180" i="1" s="1"/>
  <c r="J176" i="1" a="1"/>
  <c r="J176" i="1" s="1"/>
  <c r="J139" i="1" a="1"/>
  <c r="J139" i="1" s="1"/>
  <c r="J178" i="1" a="1"/>
  <c r="J178" i="1" s="1"/>
  <c r="J179" i="1" a="1"/>
  <c r="J179" i="1" s="1"/>
  <c r="J194" i="1" a="1"/>
  <c r="J194" i="1" s="1"/>
  <c r="J114" i="1" a="1"/>
  <c r="J114" i="1" s="1"/>
  <c r="J112" i="1" a="1"/>
  <c r="J112" i="1" s="1"/>
  <c r="J215" i="1" a="1"/>
  <c r="J215" i="1" s="1"/>
  <c r="J197" i="1" a="1"/>
  <c r="J197" i="1" s="1"/>
  <c r="J17" i="1" a="1"/>
  <c r="J17" i="1" s="1"/>
  <c r="J212" i="1" a="1"/>
  <c r="J212" i="1" s="1"/>
  <c r="J24" i="1" a="1"/>
  <c r="J24" i="1" s="1"/>
  <c r="J142" i="1" a="1"/>
  <c r="J142" i="1" s="1"/>
  <c r="J208" i="1" a="1"/>
  <c r="J208" i="1" s="1"/>
  <c r="J91" i="1" a="1"/>
  <c r="J91" i="1" s="1"/>
  <c r="J217" i="1" a="1"/>
  <c r="J217" i="1" s="1"/>
  <c r="J174" i="1" a="1"/>
  <c r="J174" i="1" s="1"/>
  <c r="J202" i="1" a="1"/>
  <c r="J202" i="1" s="1"/>
  <c r="J68" i="1" a="1"/>
  <c r="J68" i="1" s="1"/>
  <c r="J82" i="1" a="1"/>
  <c r="J82" i="1" s="1"/>
  <c r="J22" i="1" a="1"/>
  <c r="J22" i="1" s="1"/>
  <c r="J216" i="1" a="1"/>
  <c r="J216" i="1" s="1"/>
  <c r="J207" i="1" a="1"/>
  <c r="J207" i="1" s="1"/>
  <c r="J183" i="1" a="1"/>
  <c r="J183" i="1" s="1"/>
  <c r="J65" i="1" a="1"/>
  <c r="J65" i="1" s="1"/>
  <c r="J209" i="1" a="1"/>
  <c r="J209" i="1" s="1"/>
  <c r="J210" i="1" a="1"/>
  <c r="J210" i="1" s="1"/>
  <c r="J222" i="1" a="1"/>
  <c r="J222" i="1" s="1"/>
  <c r="J30" i="1" a="1"/>
  <c r="J30" i="1" s="1"/>
  <c r="J53" i="1" a="1"/>
  <c r="J53" i="1" s="1"/>
  <c r="J78" i="1" a="1"/>
  <c r="J78" i="1" s="1"/>
  <c r="J220" i="1" a="1"/>
  <c r="J220" i="1" s="1"/>
  <c r="J219" i="1" a="1"/>
  <c r="J219" i="1" s="1"/>
  <c r="J221" i="1" a="1"/>
  <c r="J221" i="1" s="1"/>
  <c r="J218" i="1" a="1"/>
  <c r="J218" i="1" s="1"/>
  <c r="J223" i="1" a="1"/>
  <c r="J223" i="1" s="1"/>
  <c r="J170" i="1" a="1"/>
  <c r="J170" i="1" s="1"/>
  <c r="J98" i="1" a="1"/>
  <c r="J98" i="1" s="1"/>
  <c r="J224" i="1" a="1"/>
  <c r="J224" i="1" s="1"/>
  <c r="J28" i="1" a="1"/>
  <c r="J28" i="1" s="1"/>
  <c r="J101" i="1" a="1"/>
  <c r="J101" i="1" s="1"/>
  <c r="J31" i="1" a="1"/>
  <c r="J31" i="1" s="1"/>
  <c r="J104" i="1" a="1"/>
  <c r="J104" i="1" s="1"/>
  <c r="J199" i="1" a="1"/>
  <c r="J199" i="1" s="1"/>
  <c r="J171" i="1" a="1"/>
  <c r="J171" i="1" s="1"/>
  <c r="J79" i="1" a="1"/>
  <c r="J79" i="1" s="1"/>
  <c r="J200" i="1" a="1"/>
  <c r="J200" i="1" s="1"/>
  <c r="J201" i="1" a="1"/>
  <c r="J201" i="1" s="1"/>
  <c r="J145" i="1" a="1"/>
  <c r="J145" i="1" s="1"/>
  <c r="J99" i="1" a="1"/>
  <c r="J99" i="1" s="1"/>
  <c r="J146" i="1" a="1"/>
  <c r="J146" i="1" s="1"/>
  <c r="J147" i="1" a="1"/>
  <c r="J147" i="1" s="1"/>
  <c r="J67" i="1" a="1"/>
  <c r="J67" i="1" s="1"/>
  <c r="J169" i="1" a="1"/>
  <c r="J169" i="1" s="1"/>
  <c r="J211" i="1" a="1"/>
  <c r="J211" i="1" s="1"/>
  <c r="J151" i="1" a="1"/>
  <c r="J151" i="1" s="1"/>
  <c r="J118" i="1" a="1"/>
  <c r="J118" i="1" s="1"/>
  <c r="J121" i="1" a="1"/>
  <c r="J121" i="1" s="1"/>
  <c r="J119" i="1" a="1"/>
  <c r="J119" i="1" s="1"/>
  <c r="J182" i="1" a="1"/>
  <c r="J182" i="1" s="1"/>
  <c r="J87" i="1" a="1"/>
  <c r="J87" i="1" s="1"/>
  <c r="J41" i="1" a="1"/>
  <c r="J41" i="1" s="1"/>
  <c r="J80" i="1" a="1"/>
  <c r="J80" i="1" s="1"/>
  <c r="J140" i="1" a="1"/>
  <c r="J140" i="1" s="1"/>
  <c r="J172" i="1" a="1"/>
  <c r="J172" i="1" s="1"/>
  <c r="J35" i="1" a="1"/>
  <c r="J35" i="1" s="1"/>
  <c r="J76" i="1" a="1"/>
  <c r="J76" i="1" s="1"/>
  <c r="J181" i="1" a="1"/>
  <c r="J181" i="1" s="1"/>
  <c r="J26" i="1" a="1"/>
  <c r="J26" i="1" s="1"/>
  <c r="J214" i="1" a="1"/>
  <c r="J214" i="1" s="1"/>
  <c r="J154" i="1" a="1"/>
  <c r="J154" i="1" s="1"/>
  <c r="J175" i="1" a="1"/>
  <c r="J175" i="1" s="1"/>
  <c r="J213" i="1" a="1"/>
  <c r="J213" i="1" s="1"/>
  <c r="J106" i="1" a="1"/>
  <c r="J106" i="1" s="1"/>
  <c r="I2" i="2" l="1"/>
  <c r="I2" i="3"/>
  <c r="I2" i="4"/>
  <c r="J2" i="2"/>
  <c r="J2" i="4"/>
  <c r="J2" i="3"/>
  <c r="AL2" i="16"/>
  <c r="K103" i="1" l="1"/>
  <c r="L103" i="1" s="1" a="1"/>
  <c r="L103" i="1" s="1"/>
  <c r="F103" i="1"/>
  <c r="C103" i="1"/>
  <c r="Z209" i="10"/>
  <c r="W209" i="10"/>
  <c r="V209" i="10"/>
  <c r="D103" i="1" s="1"/>
  <c r="E103" i="1" s="1"/>
  <c r="U209" i="10"/>
  <c r="K218" i="1"/>
  <c r="L218" i="1" s="1" a="1"/>
  <c r="L218" i="1" s="1"/>
  <c r="AL6" i="16"/>
  <c r="X209" i="10" l="1"/>
  <c r="Y209" i="10"/>
  <c r="I74" i="4"/>
  <c r="P103" i="1"/>
  <c r="H135" i="1"/>
  <c r="H103" i="1"/>
  <c r="F104" i="4" l="1"/>
  <c r="F103" i="4"/>
  <c r="F102" i="4"/>
  <c r="F105" i="4"/>
  <c r="F101" i="4"/>
  <c r="F74" i="4"/>
  <c r="F106" i="4"/>
  <c r="F107" i="4"/>
  <c r="F100" i="4" l="1"/>
  <c r="F64" i="2" l="1"/>
  <c r="F34" i="2"/>
  <c r="F9" i="2"/>
  <c r="F7" i="2"/>
  <c r="F55" i="2"/>
  <c r="F56" i="2"/>
  <c r="F24" i="2"/>
  <c r="F12" i="2"/>
  <c r="F11" i="2"/>
  <c r="F10" i="2"/>
  <c r="F13" i="2"/>
  <c r="F35" i="2"/>
  <c r="F8" i="2"/>
  <c r="F40" i="2"/>
  <c r="F25" i="2"/>
  <c r="F52" i="2"/>
  <c r="F21" i="2"/>
  <c r="F26" i="2"/>
  <c r="F50" i="2"/>
  <c r="F224" i="1"/>
  <c r="F64" i="1"/>
  <c r="F201" i="1"/>
  <c r="F200" i="1"/>
  <c r="F112" i="1"/>
  <c r="F213" i="1"/>
  <c r="F221" i="1"/>
  <c r="F143" i="1"/>
  <c r="F56" i="1"/>
  <c r="F116" i="1"/>
  <c r="F210" i="1"/>
  <c r="F191" i="1"/>
  <c r="F219" i="1"/>
  <c r="F188" i="1"/>
  <c r="F184" i="1"/>
  <c r="F117" i="1"/>
  <c r="F157" i="1"/>
  <c r="F85" i="1"/>
  <c r="F61" i="1"/>
  <c r="F208" i="1"/>
  <c r="F63" i="1"/>
  <c r="F136" i="1"/>
  <c r="F218" i="1"/>
  <c r="F15" i="1"/>
  <c r="F177" i="1"/>
  <c r="F93" i="1"/>
  <c r="F27" i="1"/>
  <c r="F115" i="1"/>
  <c r="F198" i="1"/>
  <c r="F113" i="1"/>
  <c r="F129" i="1"/>
  <c r="F46" i="1"/>
  <c r="F83" i="1"/>
  <c r="F140" i="1"/>
  <c r="F58" i="1"/>
  <c r="F164" i="1"/>
  <c r="F148" i="1"/>
  <c r="F139" i="1"/>
  <c r="F68" i="1"/>
  <c r="F168" i="1"/>
  <c r="F97" i="1"/>
  <c r="F131" i="1"/>
  <c r="F160" i="1"/>
  <c r="F62" i="1"/>
  <c r="F203" i="1"/>
  <c r="F26" i="1"/>
  <c r="F130" i="1"/>
  <c r="F181" i="1"/>
  <c r="F165" i="1"/>
  <c r="F214" i="1"/>
  <c r="F196" i="1"/>
  <c r="F179" i="1"/>
  <c r="F95" i="1"/>
  <c r="F110" i="1"/>
  <c r="F69" i="1"/>
  <c r="F171" i="1"/>
  <c r="F146" i="1"/>
  <c r="F125" i="1"/>
  <c r="F145" i="1"/>
  <c r="F222" i="1"/>
  <c r="F75" i="1"/>
  <c r="F134" i="1"/>
  <c r="F150" i="1"/>
  <c r="F135" i="1"/>
  <c r="F170" i="1"/>
  <c r="F74" i="1"/>
  <c r="F204" i="1"/>
  <c r="F21" i="1"/>
  <c r="F18" i="1"/>
  <c r="F154" i="1"/>
  <c r="F194" i="1"/>
  <c r="F120" i="1"/>
  <c r="F119" i="1"/>
  <c r="F122" i="1"/>
  <c r="F175" i="1"/>
  <c r="F142" i="1"/>
  <c r="F77" i="1"/>
  <c r="F209" i="1"/>
  <c r="F32" i="1"/>
  <c r="F178" i="1"/>
  <c r="F111" i="1"/>
  <c r="F189" i="1"/>
  <c r="F20" i="1"/>
  <c r="F71" i="1"/>
  <c r="F167" i="1"/>
  <c r="F65" i="1"/>
  <c r="F137" i="1"/>
  <c r="F76" i="1"/>
  <c r="F55" i="1"/>
  <c r="F182" i="1"/>
  <c r="F60" i="1"/>
  <c r="F54" i="1"/>
  <c r="F192" i="1"/>
  <c r="F98" i="1"/>
  <c r="F114" i="1"/>
  <c r="F149" i="1"/>
  <c r="F79" i="1"/>
  <c r="F41" i="1"/>
  <c r="F108" i="1"/>
  <c r="F16" i="1"/>
  <c r="F190" i="1"/>
  <c r="F187" i="1"/>
  <c r="F172" i="1"/>
  <c r="F38" i="1"/>
  <c r="F53" i="1"/>
  <c r="F80" i="1"/>
  <c r="F186" i="1"/>
  <c r="F217" i="1"/>
  <c r="F220" i="1"/>
  <c r="F216" i="1"/>
  <c r="F141" i="1"/>
  <c r="F106" i="1"/>
  <c r="F84" i="1"/>
  <c r="F87" i="1"/>
  <c r="F99" i="1"/>
  <c r="F59" i="1"/>
  <c r="F174" i="1"/>
  <c r="F147" i="1"/>
  <c r="F92" i="1"/>
  <c r="F78" i="1"/>
  <c r="F72" i="1"/>
  <c r="F90" i="1"/>
  <c r="F124" i="1"/>
  <c r="F202" i="1"/>
  <c r="F118" i="1"/>
  <c r="F128" i="1"/>
  <c r="F73" i="1"/>
  <c r="F70" i="1"/>
  <c r="F223" i="1"/>
  <c r="F30" i="1"/>
  <c r="F91" i="1"/>
  <c r="F105" i="1"/>
  <c r="F126" i="1"/>
  <c r="F35" i="1"/>
  <c r="F96" i="1"/>
  <c r="F23" i="1"/>
  <c r="F133" i="1"/>
  <c r="F37" i="1"/>
  <c r="F138" i="1"/>
  <c r="F86" i="1"/>
  <c r="F127" i="1"/>
  <c r="F207" i="1"/>
  <c r="F185" i="1"/>
  <c r="F22" i="1"/>
  <c r="F107" i="1"/>
  <c r="F82" i="1"/>
  <c r="F121" i="1"/>
  <c r="F183" i="1"/>
  <c r="F132" i="1"/>
  <c r="F176" i="1"/>
  <c r="F180" i="1"/>
  <c r="F151" i="1"/>
  <c r="F195" i="1"/>
  <c r="F50" i="1"/>
  <c r="F49" i="1"/>
  <c r="F199" i="1"/>
  <c r="F211" i="1"/>
  <c r="F81" i="1"/>
  <c r="F89" i="1"/>
  <c r="F100" i="1"/>
  <c r="F36" i="1"/>
  <c r="F24" i="1"/>
  <c r="F212" i="1"/>
  <c r="F166" i="1"/>
  <c r="F17" i="1"/>
  <c r="F155" i="1"/>
  <c r="F205" i="1"/>
  <c r="F153" i="1"/>
  <c r="F206" i="1"/>
  <c r="F152" i="1"/>
  <c r="F34" i="1"/>
  <c r="F52" i="1"/>
  <c r="F51" i="1"/>
  <c r="F57" i="1"/>
  <c r="F102" i="1"/>
  <c r="F159" i="1"/>
  <c r="F25" i="1"/>
  <c r="F169" i="1"/>
  <c r="F66" i="1"/>
  <c r="F104" i="1"/>
  <c r="F31" i="1"/>
  <c r="F101" i="1"/>
  <c r="F197" i="1"/>
  <c r="F215" i="1"/>
  <c r="F45" i="1"/>
  <c r="F44" i="1"/>
  <c r="F40" i="1"/>
  <c r="F42" i="1"/>
  <c r="F43" i="1"/>
  <c r="F158" i="1"/>
  <c r="F67" i="1"/>
  <c r="F94" i="1"/>
  <c r="F19" i="1"/>
  <c r="F163" i="1"/>
  <c r="F162" i="1"/>
  <c r="F161" i="1"/>
  <c r="F28" i="1"/>
  <c r="F47" i="1"/>
  <c r="F48" i="1"/>
  <c r="F88" i="1"/>
  <c r="F156" i="1"/>
  <c r="F193" i="1"/>
  <c r="F29" i="1"/>
  <c r="F109" i="1"/>
  <c r="F33" i="1"/>
  <c r="F144" i="1"/>
  <c r="P132" i="1"/>
  <c r="P127" i="1"/>
  <c r="P163" i="1"/>
  <c r="P223" i="1"/>
  <c r="P176" i="1"/>
  <c r="P174" i="1"/>
  <c r="P220" i="1"/>
  <c r="P190" i="1"/>
  <c r="P98" i="1"/>
  <c r="P182" i="1"/>
  <c r="P153" i="1"/>
  <c r="P199" i="1"/>
  <c r="P119" i="1"/>
  <c r="P31" i="1"/>
  <c r="P134" i="1"/>
  <c r="P171" i="1"/>
  <c r="P49" i="1"/>
  <c r="P44" i="1"/>
  <c r="P81" i="1"/>
  <c r="P58" i="1"/>
  <c r="P27" i="1"/>
  <c r="P136" i="1"/>
  <c r="P188" i="1"/>
  <c r="P221" i="1"/>
  <c r="K193" i="1"/>
  <c r="L193" i="1" s="1" a="1"/>
  <c r="L193" i="1" s="1"/>
  <c r="K144" i="1"/>
  <c r="L144" i="1" s="1" a="1"/>
  <c r="L144" i="1" s="1"/>
  <c r="K33" i="1"/>
  <c r="L33" i="1" s="1" a="1"/>
  <c r="L33" i="1" s="1"/>
  <c r="K109" i="1"/>
  <c r="L109" i="1" s="1" a="1"/>
  <c r="L109" i="1" s="1"/>
  <c r="K29" i="1"/>
  <c r="L29" i="1" s="1" a="1"/>
  <c r="L29" i="1" s="1"/>
  <c r="K57" i="1"/>
  <c r="L57" i="1" s="1" a="1"/>
  <c r="L57" i="1" s="1"/>
  <c r="K132" i="1"/>
  <c r="L132" i="1" s="1" a="1"/>
  <c r="L132" i="1" s="1"/>
  <c r="K183" i="1"/>
  <c r="L183" i="1" s="1" a="1"/>
  <c r="L183" i="1" s="1"/>
  <c r="K121" i="1"/>
  <c r="L121" i="1" s="1" a="1"/>
  <c r="L121" i="1" s="1"/>
  <c r="K82" i="1"/>
  <c r="L82" i="1" s="1" a="1"/>
  <c r="L82" i="1" s="1"/>
  <c r="K107" i="1"/>
  <c r="L107" i="1" s="1" a="1"/>
  <c r="L107" i="1" s="1"/>
  <c r="K22" i="1"/>
  <c r="L22" i="1" s="1" a="1"/>
  <c r="L22" i="1" s="1"/>
  <c r="K185" i="1"/>
  <c r="L185" i="1" s="1" a="1"/>
  <c r="L185" i="1" s="1"/>
  <c r="K207" i="1"/>
  <c r="L207" i="1" s="1" a="1"/>
  <c r="L207" i="1" s="1"/>
  <c r="K127" i="1"/>
  <c r="L127" i="1" s="1" a="1"/>
  <c r="L127" i="1" s="1"/>
  <c r="K86" i="1"/>
  <c r="L86" i="1" s="1" a="1"/>
  <c r="L86" i="1" s="1"/>
  <c r="K138" i="1"/>
  <c r="L138" i="1" s="1" a="1"/>
  <c r="L138" i="1" s="1"/>
  <c r="K37" i="1"/>
  <c r="L37" i="1" s="1" a="1"/>
  <c r="L37" i="1" s="1"/>
  <c r="K133" i="1"/>
  <c r="L133" i="1" s="1" a="1"/>
  <c r="L133" i="1" s="1"/>
  <c r="K43" i="1"/>
  <c r="L43" i="1" s="1" a="1"/>
  <c r="L43" i="1" s="1"/>
  <c r="K89" i="1"/>
  <c r="L89" i="1" s="1" a="1"/>
  <c r="L89" i="1" s="1"/>
  <c r="K23" i="1"/>
  <c r="L23" i="1" s="1" a="1"/>
  <c r="L23" i="1" s="1"/>
  <c r="K163" i="1"/>
  <c r="L163" i="1" s="1" a="1"/>
  <c r="L163" i="1" s="1"/>
  <c r="K96" i="1"/>
  <c r="L96" i="1" s="1" a="1"/>
  <c r="L96" i="1" s="1"/>
  <c r="K35" i="1"/>
  <c r="L35" i="1" s="1" a="1"/>
  <c r="L35" i="1" s="1"/>
  <c r="K126" i="1"/>
  <c r="L126" i="1" s="1" a="1"/>
  <c r="L126" i="1" s="1"/>
  <c r="K105" i="1"/>
  <c r="L105" i="1" s="1" a="1"/>
  <c r="L105" i="1" s="1"/>
  <c r="K91" i="1"/>
  <c r="L91" i="1" s="1" a="1"/>
  <c r="L91" i="1" s="1"/>
  <c r="K30" i="1"/>
  <c r="L30" i="1" s="1" a="1"/>
  <c r="L30" i="1" s="1"/>
  <c r="K45" i="1"/>
  <c r="L45" i="1" s="1" a="1"/>
  <c r="L45" i="1" s="1"/>
  <c r="K223" i="1"/>
  <c r="L223" i="1" s="1" a="1"/>
  <c r="L223" i="1" s="1"/>
  <c r="K70" i="1"/>
  <c r="L70" i="1" s="1" a="1"/>
  <c r="L70" i="1" s="1"/>
  <c r="K73" i="1"/>
  <c r="L73" i="1" s="1" a="1"/>
  <c r="L73" i="1" s="1"/>
  <c r="K128" i="1"/>
  <c r="L128" i="1" s="1" a="1"/>
  <c r="L128" i="1" s="1"/>
  <c r="K118" i="1"/>
  <c r="L118" i="1" s="1" a="1"/>
  <c r="L118" i="1" s="1"/>
  <c r="K202" i="1"/>
  <c r="L202" i="1" s="1" a="1"/>
  <c r="L202" i="1" s="1"/>
  <c r="K124" i="1"/>
  <c r="L124" i="1" s="1" a="1"/>
  <c r="L124" i="1" s="1"/>
  <c r="K34" i="1"/>
  <c r="L34" i="1" s="1" a="1"/>
  <c r="L34" i="1" s="1"/>
  <c r="K176" i="1"/>
  <c r="L176" i="1" s="1" a="1"/>
  <c r="L176" i="1" s="1"/>
  <c r="K90" i="1"/>
  <c r="L90" i="1" s="1" a="1"/>
  <c r="L90" i="1" s="1"/>
  <c r="K72" i="1"/>
  <c r="L72" i="1" s="1" a="1"/>
  <c r="L72" i="1" s="1"/>
  <c r="K180" i="1"/>
  <c r="L180" i="1" s="1" a="1"/>
  <c r="L180" i="1" s="1"/>
  <c r="K78" i="1"/>
  <c r="L78" i="1" s="1" a="1"/>
  <c r="L78" i="1" s="1"/>
  <c r="K92" i="1"/>
  <c r="L92" i="1" s="1" a="1"/>
  <c r="L92" i="1" s="1"/>
  <c r="K147" i="1"/>
  <c r="L147" i="1" s="1" a="1"/>
  <c r="L147" i="1" s="1"/>
  <c r="K17" i="1"/>
  <c r="L17" i="1" s="1" a="1"/>
  <c r="L17" i="1" s="1"/>
  <c r="K174" i="1"/>
  <c r="L174" i="1" s="1" a="1"/>
  <c r="L174" i="1" s="1"/>
  <c r="K59" i="1"/>
  <c r="L59" i="1" s="1" a="1"/>
  <c r="L59" i="1" s="1"/>
  <c r="K99" i="1"/>
  <c r="L99" i="1" s="1" a="1"/>
  <c r="L99" i="1" s="1"/>
  <c r="K87" i="1"/>
  <c r="L87" i="1" s="1" a="1"/>
  <c r="L87" i="1" s="1"/>
  <c r="K84" i="1"/>
  <c r="L84" i="1" s="1" a="1"/>
  <c r="L84" i="1" s="1"/>
  <c r="K106" i="1"/>
  <c r="L106" i="1" s="1" a="1"/>
  <c r="L106" i="1" s="1"/>
  <c r="K141" i="1"/>
  <c r="L141" i="1" s="1" a="1"/>
  <c r="L141" i="1" s="1"/>
  <c r="K216" i="1"/>
  <c r="L216" i="1" s="1" a="1"/>
  <c r="L216" i="1" s="1"/>
  <c r="K220" i="1"/>
  <c r="L220" i="1" s="1" a="1"/>
  <c r="L220" i="1" s="1"/>
  <c r="K48" i="1"/>
  <c r="L48" i="1" s="1" a="1"/>
  <c r="L48" i="1" s="1"/>
  <c r="K217" i="1"/>
  <c r="L217" i="1" s="1" a="1"/>
  <c r="L217" i="1" s="1"/>
  <c r="K186" i="1"/>
  <c r="L186" i="1" s="1" a="1"/>
  <c r="L186" i="1" s="1"/>
  <c r="K50" i="1"/>
  <c r="L50" i="1" s="1" a="1"/>
  <c r="L50" i="1" s="1"/>
  <c r="K88" i="1"/>
  <c r="L88" i="1" s="1" a="1"/>
  <c r="L88" i="1" s="1"/>
  <c r="K19" i="1"/>
  <c r="L19" i="1" s="1" a="1"/>
  <c r="L19" i="1" s="1"/>
  <c r="K80" i="1"/>
  <c r="L80" i="1" s="1" a="1"/>
  <c r="L80" i="1" s="1"/>
  <c r="K52" i="1"/>
  <c r="L52" i="1" s="1" a="1"/>
  <c r="L52" i="1" s="1"/>
  <c r="K36" i="1"/>
  <c r="L36" i="1" s="1" a="1"/>
  <c r="L36" i="1" s="1"/>
  <c r="K152" i="1"/>
  <c r="L152" i="1" s="1" a="1"/>
  <c r="L152" i="1" s="1"/>
  <c r="K53" i="1"/>
  <c r="L53" i="1" s="1" a="1"/>
  <c r="L53" i="1" s="1"/>
  <c r="K162" i="1"/>
  <c r="L162" i="1" s="1" a="1"/>
  <c r="L162" i="1" s="1"/>
  <c r="K38" i="1"/>
  <c r="L38" i="1" s="1" a="1"/>
  <c r="L38" i="1" s="1"/>
  <c r="K172" i="1"/>
  <c r="L172" i="1" s="1" a="1"/>
  <c r="L172" i="1" s="1"/>
  <c r="K187" i="1"/>
  <c r="L187" i="1" s="1" a="1"/>
  <c r="L187" i="1" s="1"/>
  <c r="K190" i="1"/>
  <c r="L190" i="1" s="1" a="1"/>
  <c r="L190" i="1" s="1"/>
  <c r="K16" i="1"/>
  <c r="L16" i="1" s="1" a="1"/>
  <c r="L16" i="1" s="1"/>
  <c r="K108" i="1"/>
  <c r="L108" i="1" s="1" a="1"/>
  <c r="L108" i="1" s="1"/>
  <c r="K41" i="1"/>
  <c r="L41" i="1" s="1" a="1"/>
  <c r="L41" i="1" s="1"/>
  <c r="K166" i="1"/>
  <c r="L166" i="1" s="1" a="1"/>
  <c r="L166" i="1" s="1"/>
  <c r="K79" i="1"/>
  <c r="L79" i="1" s="1" a="1"/>
  <c r="L79" i="1" s="1"/>
  <c r="K149" i="1"/>
  <c r="L149" i="1" s="1" a="1"/>
  <c r="L149" i="1" s="1"/>
  <c r="K114" i="1"/>
  <c r="L114" i="1" s="1" a="1"/>
  <c r="L114" i="1" s="1"/>
  <c r="K98" i="1"/>
  <c r="L98" i="1" s="1" a="1"/>
  <c r="L98" i="1" s="1"/>
  <c r="K195" i="1"/>
  <c r="L195" i="1" s="1" a="1"/>
  <c r="L195" i="1" s="1"/>
  <c r="K212" i="1"/>
  <c r="L212" i="1" s="1" a="1"/>
  <c r="L212" i="1" s="1"/>
  <c r="K192" i="1"/>
  <c r="L192" i="1" s="1" a="1"/>
  <c r="L192" i="1" s="1"/>
  <c r="K215" i="1"/>
  <c r="L215" i="1" s="1" a="1"/>
  <c r="L215" i="1" s="1"/>
  <c r="K197" i="1"/>
  <c r="L197" i="1" s="1" a="1"/>
  <c r="L197" i="1" s="1"/>
  <c r="K54" i="1"/>
  <c r="L54" i="1" s="1" a="1"/>
  <c r="L54" i="1" s="1"/>
  <c r="K60" i="1"/>
  <c r="L60" i="1" s="1" a="1"/>
  <c r="L60" i="1" s="1"/>
  <c r="K182" i="1"/>
  <c r="L182" i="1" s="1" a="1"/>
  <c r="L182" i="1" s="1"/>
  <c r="K55" i="1"/>
  <c r="L55" i="1" s="1" a="1"/>
  <c r="L55" i="1" s="1"/>
  <c r="K76" i="1"/>
  <c r="L76" i="1" s="1" a="1"/>
  <c r="L76" i="1" s="1"/>
  <c r="K137" i="1"/>
  <c r="L137" i="1" s="1" a="1"/>
  <c r="L137" i="1" s="1"/>
  <c r="K65" i="1"/>
  <c r="L65" i="1" s="1" a="1"/>
  <c r="L65" i="1" s="1"/>
  <c r="K167" i="1"/>
  <c r="L167" i="1" s="1" a="1"/>
  <c r="L167" i="1" s="1"/>
  <c r="K71" i="1"/>
  <c r="L71" i="1" s="1" a="1"/>
  <c r="L71" i="1" s="1"/>
  <c r="K20" i="1"/>
  <c r="L20" i="1" s="1" a="1"/>
  <c r="L20" i="1" s="1"/>
  <c r="K153" i="1"/>
  <c r="L153" i="1" s="1" a="1"/>
  <c r="L153" i="1" s="1"/>
  <c r="K189" i="1"/>
  <c r="L189" i="1" s="1" a="1"/>
  <c r="L189" i="1" s="1"/>
  <c r="K111" i="1"/>
  <c r="L111" i="1" s="1" a="1"/>
  <c r="L111" i="1" s="1"/>
  <c r="K178" i="1"/>
  <c r="L178" i="1" s="1" a="1"/>
  <c r="L178" i="1" s="1"/>
  <c r="K32" i="1"/>
  <c r="L32" i="1" s="1" a="1"/>
  <c r="L32" i="1" s="1"/>
  <c r="K169" i="1"/>
  <c r="L169" i="1" s="1" a="1"/>
  <c r="L169" i="1" s="1"/>
  <c r="K209" i="1"/>
  <c r="L209" i="1" s="1" a="1"/>
  <c r="L209" i="1" s="1"/>
  <c r="K155" i="1"/>
  <c r="L155" i="1" s="1" a="1"/>
  <c r="L155" i="1" s="1"/>
  <c r="K199" i="1"/>
  <c r="L199" i="1" s="1" a="1"/>
  <c r="L199" i="1" s="1"/>
  <c r="K25" i="1"/>
  <c r="L25" i="1" s="1" a="1"/>
  <c r="L25" i="1" s="1"/>
  <c r="K77" i="1"/>
  <c r="L77" i="1" s="1" a="1"/>
  <c r="L77" i="1" s="1"/>
  <c r="K142" i="1"/>
  <c r="L142" i="1" s="1" a="1"/>
  <c r="L142" i="1" s="1"/>
  <c r="K66" i="1"/>
  <c r="L66" i="1" s="1" a="1"/>
  <c r="L66" i="1" s="1"/>
  <c r="K94" i="1"/>
  <c r="L94" i="1" s="1" a="1"/>
  <c r="L94" i="1" s="1"/>
  <c r="K175" i="1"/>
  <c r="L175" i="1" s="1" a="1"/>
  <c r="L175" i="1" s="1"/>
  <c r="K122" i="1"/>
  <c r="L122" i="1" s="1" a="1"/>
  <c r="L122" i="1" s="1"/>
  <c r="K119" i="1"/>
  <c r="L119" i="1" s="1" a="1"/>
  <c r="L119" i="1" s="1"/>
  <c r="K120" i="1"/>
  <c r="L120" i="1" s="1" a="1"/>
  <c r="L120" i="1" s="1"/>
  <c r="K194" i="1"/>
  <c r="L194" i="1" s="1" a="1"/>
  <c r="L194" i="1" s="1"/>
  <c r="K154" i="1"/>
  <c r="L154" i="1" s="1" a="1"/>
  <c r="L154" i="1" s="1"/>
  <c r="K18" i="1"/>
  <c r="L18" i="1" s="1" a="1"/>
  <c r="L18" i="1" s="1"/>
  <c r="K47" i="1"/>
  <c r="L47" i="1" s="1" a="1"/>
  <c r="L47" i="1" s="1"/>
  <c r="K42" i="1"/>
  <c r="L42" i="1" s="1" a="1"/>
  <c r="L42" i="1" s="1"/>
  <c r="K21" i="1"/>
  <c r="L21" i="1" s="1" a="1"/>
  <c r="L21" i="1" s="1"/>
  <c r="K31" i="1"/>
  <c r="L31" i="1" s="1" a="1"/>
  <c r="L31" i="1" s="1"/>
  <c r="K204" i="1"/>
  <c r="L204" i="1" s="1" a="1"/>
  <c r="L204" i="1" s="1"/>
  <c r="K74" i="1"/>
  <c r="L74" i="1" s="1" a="1"/>
  <c r="L74" i="1" s="1"/>
  <c r="K170" i="1"/>
  <c r="L170" i="1" s="1" a="1"/>
  <c r="L170" i="1" s="1"/>
  <c r="K28" i="1"/>
  <c r="L28" i="1" s="1" a="1"/>
  <c r="L28" i="1" s="1"/>
  <c r="K151" i="1"/>
  <c r="L151" i="1" s="1" a="1"/>
  <c r="L151" i="1" s="1"/>
  <c r="K135" i="1"/>
  <c r="L135" i="1" s="1" a="1"/>
  <c r="L135" i="1" s="1"/>
  <c r="K150" i="1"/>
  <c r="L150" i="1" s="1" a="1"/>
  <c r="L150" i="1" s="1"/>
  <c r="K134" i="1"/>
  <c r="L134" i="1" s="1" a="1"/>
  <c r="L134" i="1" s="1"/>
  <c r="K75" i="1"/>
  <c r="L75" i="1" s="1" a="1"/>
  <c r="L75" i="1" s="1"/>
  <c r="K222" i="1"/>
  <c r="L222" i="1" s="1" a="1"/>
  <c r="L222" i="1" s="1"/>
  <c r="K145" i="1"/>
  <c r="L145" i="1" s="1" a="1"/>
  <c r="L145" i="1" s="1"/>
  <c r="K125" i="1"/>
  <c r="L125" i="1" s="1" a="1"/>
  <c r="L125" i="1" s="1"/>
  <c r="K146" i="1"/>
  <c r="L146" i="1" s="1" a="1"/>
  <c r="L146" i="1" s="1"/>
  <c r="K40" i="1"/>
  <c r="L40" i="1" s="1" a="1"/>
  <c r="L40" i="1" s="1"/>
  <c r="K156" i="1"/>
  <c r="L156" i="1" s="1" a="1"/>
  <c r="L156" i="1" s="1"/>
  <c r="K171" i="1"/>
  <c r="L171" i="1" s="1" a="1"/>
  <c r="L171" i="1" s="1"/>
  <c r="K69" i="1"/>
  <c r="L69" i="1" s="1" a="1"/>
  <c r="L69" i="1" s="1"/>
  <c r="K205" i="1"/>
  <c r="L205" i="1" s="1" a="1"/>
  <c r="L205" i="1" s="1"/>
  <c r="K211" i="1"/>
  <c r="L211" i="1" s="1" a="1"/>
  <c r="L211" i="1" s="1"/>
  <c r="K110" i="1"/>
  <c r="L110" i="1" s="1" a="1"/>
  <c r="L110" i="1" s="1"/>
  <c r="K95" i="1"/>
  <c r="L95" i="1" s="1" a="1"/>
  <c r="L95" i="1" s="1"/>
  <c r="K179" i="1"/>
  <c r="L179" i="1" s="1" a="1"/>
  <c r="L179" i="1" s="1"/>
  <c r="K102" i="1"/>
  <c r="L102" i="1" s="1" a="1"/>
  <c r="L102" i="1" s="1"/>
  <c r="K49" i="1"/>
  <c r="L49" i="1" s="1" a="1"/>
  <c r="L49" i="1" s="1"/>
  <c r="K196" i="1"/>
  <c r="L196" i="1" s="1" a="1"/>
  <c r="L196" i="1" s="1"/>
  <c r="K214" i="1"/>
  <c r="L214" i="1" s="1" a="1"/>
  <c r="L214" i="1" s="1"/>
  <c r="K165" i="1"/>
  <c r="L165" i="1" s="1" a="1"/>
  <c r="L165" i="1" s="1"/>
  <c r="K181" i="1"/>
  <c r="L181" i="1" s="1" a="1"/>
  <c r="L181" i="1" s="1"/>
  <c r="K101" i="1"/>
  <c r="L101" i="1" s="1" a="1"/>
  <c r="L101" i="1" s="1"/>
  <c r="K130" i="1"/>
  <c r="L130" i="1" s="1" a="1"/>
  <c r="L130" i="1" s="1"/>
  <c r="K26" i="1"/>
  <c r="L26" i="1" s="1" a="1"/>
  <c r="L26" i="1" s="1"/>
  <c r="K44" i="1"/>
  <c r="L44" i="1" s="1" a="1"/>
  <c r="L44" i="1" s="1"/>
  <c r="K203" i="1"/>
  <c r="L203" i="1" s="1" a="1"/>
  <c r="L203" i="1" s="1"/>
  <c r="K161" i="1"/>
  <c r="L161" i="1" s="1" a="1"/>
  <c r="L161" i="1" s="1"/>
  <c r="K206" i="1"/>
  <c r="L206" i="1" s="1" a="1"/>
  <c r="L206" i="1" s="1"/>
  <c r="K62" i="1"/>
  <c r="L62" i="1" s="1" a="1"/>
  <c r="L62" i="1" s="1"/>
  <c r="K160" i="1"/>
  <c r="L160" i="1" s="1" a="1"/>
  <c r="L160" i="1" s="1"/>
  <c r="K104" i="1"/>
  <c r="L104" i="1" s="1" a="1"/>
  <c r="L104" i="1" s="1"/>
  <c r="K131" i="1"/>
  <c r="L131" i="1" s="1" a="1"/>
  <c r="L131" i="1" s="1"/>
  <c r="K81" i="1"/>
  <c r="L81" i="1" s="1" a="1"/>
  <c r="L81" i="1" s="1"/>
  <c r="K97" i="1"/>
  <c r="L97" i="1" s="1" a="1"/>
  <c r="L97" i="1" s="1"/>
  <c r="K168" i="1"/>
  <c r="L168" i="1" s="1" a="1"/>
  <c r="L168" i="1" s="1"/>
  <c r="K68" i="1"/>
  <c r="L68" i="1" s="1" a="1"/>
  <c r="L68" i="1" s="1"/>
  <c r="K139" i="1"/>
  <c r="L139" i="1" s="1" a="1"/>
  <c r="L139" i="1" s="1"/>
  <c r="K159" i="1"/>
  <c r="L159" i="1" s="1" a="1"/>
  <c r="L159" i="1" s="1"/>
  <c r="K148" i="1"/>
  <c r="L148" i="1" s="1" a="1"/>
  <c r="L148" i="1" s="1"/>
  <c r="K164" i="1"/>
  <c r="L164" i="1" s="1" a="1"/>
  <c r="L164" i="1" s="1"/>
  <c r="K58" i="1"/>
  <c r="L58" i="1" s="1" a="1"/>
  <c r="L58" i="1" s="1"/>
  <c r="K140" i="1"/>
  <c r="L140" i="1" s="1" a="1"/>
  <c r="L140" i="1" s="1"/>
  <c r="K83" i="1"/>
  <c r="L83" i="1" s="1" a="1"/>
  <c r="L83" i="1" s="1"/>
  <c r="K46" i="1"/>
  <c r="L46" i="1" s="1" a="1"/>
  <c r="L46" i="1" s="1"/>
  <c r="K129" i="1"/>
  <c r="L129" i="1" s="1" a="1"/>
  <c r="L129" i="1" s="1"/>
  <c r="K113" i="1"/>
  <c r="L113" i="1" s="1" a="1"/>
  <c r="L113" i="1" s="1"/>
  <c r="K198" i="1"/>
  <c r="L198" i="1" s="1" a="1"/>
  <c r="L198" i="1" s="1"/>
  <c r="K115" i="1"/>
  <c r="L115" i="1" s="1" a="1"/>
  <c r="L115" i="1" s="1"/>
  <c r="K27" i="1"/>
  <c r="L27" i="1" s="1" a="1"/>
  <c r="L27" i="1" s="1"/>
  <c r="K93" i="1"/>
  <c r="L93" i="1" s="1" a="1"/>
  <c r="L93" i="1" s="1"/>
  <c r="K51" i="1"/>
  <c r="L51" i="1" s="1" a="1"/>
  <c r="L51" i="1" s="1"/>
  <c r="K100" i="1"/>
  <c r="L100" i="1" s="1" a="1"/>
  <c r="L100" i="1" s="1"/>
  <c r="K177" i="1"/>
  <c r="L177" i="1" s="1" a="1"/>
  <c r="L177" i="1" s="1"/>
  <c r="K15" i="1"/>
  <c r="L15" i="1" s="1" a="1"/>
  <c r="L15" i="1" s="1"/>
  <c r="K24" i="1"/>
  <c r="L24" i="1" s="1" a="1"/>
  <c r="L24" i="1" s="1"/>
  <c r="K136" i="1"/>
  <c r="L136" i="1" s="1" a="1"/>
  <c r="L136" i="1" s="1"/>
  <c r="K63" i="1"/>
  <c r="L63" i="1" s="1" a="1"/>
  <c r="L63" i="1" s="1"/>
  <c r="K208" i="1"/>
  <c r="L208" i="1" s="1" a="1"/>
  <c r="L208" i="1" s="1"/>
  <c r="K61" i="1"/>
  <c r="L61" i="1" s="1" a="1"/>
  <c r="L61" i="1" s="1"/>
  <c r="K85" i="1"/>
  <c r="L85" i="1" s="1" a="1"/>
  <c r="L85" i="1" s="1"/>
  <c r="K157" i="1"/>
  <c r="L157" i="1" s="1" a="1"/>
  <c r="L157" i="1" s="1"/>
  <c r="K117" i="1"/>
  <c r="L117" i="1" s="1" a="1"/>
  <c r="L117" i="1" s="1"/>
  <c r="K184" i="1"/>
  <c r="L184" i="1" s="1" a="1"/>
  <c r="L184" i="1" s="1"/>
  <c r="K188" i="1"/>
  <c r="L188" i="1" s="1" a="1"/>
  <c r="L188" i="1" s="1"/>
  <c r="K219" i="1"/>
  <c r="L219" i="1" s="1" a="1"/>
  <c r="L219" i="1" s="1"/>
  <c r="K191" i="1"/>
  <c r="L191" i="1" s="1" a="1"/>
  <c r="L191" i="1" s="1"/>
  <c r="K158" i="1"/>
  <c r="L158" i="1" s="1" a="1"/>
  <c r="L158" i="1" s="1"/>
  <c r="K210" i="1"/>
  <c r="L210" i="1" s="1" a="1"/>
  <c r="L210" i="1" s="1"/>
  <c r="K116" i="1"/>
  <c r="L116" i="1" s="1" a="1"/>
  <c r="L116" i="1" s="1"/>
  <c r="K56" i="1"/>
  <c r="L56" i="1" s="1" a="1"/>
  <c r="L56" i="1" s="1"/>
  <c r="K143" i="1"/>
  <c r="L143" i="1" s="1" a="1"/>
  <c r="L143" i="1" s="1"/>
  <c r="K221" i="1"/>
  <c r="L221" i="1" s="1" a="1"/>
  <c r="L221" i="1" s="1"/>
  <c r="K213" i="1"/>
  <c r="L213" i="1" s="1" a="1"/>
  <c r="L213" i="1" s="1"/>
  <c r="K112" i="1"/>
  <c r="L112" i="1" s="1" a="1"/>
  <c r="L112" i="1" s="1"/>
  <c r="K200" i="1"/>
  <c r="L200" i="1" s="1" a="1"/>
  <c r="L200" i="1" s="1"/>
  <c r="K67" i="1"/>
  <c r="L67" i="1" s="1" a="1"/>
  <c r="L67" i="1" s="1"/>
  <c r="K201" i="1"/>
  <c r="L201" i="1" s="1" a="1"/>
  <c r="L201" i="1" s="1"/>
  <c r="K64" i="1"/>
  <c r="L64" i="1" s="1" a="1"/>
  <c r="L64" i="1" s="1"/>
  <c r="K224" i="1"/>
  <c r="L224" i="1" s="1" a="1"/>
  <c r="L224" i="1" s="1"/>
  <c r="K173" i="1"/>
  <c r="L173" i="1" s="1" a="1"/>
  <c r="L173" i="1" s="1"/>
  <c r="H174" i="1"/>
  <c r="H217" i="1"/>
  <c r="H132" i="1"/>
  <c r="H72" i="1"/>
  <c r="H188" i="1"/>
  <c r="H79" i="1"/>
  <c r="H167" i="1"/>
  <c r="H199" i="1"/>
  <c r="H25" i="1"/>
  <c r="H171" i="1"/>
  <c r="H102" i="1"/>
  <c r="H173" i="1"/>
  <c r="H159" i="1"/>
  <c r="H218" i="1"/>
  <c r="H158" i="1"/>
  <c r="H216" i="1"/>
  <c r="H22" i="1"/>
  <c r="H202" i="1"/>
  <c r="H162" i="1"/>
  <c r="H95" i="1"/>
  <c r="H165" i="1"/>
  <c r="H186" i="1"/>
  <c r="H183" i="1"/>
  <c r="H134" i="1"/>
  <c r="H150" i="1"/>
  <c r="H23" i="1"/>
  <c r="H36" i="1"/>
  <c r="H120" i="1"/>
  <c r="H18" i="1"/>
  <c r="H116" i="1"/>
  <c r="H64" i="1"/>
  <c r="H73" i="1"/>
  <c r="H55" i="1"/>
  <c r="H63" i="1"/>
  <c r="H61" i="1"/>
  <c r="H133" i="1"/>
  <c r="H16" i="1"/>
  <c r="H212" i="1"/>
  <c r="H215" i="1"/>
  <c r="H197" i="1"/>
  <c r="H32" i="1"/>
  <c r="H62" i="1"/>
  <c r="H74" i="1"/>
  <c r="H154" i="1"/>
  <c r="H60" i="1"/>
  <c r="H118" i="1"/>
  <c r="H87" i="1"/>
  <c r="H115" i="1"/>
  <c r="H189" i="1"/>
  <c r="H43" i="1"/>
  <c r="H100" i="1"/>
  <c r="H15" i="1"/>
  <c r="H136" i="1"/>
  <c r="H67" i="1"/>
  <c r="H121" i="1"/>
  <c r="H20" i="1"/>
  <c r="H119" i="1"/>
  <c r="H101" i="1"/>
  <c r="H71" i="1"/>
  <c r="H190" i="1"/>
  <c r="H117" i="1"/>
  <c r="H126" i="1"/>
  <c r="H223" i="1"/>
  <c r="H128" i="1"/>
  <c r="H78" i="1"/>
  <c r="H41" i="1"/>
  <c r="H65" i="1"/>
  <c r="H75" i="1"/>
  <c r="H148" i="1"/>
  <c r="H193" i="1"/>
  <c r="H195" i="1"/>
  <c r="H107" i="1"/>
  <c r="H96" i="1"/>
  <c r="H180" i="1"/>
  <c r="H88" i="1"/>
  <c r="H114" i="1"/>
  <c r="H179" i="1"/>
  <c r="H83" i="1"/>
  <c r="H57" i="1"/>
  <c r="H19" i="1"/>
  <c r="H111" i="1"/>
  <c r="H45" i="1"/>
  <c r="H84" i="1"/>
  <c r="H44" i="1"/>
  <c r="H46" i="1"/>
  <c r="H50" i="1"/>
  <c r="H156" i="1"/>
  <c r="H49" i="1"/>
  <c r="H24" i="1"/>
  <c r="H91" i="1"/>
  <c r="H164" i="1"/>
  <c r="H210" i="1"/>
  <c r="H153" i="1"/>
  <c r="H155" i="1"/>
  <c r="H204" i="1"/>
  <c r="H205" i="1"/>
  <c r="H203" i="1"/>
  <c r="H206" i="1"/>
  <c r="H143" i="1"/>
  <c r="H82" i="1"/>
  <c r="H68" i="1"/>
  <c r="H33" i="1"/>
  <c r="H105" i="1"/>
  <c r="H139" i="1"/>
  <c r="H178" i="1"/>
  <c r="H138" i="1"/>
  <c r="H92" i="1"/>
  <c r="H220" i="1"/>
  <c r="H80" i="1"/>
  <c r="H140" i="1"/>
  <c r="H219" i="1"/>
  <c r="H172" i="1"/>
  <c r="H69" i="1"/>
  <c r="H86" i="1"/>
  <c r="H108" i="1"/>
  <c r="H145" i="1"/>
  <c r="H146" i="1"/>
  <c r="H81" i="1"/>
  <c r="H168" i="1"/>
  <c r="H124" i="1"/>
  <c r="H125" i="1"/>
  <c r="H31" i="1"/>
  <c r="H28" i="1"/>
  <c r="H161" i="1"/>
  <c r="H160" i="1"/>
  <c r="H104" i="1"/>
  <c r="H90" i="1"/>
  <c r="H198" i="1"/>
  <c r="H27" i="1"/>
  <c r="H89" i="1"/>
  <c r="H196" i="1"/>
  <c r="H141" i="1"/>
  <c r="H109" i="1"/>
  <c r="H21" i="1"/>
  <c r="H211" i="1"/>
  <c r="H110" i="1"/>
  <c r="H194" i="1"/>
  <c r="H157" i="1"/>
  <c r="H191" i="1"/>
  <c r="H144" i="1"/>
  <c r="H85" i="1"/>
  <c r="H169" i="1"/>
  <c r="H192" i="1"/>
  <c r="H94" i="1"/>
  <c r="H166" i="1"/>
  <c r="H17" i="1"/>
  <c r="H222" i="1"/>
  <c r="H163" i="1"/>
  <c r="H48" i="1"/>
  <c r="H98" i="1"/>
  <c r="H47" i="1"/>
  <c r="H170" i="1"/>
  <c r="H149" i="1"/>
  <c r="H37" i="1"/>
  <c r="H53" i="1"/>
  <c r="H54" i="1"/>
  <c r="H113" i="1"/>
  <c r="H147" i="1"/>
  <c r="H66" i="1"/>
  <c r="H42" i="1"/>
  <c r="H40" i="1"/>
  <c r="H99" i="1"/>
  <c r="H56" i="1"/>
  <c r="H70" i="1"/>
  <c r="H35" i="1"/>
  <c r="H127" i="1"/>
  <c r="H130" i="1"/>
  <c r="H131" i="1"/>
  <c r="H129" i="1"/>
  <c r="H34" i="1"/>
  <c r="H52" i="1"/>
  <c r="H59" i="1"/>
  <c r="H58" i="1"/>
  <c r="H51" i="1"/>
  <c r="H176" i="1"/>
  <c r="H137" i="1"/>
  <c r="H93" i="1"/>
  <c r="H177" i="1"/>
  <c r="H184" i="1"/>
  <c r="H185" i="1"/>
  <c r="H200" i="1"/>
  <c r="H201" i="1"/>
  <c r="H209" i="1"/>
  <c r="H152" i="1"/>
  <c r="H187" i="1"/>
  <c r="H29" i="1"/>
  <c r="H38" i="1"/>
  <c r="H106" i="1"/>
  <c r="H122" i="1"/>
  <c r="H77" i="1"/>
  <c r="H151" i="1"/>
  <c r="H97" i="1"/>
  <c r="H112" i="1"/>
  <c r="H76" i="1"/>
  <c r="H175" i="1"/>
  <c r="H214" i="1"/>
  <c r="H26" i="1"/>
  <c r="H182" i="1"/>
  <c r="H181" i="1"/>
  <c r="H213" i="1"/>
  <c r="H142" i="1"/>
  <c r="H221" i="1"/>
  <c r="H224" i="1"/>
  <c r="H30" i="1"/>
  <c r="H208" i="1"/>
  <c r="H207" i="1"/>
  <c r="P207" i="1"/>
  <c r="P217" i="1"/>
  <c r="P72" i="1"/>
  <c r="P79" i="1"/>
  <c r="P167" i="1"/>
  <c r="P25" i="1"/>
  <c r="P102" i="1"/>
  <c r="P173" i="1"/>
  <c r="P159" i="1"/>
  <c r="P218" i="1"/>
  <c r="P158" i="1"/>
  <c r="P216" i="1"/>
  <c r="P22" i="1"/>
  <c r="P202" i="1"/>
  <c r="P162" i="1"/>
  <c r="P95" i="1"/>
  <c r="P165" i="1"/>
  <c r="P186" i="1"/>
  <c r="P183" i="1"/>
  <c r="P150" i="1"/>
  <c r="P23" i="1"/>
  <c r="P36" i="1"/>
  <c r="P120" i="1"/>
  <c r="P18" i="1"/>
  <c r="P116" i="1"/>
  <c r="P64" i="1"/>
  <c r="P73" i="1"/>
  <c r="P55" i="1"/>
  <c r="P63" i="1"/>
  <c r="P61" i="1"/>
  <c r="P133" i="1"/>
  <c r="P16" i="1"/>
  <c r="P212" i="1"/>
  <c r="P215" i="1"/>
  <c r="P197" i="1"/>
  <c r="P32" i="1"/>
  <c r="P62" i="1"/>
  <c r="P74" i="1"/>
  <c r="P154" i="1"/>
  <c r="P60" i="1"/>
  <c r="P118" i="1"/>
  <c r="P87" i="1"/>
  <c r="P115" i="1"/>
  <c r="P135" i="1"/>
  <c r="P189" i="1"/>
  <c r="P43" i="1"/>
  <c r="P100" i="1"/>
  <c r="P15" i="1"/>
  <c r="P67" i="1"/>
  <c r="P121" i="1"/>
  <c r="P20" i="1"/>
  <c r="P101" i="1"/>
  <c r="P71" i="1"/>
  <c r="P117" i="1"/>
  <c r="P126" i="1"/>
  <c r="P128" i="1"/>
  <c r="P78" i="1"/>
  <c r="P41" i="1"/>
  <c r="P65" i="1"/>
  <c r="P75" i="1"/>
  <c r="P148" i="1"/>
  <c r="P193" i="1"/>
  <c r="P195" i="1"/>
  <c r="P107" i="1"/>
  <c r="P96" i="1"/>
  <c r="P180" i="1"/>
  <c r="P88" i="1"/>
  <c r="P114" i="1"/>
  <c r="P179" i="1"/>
  <c r="P83" i="1"/>
  <c r="P57" i="1"/>
  <c r="P19" i="1"/>
  <c r="P111" i="1"/>
  <c r="P45" i="1"/>
  <c r="P84" i="1"/>
  <c r="P46" i="1"/>
  <c r="P50" i="1"/>
  <c r="P156" i="1"/>
  <c r="P24" i="1"/>
  <c r="P91" i="1"/>
  <c r="P164" i="1"/>
  <c r="P210" i="1"/>
  <c r="P155" i="1"/>
  <c r="P204" i="1"/>
  <c r="P205" i="1"/>
  <c r="P203" i="1"/>
  <c r="P206" i="1"/>
  <c r="P143" i="1"/>
  <c r="P82" i="1"/>
  <c r="P68" i="1"/>
  <c r="P33" i="1"/>
  <c r="P105" i="1"/>
  <c r="P139" i="1"/>
  <c r="P178" i="1"/>
  <c r="P138" i="1"/>
  <c r="P92" i="1"/>
  <c r="P80" i="1"/>
  <c r="P140" i="1"/>
  <c r="P219" i="1"/>
  <c r="P172" i="1"/>
  <c r="P69" i="1"/>
  <c r="P86" i="1"/>
  <c r="P108" i="1"/>
  <c r="P145" i="1"/>
  <c r="P146" i="1"/>
  <c r="P168" i="1"/>
  <c r="P124" i="1"/>
  <c r="P125" i="1"/>
  <c r="P28" i="1"/>
  <c r="P161" i="1"/>
  <c r="P160" i="1"/>
  <c r="P104" i="1"/>
  <c r="P90" i="1"/>
  <c r="P198" i="1"/>
  <c r="P89" i="1"/>
  <c r="P196" i="1"/>
  <c r="P141" i="1"/>
  <c r="P109" i="1"/>
  <c r="P21" i="1"/>
  <c r="P211" i="1"/>
  <c r="P110" i="1"/>
  <c r="P194" i="1"/>
  <c r="P157" i="1"/>
  <c r="P191" i="1"/>
  <c r="P144" i="1"/>
  <c r="P85" i="1"/>
  <c r="P169" i="1"/>
  <c r="P192" i="1"/>
  <c r="P94" i="1"/>
  <c r="P166" i="1"/>
  <c r="P17" i="1"/>
  <c r="P222" i="1"/>
  <c r="P48" i="1"/>
  <c r="P47" i="1"/>
  <c r="P170" i="1"/>
  <c r="P149" i="1"/>
  <c r="P37" i="1"/>
  <c r="P53" i="1"/>
  <c r="P54" i="1"/>
  <c r="P113" i="1"/>
  <c r="P147" i="1"/>
  <c r="P66" i="1"/>
  <c r="P42" i="1"/>
  <c r="P40" i="1"/>
  <c r="P99" i="1"/>
  <c r="P56" i="1"/>
  <c r="P70" i="1"/>
  <c r="P35" i="1"/>
  <c r="P130" i="1"/>
  <c r="P131" i="1"/>
  <c r="P129" i="1"/>
  <c r="P34" i="1"/>
  <c r="P52" i="1"/>
  <c r="P59" i="1"/>
  <c r="P51" i="1"/>
  <c r="P137" i="1"/>
  <c r="P93" i="1"/>
  <c r="P177" i="1"/>
  <c r="P184" i="1"/>
  <c r="P185" i="1"/>
  <c r="P200" i="1"/>
  <c r="P201" i="1"/>
  <c r="P209" i="1"/>
  <c r="P152" i="1"/>
  <c r="P187" i="1"/>
  <c r="P29" i="1"/>
  <c r="P38" i="1"/>
  <c r="P106" i="1"/>
  <c r="P122" i="1"/>
  <c r="P77" i="1"/>
  <c r="P151" i="1"/>
  <c r="P97" i="1"/>
  <c r="P112" i="1"/>
  <c r="P76" i="1"/>
  <c r="P175" i="1"/>
  <c r="P214" i="1"/>
  <c r="P26" i="1"/>
  <c r="P181" i="1"/>
  <c r="P213" i="1"/>
  <c r="P142" i="1"/>
  <c r="P224" i="1"/>
  <c r="P30" i="1"/>
  <c r="P208" i="1"/>
  <c r="F75" i="4" l="1"/>
  <c r="F95" i="4"/>
  <c r="F112" i="4"/>
  <c r="F53" i="4"/>
  <c r="F23" i="4"/>
  <c r="F39" i="4"/>
  <c r="F119" i="4"/>
  <c r="F68" i="4"/>
  <c r="F45" i="4"/>
  <c r="F26" i="4"/>
  <c r="F31" i="4"/>
  <c r="F51" i="4"/>
  <c r="F18" i="4"/>
  <c r="F115" i="4"/>
  <c r="F59" i="4"/>
  <c r="F70" i="4"/>
  <c r="F19" i="4"/>
  <c r="F80" i="4"/>
  <c r="F34" i="4"/>
  <c r="F79" i="4"/>
  <c r="F57" i="4"/>
  <c r="F123" i="4"/>
  <c r="F35" i="4"/>
  <c r="F78" i="4"/>
  <c r="F111" i="4"/>
  <c r="F11" i="4"/>
  <c r="F120" i="4"/>
  <c r="F82" i="4"/>
  <c r="F58" i="4"/>
  <c r="F36" i="4"/>
  <c r="F49" i="4"/>
  <c r="F12" i="4"/>
  <c r="F16" i="4"/>
  <c r="F32" i="4"/>
  <c r="F37" i="4"/>
  <c r="F40" i="4"/>
  <c r="F61" i="4"/>
  <c r="F25" i="4"/>
  <c r="F52" i="4"/>
  <c r="F38" i="4"/>
  <c r="F54" i="4"/>
  <c r="F121" i="4"/>
  <c r="F87" i="4"/>
  <c r="F33" i="4"/>
  <c r="F94" i="4"/>
  <c r="F118" i="4"/>
  <c r="F96" i="4"/>
  <c r="F91" i="4"/>
  <c r="F65" i="4"/>
  <c r="F20" i="4"/>
  <c r="F8" i="4"/>
  <c r="F88" i="4"/>
  <c r="F48" i="4"/>
  <c r="F84" i="4"/>
  <c r="F89" i="4"/>
  <c r="F17" i="4"/>
  <c r="F72" i="4"/>
  <c r="F113" i="4"/>
  <c r="F50" i="4"/>
  <c r="F21" i="4"/>
  <c r="F41" i="4"/>
  <c r="F66" i="4"/>
  <c r="F110" i="4"/>
  <c r="F122" i="4"/>
  <c r="F24" i="4"/>
  <c r="F55" i="4"/>
  <c r="F42" i="4"/>
  <c r="F117" i="4"/>
  <c r="F73" i="4"/>
  <c r="F64" i="4"/>
  <c r="F9" i="4"/>
  <c r="F27" i="4"/>
  <c r="F56" i="4"/>
  <c r="F99" i="4"/>
  <c r="F71" i="4"/>
  <c r="F93" i="4"/>
  <c r="F14" i="4"/>
  <c r="F29" i="4"/>
  <c r="F47" i="4"/>
  <c r="F67" i="4"/>
  <c r="F62" i="4"/>
  <c r="F109" i="4"/>
  <c r="F86" i="4"/>
  <c r="F43" i="4"/>
  <c r="F98" i="4"/>
  <c r="F15" i="4"/>
  <c r="F77" i="4"/>
  <c r="F10" i="4"/>
  <c r="F97" i="4"/>
  <c r="F28" i="4"/>
  <c r="F85" i="4"/>
  <c r="F60" i="4"/>
  <c r="F69" i="4"/>
  <c r="F90" i="4"/>
  <c r="F13" i="4"/>
  <c r="F22" i="4"/>
  <c r="F44" i="4"/>
  <c r="F63" i="4"/>
  <c r="F116" i="4"/>
  <c r="F114" i="4"/>
  <c r="F81" i="4"/>
  <c r="F92" i="4"/>
  <c r="F76" i="4"/>
  <c r="F7" i="4"/>
  <c r="F46" i="4"/>
  <c r="F30" i="4"/>
  <c r="F83" i="4"/>
  <c r="F8" i="3"/>
  <c r="F45" i="2"/>
  <c r="F48" i="2"/>
  <c r="F62" i="2"/>
  <c r="F42" i="2"/>
  <c r="F38" i="2"/>
  <c r="F22" i="2"/>
  <c r="F51" i="2"/>
  <c r="F46" i="2"/>
  <c r="F44" i="2"/>
  <c r="F17" i="2"/>
  <c r="F29" i="2"/>
  <c r="F32" i="2"/>
  <c r="F61" i="2"/>
  <c r="F37" i="2"/>
  <c r="F39" i="2"/>
  <c r="F54" i="2"/>
  <c r="F27" i="2"/>
  <c r="F23" i="2"/>
  <c r="F59" i="2"/>
  <c r="F43" i="2"/>
  <c r="F33" i="2"/>
  <c r="F31" i="2"/>
  <c r="F49" i="2"/>
  <c r="F15" i="2"/>
  <c r="F41" i="2"/>
  <c r="F18" i="2"/>
  <c r="F16" i="2"/>
  <c r="F14" i="2"/>
  <c r="F47" i="2"/>
  <c r="F30" i="2"/>
  <c r="F60" i="2"/>
  <c r="F19" i="2"/>
  <c r="F20" i="2"/>
  <c r="F28" i="2"/>
  <c r="F53" i="2"/>
  <c r="F57" i="2"/>
  <c r="F63" i="2"/>
  <c r="F58" i="2"/>
  <c r="F36" i="3"/>
  <c r="F38" i="3"/>
  <c r="F28" i="3"/>
  <c r="F22" i="3"/>
  <c r="F37" i="3"/>
  <c r="F30" i="3"/>
  <c r="F16" i="3"/>
  <c r="F41" i="3"/>
  <c r="F7" i="3"/>
  <c r="F35" i="3"/>
  <c r="F33" i="3"/>
  <c r="F25" i="3"/>
  <c r="F31" i="3"/>
  <c r="F27" i="3"/>
  <c r="F40" i="3"/>
  <c r="F10" i="3"/>
  <c r="F20" i="3"/>
  <c r="F9" i="3"/>
  <c r="F21" i="3"/>
  <c r="F24" i="3"/>
  <c r="F15" i="3"/>
  <c r="F14" i="3"/>
  <c r="F29" i="3"/>
  <c r="F39" i="3"/>
  <c r="F18" i="3"/>
  <c r="F19" i="3"/>
  <c r="F23" i="3"/>
  <c r="F11" i="3"/>
  <c r="F12" i="3"/>
  <c r="F17" i="3"/>
  <c r="F26" i="3"/>
  <c r="F32" i="3"/>
  <c r="F13"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18" i="4" s="1"/>
  <c r="W43" i="10"/>
  <c r="Z43" i="10"/>
  <c r="U44" i="10"/>
  <c r="V44" i="10"/>
  <c r="I21" i="4" s="1"/>
  <c r="W44" i="10"/>
  <c r="Z44" i="10"/>
  <c r="U45" i="10"/>
  <c r="V45" i="10"/>
  <c r="I41" i="4" s="1"/>
  <c r="W45" i="10"/>
  <c r="Z45" i="10"/>
  <c r="U46" i="10"/>
  <c r="V46" i="10"/>
  <c r="I42" i="4" s="1"/>
  <c r="W46" i="10"/>
  <c r="Z46" i="10"/>
  <c r="U47" i="10"/>
  <c r="V47" i="10"/>
  <c r="I48" i="4" s="1"/>
  <c r="W47" i="10"/>
  <c r="Z47" i="10"/>
  <c r="U48" i="10"/>
  <c r="V48" i="10"/>
  <c r="I83" i="4" s="1"/>
  <c r="W48" i="10"/>
  <c r="Z48" i="10"/>
  <c r="U49" i="10"/>
  <c r="V49" i="10"/>
  <c r="I110" i="4" s="1"/>
  <c r="W49" i="10"/>
  <c r="Z49" i="10"/>
  <c r="U50" i="10"/>
  <c r="V50" i="10"/>
  <c r="I8" i="4" s="1"/>
  <c r="W50" i="10"/>
  <c r="Z50" i="10"/>
  <c r="U51" i="10"/>
  <c r="V51" i="10"/>
  <c r="I10" i="4" s="1"/>
  <c r="W51" i="10"/>
  <c r="Z51" i="10"/>
  <c r="U52" i="10"/>
  <c r="V52" i="10"/>
  <c r="I13" i="4" s="1"/>
  <c r="W52" i="10"/>
  <c r="Z52" i="10"/>
  <c r="U53" i="10"/>
  <c r="V53" i="10"/>
  <c r="I68" i="4" s="1"/>
  <c r="W53" i="10"/>
  <c r="Z53" i="10"/>
  <c r="U54" i="10"/>
  <c r="V54" i="10"/>
  <c r="I62" i="4" s="1"/>
  <c r="W54" i="10"/>
  <c r="Z54" i="10"/>
  <c r="U55" i="10"/>
  <c r="V55" i="10"/>
  <c r="I81" i="4" s="1"/>
  <c r="W55" i="10"/>
  <c r="Z55" i="10"/>
  <c r="U56" i="10"/>
  <c r="V56" i="10"/>
  <c r="I7"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44" i="4" s="1"/>
  <c r="W62" i="10"/>
  <c r="Z62" i="10"/>
  <c r="U63" i="10"/>
  <c r="V63" i="10"/>
  <c r="I16" i="4" s="1"/>
  <c r="W63" i="10"/>
  <c r="Z63" i="10"/>
  <c r="U64" i="10"/>
  <c r="V64" i="10"/>
  <c r="I47" i="4" s="1"/>
  <c r="W64" i="10"/>
  <c r="Z64" i="10"/>
  <c r="U65" i="10"/>
  <c r="V65" i="10"/>
  <c r="I75" i="4" s="1"/>
  <c r="W65" i="10"/>
  <c r="Z65" i="10"/>
  <c r="U66" i="10"/>
  <c r="V66" i="10"/>
  <c r="W66" i="10"/>
  <c r="Z66" i="10"/>
  <c r="U67" i="10"/>
  <c r="V67" i="10"/>
  <c r="I15" i="4" s="1"/>
  <c r="W67" i="10"/>
  <c r="Z67" i="10"/>
  <c r="U68" i="10"/>
  <c r="V68" i="10"/>
  <c r="I19"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1" i="4" s="1"/>
  <c r="W80" i="10"/>
  <c r="Z80" i="10"/>
  <c r="U81" i="10"/>
  <c r="V81" i="10"/>
  <c r="I77" i="4" s="1"/>
  <c r="W81" i="10"/>
  <c r="Z81" i="10"/>
  <c r="U82" i="10"/>
  <c r="V82" i="10"/>
  <c r="I66" i="4" s="1"/>
  <c r="W82" i="10"/>
  <c r="Z82" i="10"/>
  <c r="U83" i="10"/>
  <c r="V83" i="10"/>
  <c r="I63" i="4" s="1"/>
  <c r="W83" i="10"/>
  <c r="Z83" i="10"/>
  <c r="U84" i="10"/>
  <c r="V84" i="10"/>
  <c r="I14" i="4" s="1"/>
  <c r="W84" i="10"/>
  <c r="Z84" i="10"/>
  <c r="U85" i="10"/>
  <c r="V85" i="10"/>
  <c r="I79" i="4" s="1"/>
  <c r="W85" i="10"/>
  <c r="Z85" i="10"/>
  <c r="U86" i="10"/>
  <c r="V86" i="10"/>
  <c r="I60" i="4" s="1"/>
  <c r="W86" i="10"/>
  <c r="Z86" i="10"/>
  <c r="U87" i="10"/>
  <c r="V87" i="10"/>
  <c r="W87" i="10"/>
  <c r="Z87" i="10"/>
  <c r="U88" i="10"/>
  <c r="V88" i="10"/>
  <c r="I12" i="4" s="1"/>
  <c r="W88" i="10"/>
  <c r="Z88" i="10"/>
  <c r="U89" i="10"/>
  <c r="V89" i="10"/>
  <c r="I46"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17"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1" i="2" s="1"/>
  <c r="W181" i="10"/>
  <c r="Z181" i="10"/>
  <c r="U141" i="10"/>
  <c r="V141" i="10"/>
  <c r="I69" i="4" s="1"/>
  <c r="W141" i="10"/>
  <c r="Z141" i="10"/>
  <c r="U182" i="10"/>
  <c r="V182" i="10"/>
  <c r="I54" i="2" s="1"/>
  <c r="W182" i="10"/>
  <c r="Z182" i="10"/>
  <c r="U183" i="10"/>
  <c r="V183" i="10"/>
  <c r="I53" i="2" s="1"/>
  <c r="W183" i="10"/>
  <c r="Z183" i="10"/>
  <c r="U37" i="10"/>
  <c r="V37" i="10"/>
  <c r="I55" i="4" s="1"/>
  <c r="W37" i="10"/>
  <c r="Z37" i="10"/>
  <c r="U122" i="10"/>
  <c r="V122" i="10"/>
  <c r="I84" i="4" s="1"/>
  <c r="W122" i="10"/>
  <c r="Z122" i="10"/>
  <c r="U126" i="10"/>
  <c r="V126" i="10"/>
  <c r="I57" i="4" s="1"/>
  <c r="W126" i="10"/>
  <c r="Z126" i="10"/>
  <c r="U127" i="10"/>
  <c r="V127" i="10"/>
  <c r="I23" i="4" s="1"/>
  <c r="W127" i="10"/>
  <c r="Z127" i="10"/>
  <c r="U128" i="10"/>
  <c r="V128" i="10"/>
  <c r="I58" i="4" s="1"/>
  <c r="W128" i="10"/>
  <c r="Z128" i="10"/>
  <c r="U129" i="10"/>
  <c r="V129" i="10"/>
  <c r="W129" i="10"/>
  <c r="Z129" i="10"/>
  <c r="U130" i="10"/>
  <c r="V130" i="10"/>
  <c r="I56"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2" i="4" s="1"/>
  <c r="W132" i="10"/>
  <c r="Z132" i="10"/>
  <c r="U124" i="10"/>
  <c r="V124" i="10"/>
  <c r="I25" i="4" s="1"/>
  <c r="W124" i="10"/>
  <c r="U133" i="10"/>
  <c r="V133" i="10"/>
  <c r="I26" i="4" s="1"/>
  <c r="W133" i="10"/>
  <c r="Z133" i="10"/>
  <c r="U134" i="10"/>
  <c r="V134" i="10"/>
  <c r="W134" i="10"/>
  <c r="Z134" i="10"/>
  <c r="U135" i="10"/>
  <c r="V135" i="10"/>
  <c r="I28" i="4" s="1"/>
  <c r="W135" i="10"/>
  <c r="Z135" i="10"/>
  <c r="U136" i="10"/>
  <c r="V136" i="10"/>
  <c r="I31" i="4" s="1"/>
  <c r="W136" i="10"/>
  <c r="Z136" i="10"/>
  <c r="U137" i="10"/>
  <c r="V137" i="10"/>
  <c r="I24"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2" i="2" s="1"/>
  <c r="W192" i="10"/>
  <c r="Z192" i="10"/>
  <c r="U193" i="10"/>
  <c r="V193" i="10"/>
  <c r="W193" i="10"/>
  <c r="Z193" i="10"/>
  <c r="U194" i="10"/>
  <c r="V194" i="10"/>
  <c r="I26"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27" i="2" s="1"/>
  <c r="W200" i="10"/>
  <c r="Z200" i="10"/>
  <c r="U201" i="10"/>
  <c r="V201" i="10"/>
  <c r="I24" i="2" s="1"/>
  <c r="W201" i="10"/>
  <c r="Z201" i="10"/>
  <c r="U202" i="10"/>
  <c r="V202" i="10"/>
  <c r="I23" i="2" s="1"/>
  <c r="W202" i="10"/>
  <c r="Z202" i="10"/>
  <c r="U203" i="10"/>
  <c r="V203" i="10"/>
  <c r="I19" i="2" s="1"/>
  <c r="W203" i="10"/>
  <c r="Z203" i="10"/>
  <c r="U204" i="10"/>
  <c r="V204" i="10"/>
  <c r="I25" i="2" s="1"/>
  <c r="W204" i="10"/>
  <c r="Z204" i="10"/>
  <c r="U205" i="10"/>
  <c r="V205" i="10"/>
  <c r="W205" i="10"/>
  <c r="Z205" i="10"/>
  <c r="U206" i="10"/>
  <c r="V206" i="10"/>
  <c r="W206" i="10"/>
  <c r="Z206" i="10"/>
  <c r="U142" i="10"/>
  <c r="V142" i="10"/>
  <c r="I51" i="4" s="1"/>
  <c r="W142" i="10"/>
  <c r="Z142" i="10"/>
  <c r="U143" i="10"/>
  <c r="V143" i="10"/>
  <c r="I37" i="4" s="1"/>
  <c r="W143" i="10"/>
  <c r="Z143" i="10"/>
  <c r="U144" i="10"/>
  <c r="V144" i="10"/>
  <c r="I38" i="4" s="1"/>
  <c r="W144" i="10"/>
  <c r="Z144" i="10"/>
  <c r="U145" i="10"/>
  <c r="V145" i="10"/>
  <c r="W145" i="10"/>
  <c r="Z145" i="10"/>
  <c r="U146" i="10"/>
  <c r="V146" i="10"/>
  <c r="I39" i="4" s="1"/>
  <c r="W146" i="10"/>
  <c r="Z146" i="10"/>
  <c r="U147" i="10"/>
  <c r="V147" i="10"/>
  <c r="I33" i="4" s="1"/>
  <c r="W147" i="10"/>
  <c r="Z147" i="10"/>
  <c r="U148" i="10"/>
  <c r="V148" i="10"/>
  <c r="W148" i="10"/>
  <c r="Z148" i="10"/>
  <c r="U149" i="10"/>
  <c r="V149" i="10"/>
  <c r="W149" i="10"/>
  <c r="Z149" i="10"/>
  <c r="U150" i="10"/>
  <c r="V150" i="10"/>
  <c r="I72" i="4" s="1"/>
  <c r="W150" i="10"/>
  <c r="Z150" i="10"/>
  <c r="U110" i="10"/>
  <c r="V110" i="10"/>
  <c r="I34" i="2" s="1"/>
  <c r="W110" i="10"/>
  <c r="Z110" i="10"/>
  <c r="U111" i="10"/>
  <c r="V111" i="10"/>
  <c r="I35" i="2" s="1"/>
  <c r="W111" i="10"/>
  <c r="Z111" i="10"/>
  <c r="U151" i="10"/>
  <c r="V151" i="10"/>
  <c r="I70" i="4" s="1"/>
  <c r="W151" i="10"/>
  <c r="Z151" i="10"/>
  <c r="U152" i="10"/>
  <c r="V152" i="10"/>
  <c r="I50" i="4" s="1"/>
  <c r="W152" i="10"/>
  <c r="Z152" i="10"/>
  <c r="U153" i="10"/>
  <c r="V153" i="10"/>
  <c r="I34" i="4" s="1"/>
  <c r="W153" i="10"/>
  <c r="Z153" i="10"/>
  <c r="U207" i="10"/>
  <c r="V207" i="10"/>
  <c r="I20" i="2" s="1"/>
  <c r="W207" i="10"/>
  <c r="Z207" i="10"/>
  <c r="U208" i="10"/>
  <c r="V208" i="10"/>
  <c r="I22" i="2" s="1"/>
  <c r="W208" i="10"/>
  <c r="Z208" i="10"/>
  <c r="U154" i="10"/>
  <c r="V154" i="10"/>
  <c r="I35" i="4" s="1"/>
  <c r="W154" i="10"/>
  <c r="Z154" i="10"/>
  <c r="U155" i="10"/>
  <c r="V155" i="10"/>
  <c r="I40" i="4" s="1"/>
  <c r="W155" i="10"/>
  <c r="Z155" i="10"/>
  <c r="U165" i="10"/>
  <c r="V165" i="10"/>
  <c r="I16" i="2" s="1"/>
  <c r="W165" i="10"/>
  <c r="Z165" i="10"/>
  <c r="U166" i="10"/>
  <c r="V166" i="10"/>
  <c r="I15" i="2" s="1"/>
  <c r="W166" i="10"/>
  <c r="Z166" i="10"/>
  <c r="U164" i="10"/>
  <c r="V164" i="10"/>
  <c r="I41" i="2" s="1"/>
  <c r="W164" i="10"/>
  <c r="U167" i="10"/>
  <c r="V167" i="10"/>
  <c r="I47" i="2" s="1"/>
  <c r="W167" i="10"/>
  <c r="Z167" i="10"/>
  <c r="U168" i="10"/>
  <c r="V168" i="10"/>
  <c r="I17" i="2" s="1"/>
  <c r="W168" i="10"/>
  <c r="Z168" i="10"/>
  <c r="U169" i="10"/>
  <c r="V169" i="10"/>
  <c r="I14" i="2" s="1"/>
  <c r="W169" i="10"/>
  <c r="Z169" i="10"/>
  <c r="U170" i="10"/>
  <c r="V170" i="10"/>
  <c r="I62" i="2" s="1"/>
  <c r="W170" i="10"/>
  <c r="Z170" i="10"/>
  <c r="U171" i="10"/>
  <c r="V171" i="10"/>
  <c r="I61" i="2" s="1"/>
  <c r="W171" i="10"/>
  <c r="Z171" i="10"/>
  <c r="U172" i="10"/>
  <c r="V172" i="10"/>
  <c r="I29" i="2" s="1"/>
  <c r="W172" i="10"/>
  <c r="Z172" i="10"/>
  <c r="U173" i="10"/>
  <c r="V173" i="10"/>
  <c r="I30" i="2" s="1"/>
  <c r="W173" i="10"/>
  <c r="Z173" i="10"/>
  <c r="U174" i="10"/>
  <c r="V174" i="10"/>
  <c r="I18"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3" i="2" s="1"/>
  <c r="W116" i="10"/>
  <c r="Z116" i="10"/>
  <c r="U117" i="10"/>
  <c r="V117" i="10"/>
  <c r="W117" i="10"/>
  <c r="Z117" i="10"/>
  <c r="U118" i="10"/>
  <c r="V118" i="10"/>
  <c r="W118" i="10"/>
  <c r="Z118" i="10"/>
  <c r="U119" i="10"/>
  <c r="V119" i="10"/>
  <c r="W119" i="10"/>
  <c r="Z119" i="10"/>
  <c r="I71" i="4" l="1"/>
  <c r="I36" i="4"/>
  <c r="I44" i="2"/>
  <c r="I56" i="2"/>
  <c r="I33" i="2"/>
  <c r="I54" i="4"/>
  <c r="I121" i="4"/>
  <c r="I96" i="4"/>
  <c r="I109" i="4"/>
  <c r="I45" i="4"/>
  <c r="I9" i="4"/>
  <c r="I49" i="4"/>
  <c r="I64" i="2"/>
  <c r="I28" i="2"/>
  <c r="I12" i="2"/>
  <c r="I86" i="4"/>
  <c r="I85" i="4"/>
  <c r="I102" i="4"/>
  <c r="I11" i="2"/>
  <c r="I113" i="4"/>
  <c r="I92" i="4"/>
  <c r="I53" i="4"/>
  <c r="I22" i="4"/>
  <c r="I43" i="4"/>
  <c r="I32" i="4"/>
  <c r="I120" i="4"/>
  <c r="I65" i="4"/>
  <c r="I20" i="4"/>
  <c r="I123" i="4"/>
  <c r="I29" i="4"/>
  <c r="I27" i="4"/>
  <c r="I31" i="2"/>
  <c r="I30"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28" i="3"/>
  <c r="Y21" i="10"/>
  <c r="I37" i="3"/>
  <c r="Y19" i="10"/>
  <c r="I13" i="3"/>
  <c r="Y17" i="10"/>
  <c r="I27" i="3"/>
  <c r="Y15" i="10"/>
  <c r="I8" i="3"/>
  <c r="Y13" i="10"/>
  <c r="I23" i="3"/>
  <c r="Y9" i="10"/>
  <c r="I31" i="3"/>
  <c r="Y3" i="10"/>
  <c r="Y168" i="10"/>
  <c r="Y40" i="10"/>
  <c r="Y161" i="10"/>
  <c r="Y159" i="10"/>
  <c r="Y157" i="10"/>
  <c r="I20"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6" i="3"/>
  <c r="Y30" i="10"/>
  <c r="I41" i="3"/>
  <c r="Y28" i="10"/>
  <c r="I11" i="3"/>
  <c r="Y26" i="10"/>
  <c r="I25" i="3"/>
  <c r="Y24" i="10"/>
  <c r="I7" i="3"/>
  <c r="Y22" i="10"/>
  <c r="I9" i="3"/>
  <c r="Y20" i="10"/>
  <c r="I24" i="3"/>
  <c r="Y18" i="10"/>
  <c r="I38" i="3"/>
  <c r="Y16" i="10"/>
  <c r="I33" i="3"/>
  <c r="Y14" i="10"/>
  <c r="I15" i="3"/>
  <c r="Y12" i="10"/>
  <c r="I21" i="3"/>
  <c r="Y10" i="10"/>
  <c r="I16" i="3"/>
  <c r="Y8" i="10"/>
  <c r="I40" i="3"/>
  <c r="Y6" i="10"/>
  <c r="I14"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18" i="3"/>
  <c r="Y35" i="10"/>
  <c r="I19"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2" i="3"/>
  <c r="X7" i="10"/>
  <c r="I17"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4" i="1"/>
  <c r="D224" i="1"/>
  <c r="A2" i="2" l="1"/>
  <c r="D4" i="2" s="1"/>
  <c r="A2" i="3"/>
  <c r="D4" i="3" s="1"/>
  <c r="A2" i="4"/>
  <c r="D4" i="4" s="1"/>
  <c r="E224" i="1"/>
  <c r="D3" i="3" l="1"/>
  <c r="F4" i="3"/>
  <c r="D3" i="2"/>
  <c r="F4" i="2"/>
  <c r="D3" i="4"/>
  <c r="F4" i="4"/>
  <c r="G14" i="16"/>
  <c r="H14" i="16"/>
  <c r="F14" i="16"/>
  <c r="F3" i="3" l="1"/>
  <c r="F5" i="3" s="1"/>
  <c r="D5" i="3"/>
  <c r="D5" i="2"/>
  <c r="F3" i="2"/>
  <c r="F5" i="2" s="1"/>
  <c r="D5" i="4"/>
  <c r="F3" i="4"/>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73" i="1" l="1"/>
  <c r="D33" i="1" l="1"/>
  <c r="C64" i="1"/>
  <c r="D63" i="1"/>
  <c r="E63" i="1" s="1"/>
  <c r="D190" i="1"/>
  <c r="D187" i="1"/>
  <c r="D95" i="1"/>
  <c r="E95" i="1" s="1"/>
  <c r="C115" i="1"/>
  <c r="D185" i="1"/>
  <c r="D94" i="1"/>
  <c r="E94" i="1" s="1"/>
  <c r="D37" i="1"/>
  <c r="D70" i="1"/>
  <c r="D58" i="1"/>
  <c r="D160" i="1"/>
  <c r="D129" i="1"/>
  <c r="E129" i="1" s="1"/>
  <c r="D153" i="1"/>
  <c r="E153" i="1" s="1"/>
  <c r="D223" i="1"/>
  <c r="D67" i="1"/>
  <c r="E67" i="1" s="1"/>
  <c r="D202" i="1"/>
  <c r="E202" i="1" s="1"/>
  <c r="D30" i="1"/>
  <c r="E30" i="1" s="1"/>
  <c r="D143" i="1"/>
  <c r="E143" i="1" s="1"/>
  <c r="D16" i="1"/>
  <c r="E16" i="1" s="1"/>
  <c r="D221" i="1"/>
  <c r="E221" i="1" s="1"/>
  <c r="E223" i="1" l="1"/>
  <c r="E160" i="1"/>
  <c r="E58" i="1"/>
  <c r="E185" i="1"/>
  <c r="E187" i="1"/>
  <c r="E190" i="1"/>
  <c r="E70" i="1"/>
  <c r="E33" i="1"/>
  <c r="E37" i="1"/>
  <c r="D53" i="1"/>
  <c r="D18" i="1"/>
  <c r="E18" i="1" s="1"/>
  <c r="D22" i="1"/>
  <c r="E22" i="1" s="1"/>
  <c r="D85" i="1"/>
  <c r="D198" i="1"/>
  <c r="E198" i="1" s="1"/>
  <c r="D217" i="1"/>
  <c r="E217" i="1" s="1"/>
  <c r="D29" i="1"/>
  <c r="D132" i="1"/>
  <c r="D177" i="1"/>
  <c r="D165" i="1"/>
  <c r="E165" i="1" s="1"/>
  <c r="D197" i="1"/>
  <c r="E197" i="1" s="1"/>
  <c r="D215" i="1"/>
  <c r="E215" i="1" s="1"/>
  <c r="D208" i="1"/>
  <c r="E208" i="1" s="1"/>
  <c r="D200" i="1"/>
  <c r="E200" i="1" s="1"/>
  <c r="D114" i="1"/>
  <c r="E114" i="1" s="1"/>
  <c r="D191" i="1"/>
  <c r="E191" i="1" s="1"/>
  <c r="D100" i="1"/>
  <c r="D133" i="1"/>
  <c r="D102" i="1"/>
  <c r="E102" i="1" s="1"/>
  <c r="D155" i="1"/>
  <c r="E155" i="1" s="1"/>
  <c r="D218" i="1"/>
  <c r="E218" i="1" s="1"/>
  <c r="D219" i="1"/>
  <c r="E219" i="1" s="1"/>
  <c r="D34" i="1"/>
  <c r="D138" i="1"/>
  <c r="E138" i="1" s="1"/>
  <c r="D36" i="1"/>
  <c r="D68" i="1"/>
  <c r="D166" i="1"/>
  <c r="E166" i="1" s="1"/>
  <c r="D178" i="1"/>
  <c r="E178" i="1" s="1"/>
  <c r="D21" i="1"/>
  <c r="E21" i="1" s="1"/>
  <c r="D174" i="1"/>
  <c r="E174" i="1" s="1"/>
  <c r="D214" i="1"/>
  <c r="E214" i="1" s="1"/>
  <c r="D99" i="1"/>
  <c r="D19" i="1"/>
  <c r="D86" i="1"/>
  <c r="E86" i="1" s="1"/>
  <c r="D17" i="1"/>
  <c r="E17" i="1" s="1"/>
  <c r="D24" i="1"/>
  <c r="E24" i="1" s="1"/>
  <c r="D82" i="1"/>
  <c r="E82" i="1" s="1"/>
  <c r="D105" i="1"/>
  <c r="D193" i="1"/>
  <c r="E193" i="1" s="1"/>
  <c r="D74" i="1"/>
  <c r="E74" i="1" s="1"/>
  <c r="D189" i="1"/>
  <c r="E189" i="1" s="1"/>
  <c r="D188" i="1"/>
  <c r="D157" i="1"/>
  <c r="E157" i="1" s="1"/>
  <c r="D156" i="1"/>
  <c r="E156" i="1" s="1"/>
  <c r="D101" i="1"/>
  <c r="E101" i="1" s="1"/>
  <c r="D45" i="1"/>
  <c r="D71" i="1"/>
  <c r="E71" i="1" s="1"/>
  <c r="D137" i="1"/>
  <c r="E137" i="1" s="1"/>
  <c r="D149" i="1"/>
  <c r="E149" i="1" s="1"/>
  <c r="D125" i="1"/>
  <c r="E125" i="1" s="1"/>
  <c r="D46" i="1"/>
  <c r="D146" i="1"/>
  <c r="E146" i="1" s="1"/>
  <c r="D183" i="1"/>
  <c r="E183" i="1" s="1"/>
  <c r="D222" i="1"/>
  <c r="E222" i="1" s="1"/>
  <c r="D213" i="1"/>
  <c r="E213" i="1" s="1"/>
  <c r="D56" i="1"/>
  <c r="E56" i="1" s="1"/>
  <c r="D184" i="1"/>
  <c r="D139" i="1"/>
  <c r="E139" i="1" s="1"/>
  <c r="D111" i="1"/>
  <c r="E111" i="1" s="1"/>
  <c r="D144" i="1"/>
  <c r="D32" i="1"/>
  <c r="E32" i="1" s="1"/>
  <c r="D106" i="1"/>
  <c r="D90" i="1"/>
  <c r="E90" i="1" s="1"/>
  <c r="D127" i="1"/>
  <c r="E127" i="1" s="1"/>
  <c r="D203" i="1"/>
  <c r="E203" i="1" s="1"/>
  <c r="D48" i="1"/>
  <c r="D162" i="1"/>
  <c r="D55" i="1"/>
  <c r="E55" i="1" s="1"/>
  <c r="D79" i="1"/>
  <c r="E79" i="1" s="1"/>
  <c r="D151" i="1"/>
  <c r="E151" i="1" s="1"/>
  <c r="D121" i="1"/>
  <c r="E121" i="1" s="1"/>
  <c r="D175" i="1"/>
  <c r="E175" i="1" s="1"/>
  <c r="D122" i="1"/>
  <c r="E122" i="1" s="1"/>
  <c r="D119" i="1"/>
  <c r="E119" i="1" s="1"/>
  <c r="D80" i="1"/>
  <c r="E80" i="1" s="1"/>
  <c r="D159" i="1"/>
  <c r="E159" i="1" s="1"/>
  <c r="D130" i="1"/>
  <c r="E130" i="1" s="1"/>
  <c r="D75" i="1"/>
  <c r="E75" i="1" s="1"/>
  <c r="D126" i="1"/>
  <c r="D163" i="1"/>
  <c r="D93" i="1"/>
  <c r="D25" i="1"/>
  <c r="E25" i="1" s="1"/>
  <c r="D72" i="1"/>
  <c r="D51" i="1"/>
  <c r="D182" i="1"/>
  <c r="E182" i="1" s="1"/>
  <c r="D91" i="1"/>
  <c r="E91" i="1" s="1"/>
  <c r="D220" i="1"/>
  <c r="E220" i="1" s="1"/>
  <c r="D69" i="1"/>
  <c r="E69" i="1" s="1"/>
  <c r="D38" i="1"/>
  <c r="D117" i="1"/>
  <c r="D107" i="1"/>
  <c r="D134" i="1"/>
  <c r="E134" i="1" s="1"/>
  <c r="D181" i="1"/>
  <c r="E181" i="1" s="1"/>
  <c r="D41" i="1"/>
  <c r="D40" i="1"/>
  <c r="D54" i="1"/>
  <c r="E54" i="1" s="1"/>
  <c r="D62" i="1"/>
  <c r="E62" i="1" s="1"/>
  <c r="D81" i="1"/>
  <c r="E81" i="1" s="1"/>
  <c r="D186" i="1"/>
  <c r="D176" i="1"/>
  <c r="E176" i="1" s="1"/>
  <c r="D66" i="1"/>
  <c r="E66" i="1" s="1"/>
  <c r="D194" i="1"/>
  <c r="E194" i="1" s="1"/>
  <c r="D173" i="1"/>
  <c r="D109" i="1"/>
  <c r="E109" i="1" s="1"/>
  <c r="D23" i="1"/>
  <c r="D110" i="1"/>
  <c r="E110" i="1" s="1"/>
  <c r="D206" i="1"/>
  <c r="E206" i="1" s="1"/>
  <c r="D196" i="1"/>
  <c r="E196" i="1" s="1"/>
  <c r="D128" i="1"/>
  <c r="D26" i="1"/>
  <c r="E26" i="1" s="1"/>
  <c r="D171" i="1"/>
  <c r="E171" i="1" s="1"/>
  <c r="D76" i="1"/>
  <c r="E76" i="1" s="1"/>
  <c r="D50" i="1"/>
  <c r="E50" i="1" s="1"/>
  <c r="D28" i="1"/>
  <c r="E28" i="1" s="1"/>
  <c r="D142" i="1"/>
  <c r="E142" i="1" s="1"/>
  <c r="D207" i="1"/>
  <c r="D112" i="1"/>
  <c r="E112" i="1" s="1"/>
  <c r="D89" i="1"/>
  <c r="E89" i="1" s="1"/>
  <c r="D27" i="1"/>
  <c r="E27" i="1" s="1"/>
  <c r="D140" i="1"/>
  <c r="E140" i="1" s="1"/>
  <c r="D73" i="1"/>
  <c r="D113" i="1"/>
  <c r="E113" i="1" s="1"/>
  <c r="D136" i="1"/>
  <c r="D211" i="1"/>
  <c r="E211" i="1" s="1"/>
  <c r="D152" i="1"/>
  <c r="D131" i="1"/>
  <c r="E131" i="1" s="1"/>
  <c r="D47" i="1"/>
  <c r="D98" i="1"/>
  <c r="D167" i="1"/>
  <c r="E167" i="1" s="1"/>
  <c r="D92" i="1"/>
  <c r="E92" i="1" s="1"/>
  <c r="D64" i="1"/>
  <c r="D97" i="1"/>
  <c r="E97" i="1" s="1"/>
  <c r="D212" i="1"/>
  <c r="E212" i="1" s="1"/>
  <c r="D210" i="1"/>
  <c r="E210" i="1" s="1"/>
  <c r="D150" i="1"/>
  <c r="E150" i="1" s="1"/>
  <c r="D199" i="1"/>
  <c r="E199" i="1" s="1"/>
  <c r="D118" i="1"/>
  <c r="E118" i="1" s="1"/>
  <c r="D116" i="1"/>
  <c r="E116" i="1" s="1"/>
  <c r="D60" i="1"/>
  <c r="E60" i="1" s="1"/>
  <c r="D195" i="1"/>
  <c r="E195" i="1" s="1"/>
  <c r="D154" i="1"/>
  <c r="E154" i="1" s="1"/>
  <c r="D52" i="1"/>
  <c r="D158" i="1"/>
  <c r="E158" i="1" s="1"/>
  <c r="D135" i="1"/>
  <c r="E135" i="1" s="1"/>
  <c r="D205" i="1"/>
  <c r="E205" i="1" s="1"/>
  <c r="D44" i="1"/>
  <c r="D170" i="1"/>
  <c r="D61" i="1"/>
  <c r="E61" i="1" s="1"/>
  <c r="D145" i="1"/>
  <c r="E145" i="1" s="1"/>
  <c r="D172" i="1"/>
  <c r="E172" i="1" s="1"/>
  <c r="D147" i="1"/>
  <c r="D192" i="1"/>
  <c r="E192" i="1" s="1"/>
  <c r="D65" i="1"/>
  <c r="E65" i="1" s="1"/>
  <c r="D209" i="1"/>
  <c r="E209" i="1" s="1"/>
  <c r="D78" i="1"/>
  <c r="E78" i="1" s="1"/>
  <c r="D164" i="1"/>
  <c r="E164" i="1" s="1"/>
  <c r="D201" i="1"/>
  <c r="D15" i="1"/>
  <c r="D168" i="1"/>
  <c r="E168" i="1" s="1"/>
  <c r="D120" i="1"/>
  <c r="E120" i="1" s="1"/>
  <c r="D179" i="1"/>
  <c r="E179" i="1" s="1"/>
  <c r="D35" i="1"/>
  <c r="E35" i="1" s="1"/>
  <c r="D148" i="1"/>
  <c r="E148" i="1" s="1"/>
  <c r="D20" i="1"/>
  <c r="E20" i="1" s="1"/>
  <c r="D115" i="1"/>
  <c r="D96" i="1"/>
  <c r="D83" i="1"/>
  <c r="E83" i="1" s="1"/>
  <c r="D59" i="1"/>
  <c r="D161" i="1"/>
  <c r="D141" i="1"/>
  <c r="E141" i="1" s="1"/>
  <c r="D104" i="1"/>
  <c r="E104" i="1" s="1"/>
  <c r="D77" i="1"/>
  <c r="E77" i="1" s="1"/>
  <c r="D216" i="1"/>
  <c r="D88" i="1"/>
  <c r="D180" i="1"/>
  <c r="E180" i="1" s="1"/>
  <c r="D169" i="1"/>
  <c r="E169" i="1" s="1"/>
  <c r="D108" i="1"/>
  <c r="D204" i="1"/>
  <c r="E204" i="1" s="1"/>
  <c r="D124" i="1"/>
  <c r="E124" i="1" s="1"/>
  <c r="D42" i="1"/>
  <c r="D31" i="1"/>
  <c r="E31" i="1" s="1"/>
  <c r="D87" i="1"/>
  <c r="E87" i="1" s="1"/>
  <c r="D49" i="1"/>
  <c r="E49" i="1" s="1"/>
  <c r="D57" i="1"/>
  <c r="C208" i="1"/>
  <c r="C102" i="1"/>
  <c r="C119" i="1"/>
  <c r="C63" i="1"/>
  <c r="C28" i="1"/>
  <c r="C160" i="1"/>
  <c r="C66" i="1"/>
  <c r="C99" i="1"/>
  <c r="C219" i="1"/>
  <c r="C140" i="1"/>
  <c r="C73" i="1"/>
  <c r="C136" i="1"/>
  <c r="C211" i="1"/>
  <c r="C36" i="1"/>
  <c r="C152" i="1"/>
  <c r="C47" i="1"/>
  <c r="C98" i="1"/>
  <c r="C167" i="1"/>
  <c r="C97" i="1"/>
  <c r="C215" i="1"/>
  <c r="C174" i="1"/>
  <c r="C21" i="1"/>
  <c r="C223" i="1"/>
  <c r="C85" i="1"/>
  <c r="C122" i="1"/>
  <c r="C155" i="1"/>
  <c r="C142" i="1"/>
  <c r="C68" i="1"/>
  <c r="C54" i="1"/>
  <c r="C33" i="1"/>
  <c r="C62" i="1"/>
  <c r="C81" i="1"/>
  <c r="C23" i="1"/>
  <c r="C110" i="1"/>
  <c r="C171" i="1"/>
  <c r="C76" i="1"/>
  <c r="C50" i="1"/>
  <c r="C143" i="1"/>
  <c r="C112" i="1"/>
  <c r="C89" i="1"/>
  <c r="C138" i="1"/>
  <c r="C113" i="1"/>
  <c r="C94" i="1"/>
  <c r="C19" i="1"/>
  <c r="C86" i="1"/>
  <c r="C131" i="1"/>
  <c r="C92" i="1"/>
  <c r="C221" i="1"/>
  <c r="C212" i="1"/>
  <c r="C197" i="1"/>
  <c r="C210" i="1"/>
  <c r="C150" i="1"/>
  <c r="C153" i="1"/>
  <c r="C199" i="1"/>
  <c r="C118" i="1"/>
  <c r="C116" i="1"/>
  <c r="C159" i="1"/>
  <c r="C60" i="1"/>
  <c r="C195" i="1"/>
  <c r="C185" i="1"/>
  <c r="C177" i="1"/>
  <c r="C154" i="1"/>
  <c r="C52" i="1"/>
  <c r="C158" i="1"/>
  <c r="C135" i="1"/>
  <c r="C205" i="1"/>
  <c r="C44" i="1"/>
  <c r="C170" i="1"/>
  <c r="C61" i="1"/>
  <c r="C145" i="1"/>
  <c r="C172" i="1"/>
  <c r="C147" i="1"/>
  <c r="C121" i="1"/>
  <c r="C53" i="1"/>
  <c r="C67" i="1"/>
  <c r="C186" i="1"/>
  <c r="C176" i="1"/>
  <c r="C194" i="1"/>
  <c r="C206" i="1"/>
  <c r="C196" i="1"/>
  <c r="C207" i="1"/>
  <c r="C16" i="1"/>
  <c r="C198" i="1"/>
  <c r="C34" i="1"/>
  <c r="C27" i="1"/>
  <c r="C178" i="1"/>
  <c r="C65" i="1"/>
  <c r="C17" i="1"/>
  <c r="C24" i="1"/>
  <c r="C209" i="1"/>
  <c r="C78" i="1"/>
  <c r="C82" i="1"/>
  <c r="C164" i="1"/>
  <c r="C201" i="1"/>
  <c r="C105" i="1"/>
  <c r="C15" i="1"/>
  <c r="C168" i="1"/>
  <c r="C120" i="1"/>
  <c r="C193" i="1"/>
  <c r="C37" i="1"/>
  <c r="C74" i="1"/>
  <c r="C179" i="1"/>
  <c r="C189" i="1"/>
  <c r="C35" i="1"/>
  <c r="C148" i="1"/>
  <c r="C20" i="1"/>
  <c r="C96" i="1"/>
  <c r="C188" i="1"/>
  <c r="C83" i="1"/>
  <c r="C130" i="1"/>
  <c r="C59" i="1"/>
  <c r="C161" i="1"/>
  <c r="C141" i="1"/>
  <c r="C104" i="1"/>
  <c r="C77" i="1"/>
  <c r="C93" i="1"/>
  <c r="C169" i="1"/>
  <c r="C57" i="1"/>
  <c r="C42" i="1"/>
  <c r="C182" i="1"/>
  <c r="C49" i="1"/>
  <c r="C216" i="1"/>
  <c r="C75" i="1"/>
  <c r="C30" i="1"/>
  <c r="C202" i="1"/>
  <c r="C88" i="1"/>
  <c r="C126" i="1"/>
  <c r="C163" i="1"/>
  <c r="C72" i="1"/>
  <c r="C180" i="1"/>
  <c r="C95" i="1"/>
  <c r="C108" i="1"/>
  <c r="C204" i="1"/>
  <c r="C124" i="1"/>
  <c r="C31" i="1"/>
  <c r="C165" i="1"/>
  <c r="C91" i="1"/>
  <c r="C220" i="1"/>
  <c r="C69" i="1"/>
  <c r="C156" i="1"/>
  <c r="C101" i="1"/>
  <c r="C45" i="1"/>
  <c r="C58" i="1"/>
  <c r="C71" i="1"/>
  <c r="C137" i="1"/>
  <c r="C38" i="1"/>
  <c r="C117" i="1"/>
  <c r="C214" i="1"/>
  <c r="C149" i="1"/>
  <c r="C107" i="1"/>
  <c r="C134" i="1"/>
  <c r="C125" i="1"/>
  <c r="C46" i="1"/>
  <c r="C181" i="1"/>
  <c r="C146" i="1"/>
  <c r="C41" i="1"/>
  <c r="C166" i="1"/>
  <c r="C25" i="1"/>
  <c r="C157" i="1"/>
  <c r="C51" i="1"/>
  <c r="C87" i="1"/>
  <c r="C183" i="1"/>
  <c r="C217" i="1"/>
  <c r="C218" i="1"/>
  <c r="C222" i="1"/>
  <c r="C22" i="1"/>
  <c r="C213" i="1"/>
  <c r="C29" i="1"/>
  <c r="C56" i="1"/>
  <c r="C129" i="1"/>
  <c r="C18" i="1"/>
  <c r="C190" i="1"/>
  <c r="C70" i="1"/>
  <c r="C184" i="1"/>
  <c r="C139" i="1"/>
  <c r="C111" i="1"/>
  <c r="C43" i="1"/>
  <c r="C84" i="1"/>
  <c r="C144" i="1"/>
  <c r="C32" i="1"/>
  <c r="C106" i="1"/>
  <c r="C90" i="1"/>
  <c r="C127" i="1"/>
  <c r="C203" i="1"/>
  <c r="C48" i="1"/>
  <c r="C162" i="1"/>
  <c r="C55" i="1"/>
  <c r="C79" i="1"/>
  <c r="C151" i="1"/>
  <c r="C200" i="1"/>
  <c r="C192" i="1"/>
  <c r="C100" i="1"/>
  <c r="C40" i="1"/>
  <c r="C80" i="1"/>
  <c r="C114" i="1"/>
  <c r="C191" i="1"/>
  <c r="D43" i="1"/>
  <c r="D84" i="1"/>
  <c r="C175" i="1"/>
  <c r="C133" i="1"/>
  <c r="C132" i="1"/>
  <c r="C187" i="1"/>
  <c r="C173" i="1"/>
  <c r="C109" i="1"/>
  <c r="C128" i="1"/>
  <c r="C26" i="1"/>
  <c r="E4" i="1" l="1"/>
  <c r="O8" i="1"/>
  <c r="G8" i="1"/>
  <c r="N8" i="1"/>
  <c r="F8" i="1"/>
  <c r="M8" i="1"/>
  <c r="E8" i="1"/>
  <c r="L8" i="1"/>
  <c r="D8" i="1"/>
  <c r="K8" i="1"/>
  <c r="C8" i="1"/>
  <c r="J8" i="1"/>
  <c r="I8" i="1"/>
  <c r="H8" i="1"/>
  <c r="C10" i="1"/>
  <c r="K10" i="1"/>
  <c r="H10" i="1"/>
  <c r="D10" i="1"/>
  <c r="L10" i="1"/>
  <c r="E10" i="1"/>
  <c r="N10" i="1"/>
  <c r="G10" i="1"/>
  <c r="I10" i="1"/>
  <c r="F10" i="1"/>
  <c r="O10" i="1"/>
  <c r="M10" i="1"/>
  <c r="J10" i="1"/>
  <c r="L3" i="1"/>
  <c r="E15" i="1"/>
  <c r="I3" i="1"/>
  <c r="J6" i="1"/>
  <c r="J3" i="1"/>
  <c r="K3" i="1"/>
  <c r="D3" i="1"/>
  <c r="E3" i="1"/>
  <c r="M3" i="1"/>
  <c r="F3" i="1"/>
  <c r="N3" i="1"/>
  <c r="G3" i="1"/>
  <c r="O3" i="1"/>
  <c r="H3" i="1"/>
  <c r="C3" i="1"/>
  <c r="C6" i="1"/>
  <c r="M6" i="1"/>
  <c r="N6" i="1"/>
  <c r="D6" i="1"/>
  <c r="O6" i="1"/>
  <c r="F6" i="1"/>
  <c r="I6" i="1"/>
  <c r="G6" i="1"/>
  <c r="H6" i="1"/>
  <c r="E6" i="1"/>
  <c r="K6" i="1"/>
  <c r="L6" i="1"/>
  <c r="E68" i="1"/>
  <c r="J4" i="1"/>
  <c r="K4" i="1"/>
  <c r="D4" i="1"/>
  <c r="L4" i="1"/>
  <c r="M4" i="1"/>
  <c r="F4" i="1"/>
  <c r="N4" i="1"/>
  <c r="G4" i="1"/>
  <c r="O4" i="1"/>
  <c r="H4" i="1"/>
  <c r="C4" i="1"/>
  <c r="I4" i="1"/>
  <c r="E170" i="1"/>
  <c r="E162" i="1"/>
  <c r="E161" i="1"/>
  <c r="E59" i="1"/>
  <c r="E98" i="1"/>
  <c r="E163" i="1"/>
  <c r="E126" i="1"/>
  <c r="E128" i="1"/>
  <c r="E173" i="1"/>
  <c r="E147" i="1"/>
  <c r="E47" i="1"/>
  <c r="E40" i="1"/>
  <c r="E99" i="1"/>
  <c r="E132" i="1"/>
  <c r="E88" i="1"/>
  <c r="E96" i="1"/>
  <c r="E52" i="1"/>
  <c r="E41" i="1"/>
  <c r="E34" i="1"/>
  <c r="E29" i="1"/>
  <c r="E216" i="1"/>
  <c r="E115" i="1"/>
  <c r="E201" i="1"/>
  <c r="E152" i="1"/>
  <c r="E106" i="1"/>
  <c r="E45" i="1"/>
  <c r="E105" i="1"/>
  <c r="E42" i="1"/>
  <c r="E207" i="1"/>
  <c r="E51" i="1"/>
  <c r="E84" i="1"/>
  <c r="E64" i="1"/>
  <c r="E136" i="1"/>
  <c r="E186" i="1"/>
  <c r="E107" i="1"/>
  <c r="E72" i="1"/>
  <c r="E144" i="1"/>
  <c r="E85" i="1"/>
  <c r="E43" i="1"/>
  <c r="E44" i="1"/>
  <c r="E117" i="1"/>
  <c r="E46" i="1"/>
  <c r="E108" i="1"/>
  <c r="E73" i="1"/>
  <c r="E23" i="1"/>
  <c r="E38" i="1"/>
  <c r="E93" i="1"/>
  <c r="E48" i="1"/>
  <c r="E188" i="1"/>
  <c r="E133" i="1"/>
  <c r="E57" i="1"/>
  <c r="E184" i="1"/>
  <c r="E19" i="1"/>
  <c r="E36" i="1"/>
  <c r="E100" i="1"/>
  <c r="E177"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5" i="1"/>
  <c r="D2" i="26" s="1"/>
  <c r="H2" i="3" l="1"/>
  <c r="H2" i="2"/>
  <c r="H2" i="4"/>
  <c r="O12" i="1"/>
  <c r="B4" i="1" s="1"/>
  <c r="C2" i="26" s="1"/>
  <c r="B8" i="1"/>
  <c r="B4" i="26" s="1"/>
  <c r="B7" i="1"/>
  <c r="F2" i="26" s="1"/>
  <c r="G2" i="4" l="1"/>
  <c r="F2" i="4"/>
  <c r="AB2" i="10"/>
  <c r="B85" i="4"/>
  <c r="B34" i="13"/>
  <c r="AB208" i="10"/>
  <c r="B44" i="2"/>
  <c r="AB52" i="10"/>
  <c r="B25" i="4"/>
  <c r="AB149" i="10"/>
  <c r="B47" i="2"/>
  <c r="B44" i="13"/>
  <c r="AB162" i="10"/>
  <c r="B12" i="3"/>
  <c r="B27" i="2"/>
  <c r="B62" i="2"/>
  <c r="AB123" i="10"/>
  <c r="B47" i="4"/>
  <c r="AB108" i="10"/>
  <c r="B41" i="2"/>
  <c r="AB131" i="10"/>
  <c r="B31" i="2"/>
  <c r="AB165" i="10"/>
  <c r="B21" i="3"/>
  <c r="B68" i="4"/>
  <c r="AB110" i="10"/>
  <c r="B46" i="2"/>
  <c r="AB29" i="10"/>
  <c r="B15" i="13"/>
  <c r="AB79" i="10"/>
  <c r="B79" i="4"/>
  <c r="AB93" i="10"/>
  <c r="AB161" i="10"/>
  <c r="B38" i="2"/>
  <c r="B33" i="3"/>
  <c r="B17" i="2"/>
  <c r="B75" i="4"/>
  <c r="AB107" i="10"/>
  <c r="B19" i="2"/>
  <c r="B14" i="3"/>
  <c r="B22" i="4"/>
  <c r="B13" i="13"/>
  <c r="B27" i="4"/>
  <c r="AB83" i="10"/>
  <c r="AB66" i="10"/>
  <c r="B13" i="3"/>
  <c r="AB179" i="10"/>
  <c r="B13" i="4"/>
  <c r="AB91" i="10"/>
  <c r="B10" i="13"/>
  <c r="B109" i="4"/>
  <c r="B14" i="2"/>
  <c r="AB115" i="10"/>
  <c r="B3" i="13"/>
  <c r="AB130" i="10"/>
  <c r="B34" i="3"/>
  <c r="B35" i="3"/>
  <c r="AB64" i="10"/>
  <c r="AB190" i="10"/>
  <c r="B120" i="4"/>
  <c r="B8" i="3"/>
  <c r="B26" i="4"/>
  <c r="AB155" i="10"/>
  <c r="AB78" i="10"/>
  <c r="B44" i="4"/>
  <c r="AB22" i="10"/>
  <c r="AB205" i="10"/>
  <c r="AB23" i="10"/>
  <c r="B25" i="3"/>
  <c r="B16" i="4"/>
  <c r="AB117" i="10"/>
  <c r="B26" i="3"/>
  <c r="B90" i="4"/>
  <c r="AB90" i="10"/>
  <c r="B27" i="3"/>
  <c r="AB89" i="10"/>
  <c r="AB14" i="10"/>
  <c r="B37" i="3"/>
  <c r="B94" i="4"/>
  <c r="B32" i="13"/>
  <c r="AB49" i="10"/>
  <c r="AB61" i="10"/>
  <c r="B119" i="4"/>
  <c r="AB178" i="10"/>
  <c r="AB96" i="10"/>
  <c r="AB201" i="10"/>
  <c r="B116" i="4"/>
  <c r="B41" i="4"/>
  <c r="B40" i="3"/>
  <c r="AB202" i="10"/>
  <c r="AB192" i="10"/>
  <c r="AB80" i="10"/>
  <c r="AB141" i="10"/>
  <c r="AB76" i="10"/>
  <c r="AB17" i="10"/>
  <c r="B122" i="4"/>
  <c r="B10" i="3"/>
  <c r="B62" i="4"/>
  <c r="B15" i="3"/>
  <c r="B41" i="13"/>
  <c r="B43" i="2"/>
  <c r="B84" i="4"/>
  <c r="B20" i="4"/>
  <c r="AB60" i="10"/>
  <c r="AB99" i="10"/>
  <c r="B55" i="4"/>
  <c r="B20" i="3"/>
  <c r="B82" i="4"/>
  <c r="B59" i="4"/>
  <c r="B7" i="3"/>
  <c r="AB156" i="10"/>
  <c r="AB85" i="10"/>
  <c r="B66" i="4"/>
  <c r="B98" i="4"/>
  <c r="AB102" i="10"/>
  <c r="AB138" i="10"/>
  <c r="B42" i="4"/>
  <c r="B9" i="13"/>
  <c r="B42" i="2"/>
  <c r="AB81" i="10"/>
  <c r="B96" i="4"/>
  <c r="B21" i="2"/>
  <c r="AB119" i="10"/>
  <c r="B38" i="3"/>
  <c r="B28" i="3"/>
  <c r="B5" i="13"/>
  <c r="AB122" i="10"/>
  <c r="B16" i="2"/>
  <c r="B14" i="4"/>
  <c r="AB111" i="10"/>
  <c r="AB112" i="10"/>
  <c r="B56" i="4"/>
  <c r="AB184" i="10"/>
  <c r="B59" i="13"/>
  <c r="B64" i="4"/>
  <c r="AB16" i="10"/>
  <c r="AB68" i="10"/>
  <c r="B8" i="13"/>
  <c r="B57" i="13"/>
  <c r="AB196" i="10"/>
  <c r="AB41" i="10"/>
  <c r="AB55" i="10"/>
  <c r="B39" i="4"/>
  <c r="B39" i="13"/>
  <c r="B37" i="4"/>
  <c r="B48" i="2"/>
  <c r="B30" i="4"/>
  <c r="AB176" i="10"/>
  <c r="B23" i="4"/>
  <c r="AB53" i="10"/>
  <c r="AB25" i="10"/>
  <c r="B63" i="2"/>
  <c r="B38" i="4"/>
  <c r="AB44" i="10"/>
  <c r="B45" i="2"/>
  <c r="AB175" i="10"/>
  <c r="B40" i="13"/>
  <c r="AB172" i="10"/>
  <c r="B17" i="4"/>
  <c r="B54" i="4"/>
  <c r="B121" i="4"/>
  <c r="B51" i="13"/>
  <c r="B71" i="4"/>
  <c r="B23" i="2"/>
  <c r="B39" i="3"/>
  <c r="AB207" i="10"/>
  <c r="B7" i="4"/>
  <c r="B51" i="4"/>
  <c r="AB154" i="10"/>
  <c r="AB84" i="10"/>
  <c r="AB82" i="10"/>
  <c r="B32" i="4"/>
  <c r="B60" i="13"/>
  <c r="AB92" i="10"/>
  <c r="AB28" i="10"/>
  <c r="B76" i="4"/>
  <c r="B115" i="4"/>
  <c r="B28" i="4"/>
  <c r="B81" i="4"/>
  <c r="B29" i="4"/>
  <c r="AB71" i="10"/>
  <c r="B42" i="13"/>
  <c r="B32" i="3"/>
  <c r="AB106" i="10"/>
  <c r="B46" i="13"/>
  <c r="AB21" i="10"/>
  <c r="AB43" i="10"/>
  <c r="AB121" i="10"/>
  <c r="AB204" i="10"/>
  <c r="B50" i="4"/>
  <c r="B70" i="4"/>
  <c r="B16" i="3"/>
  <c r="AB109" i="10"/>
  <c r="B112" i="4"/>
  <c r="B60" i="4"/>
  <c r="B29" i="2"/>
  <c r="AB195" i="10"/>
  <c r="AB47" i="10"/>
  <c r="AB206" i="10"/>
  <c r="AB169" i="10"/>
  <c r="AB62" i="10"/>
  <c r="B50" i="13"/>
  <c r="B43" i="4"/>
  <c r="B41" i="3"/>
  <c r="B123" i="4"/>
  <c r="B15" i="2"/>
  <c r="AB32" i="10"/>
  <c r="B18" i="2"/>
  <c r="B27" i="13"/>
  <c r="AB153" i="10"/>
  <c r="B32" i="2"/>
  <c r="AB159" i="10"/>
  <c r="AB142" i="10"/>
  <c r="B92" i="4"/>
  <c r="B7" i="13"/>
  <c r="B30" i="3"/>
  <c r="AB143" i="10"/>
  <c r="B45" i="4"/>
  <c r="AB3" i="10"/>
  <c r="AB144" i="10"/>
  <c r="AB137" i="10"/>
  <c r="B47" i="13"/>
  <c r="AB152" i="10"/>
  <c r="B19" i="4"/>
  <c r="B72" i="4"/>
  <c r="B36" i="13"/>
  <c r="B46" i="4"/>
  <c r="B14" i="13"/>
  <c r="AB58" i="10"/>
  <c r="B55" i="13"/>
  <c r="AB163" i="10"/>
  <c r="AB6" i="10"/>
  <c r="B93" i="4"/>
  <c r="AB35" i="10"/>
  <c r="AB164" i="10"/>
  <c r="AB98" i="10"/>
  <c r="B18" i="3"/>
  <c r="AB198" i="10"/>
  <c r="B20" i="2"/>
  <c r="AB167" i="10"/>
  <c r="AB40" i="10"/>
  <c r="B67" i="4"/>
  <c r="AB145" i="10"/>
  <c r="B53" i="13"/>
  <c r="AB42" i="10"/>
  <c r="AB74" i="10"/>
  <c r="AB200" i="10"/>
  <c r="B50" i="2"/>
  <c r="AB87" i="10"/>
  <c r="AB127" i="10"/>
  <c r="AB46" i="10"/>
  <c r="B49" i="13"/>
  <c r="AB86" i="10"/>
  <c r="B18" i="4"/>
  <c r="B24" i="3"/>
  <c r="B88" i="4"/>
  <c r="AB24" i="10"/>
  <c r="AB150" i="10"/>
  <c r="AB65" i="10"/>
  <c r="B30" i="2"/>
  <c r="AB95" i="10"/>
  <c r="AB126" i="10"/>
  <c r="AB38" i="10"/>
  <c r="AB173" i="10"/>
  <c r="B113" i="4"/>
  <c r="AB50" i="10"/>
  <c r="B22" i="3"/>
  <c r="B87" i="4"/>
  <c r="AB177" i="10"/>
  <c r="AB135" i="10"/>
  <c r="AB45" i="10"/>
  <c r="AB5" i="10"/>
  <c r="B43" i="13"/>
  <c r="AB171" i="10"/>
  <c r="AB18" i="10"/>
  <c r="B64" i="2"/>
  <c r="AB34" i="10"/>
  <c r="B80" i="4"/>
  <c r="B58" i="13"/>
  <c r="AB97" i="10"/>
  <c r="AB30" i="10"/>
  <c r="B51" i="2"/>
  <c r="B110" i="4"/>
  <c r="AB197" i="10"/>
  <c r="AB166" i="10"/>
  <c r="AB199" i="10"/>
  <c r="B48" i="4"/>
  <c r="B22" i="2"/>
  <c r="AB39" i="10"/>
  <c r="AB33" i="10"/>
  <c r="AB15" i="10"/>
  <c r="B37" i="13"/>
  <c r="B33" i="13"/>
  <c r="AB168" i="10"/>
  <c r="B36" i="3"/>
  <c r="AB125" i="10"/>
  <c r="B38" i="13"/>
  <c r="B69" i="4"/>
  <c r="AB8" i="10"/>
  <c r="B57" i="4"/>
  <c r="AB26" i="10"/>
  <c r="B28" i="2"/>
  <c r="AB101" i="10"/>
  <c r="AB120" i="10"/>
  <c r="AB183" i="10"/>
  <c r="B4" i="13"/>
  <c r="AB181" i="10"/>
  <c r="AB11" i="10"/>
  <c r="B34" i="4"/>
  <c r="AB128" i="10"/>
  <c r="B33" i="4"/>
  <c r="AB129" i="10"/>
  <c r="B48" i="13"/>
  <c r="B31" i="4"/>
  <c r="B45" i="13"/>
  <c r="AB100" i="10"/>
  <c r="B99" i="4"/>
  <c r="B59" i="2"/>
  <c r="B61" i="2"/>
  <c r="B91" i="4"/>
  <c r="B25"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3" i="3"/>
  <c r="AB13" i="10"/>
  <c r="AB151" i="10"/>
  <c r="AB4" i="10"/>
  <c r="AB133" i="10"/>
  <c r="AB185" i="10"/>
  <c r="B89" i="4"/>
  <c r="B52" i="2"/>
  <c r="AB180" i="10"/>
  <c r="AB158" i="10"/>
  <c r="AB186" i="10"/>
  <c r="B37" i="2"/>
  <c r="B10" i="4"/>
  <c r="AB27" i="10"/>
  <c r="B54" i="13"/>
  <c r="AB124" i="10"/>
  <c r="B19" i="3"/>
  <c r="AB193" i="10"/>
  <c r="AB160" i="10"/>
  <c r="B29" i="3"/>
  <c r="B35" i="13"/>
  <c r="AB132" i="10"/>
  <c r="B83" i="4"/>
  <c r="B58" i="2"/>
  <c r="AB31" i="10"/>
  <c r="B11" i="3"/>
  <c r="B49" i="2"/>
  <c r="AB113" i="10"/>
  <c r="AB182" i="10"/>
  <c r="AB72" i="10"/>
  <c r="AB187" i="10"/>
  <c r="B24" i="4"/>
  <c r="AB59" i="10"/>
  <c r="B36" i="4"/>
  <c r="B49" i="4"/>
  <c r="B31" i="3"/>
  <c r="B65" i="4"/>
  <c r="B53" i="4"/>
  <c r="AB36" i="10"/>
  <c r="B52" i="13"/>
  <c r="AB191" i="10"/>
  <c r="B11" i="13"/>
  <c r="AB116" i="10"/>
  <c r="AB73" i="10"/>
  <c r="B118" i="4"/>
  <c r="AB114" i="10"/>
  <c r="AB48" i="10"/>
  <c r="AB147" i="10"/>
  <c r="B11" i="4"/>
  <c r="B95" i="4"/>
  <c r="AB188" i="10"/>
  <c r="B8" i="4"/>
  <c r="B56" i="13"/>
  <c r="B24" i="2"/>
  <c r="B114" i="4"/>
  <c r="B78" i="4"/>
  <c r="B26" i="2"/>
  <c r="AB146" i="10"/>
  <c r="AB37" i="10"/>
  <c r="B35" i="4"/>
  <c r="B17" i="3"/>
  <c r="AB88" i="10"/>
  <c r="AB136" i="10"/>
  <c r="AB134" i="10"/>
  <c r="AB140" i="10"/>
  <c r="B77" i="4"/>
  <c r="B39" i="2"/>
  <c r="AB103" i="10"/>
  <c r="AB203" i="10"/>
  <c r="AB57" i="10"/>
  <c r="AB10" i="10"/>
  <c r="AB20" i="10"/>
  <c r="B58" i="4"/>
  <c r="B33" i="2"/>
  <c r="AB9" i="10"/>
  <c r="B86" i="4"/>
  <c r="AB70" i="10"/>
  <c r="B12" i="4"/>
  <c r="B40" i="4"/>
  <c r="AB19" i="10"/>
  <c r="AB118" i="10"/>
  <c r="B52" i="4"/>
  <c r="AB12" i="10"/>
  <c r="B53" i="2"/>
  <c r="B9" i="4"/>
  <c r="B111" i="4"/>
  <c r="AB189" i="10"/>
  <c r="B73" i="4"/>
  <c r="AB54" i="10"/>
  <c r="AB148" i="10"/>
  <c r="B15" i="4"/>
  <c r="AB174" i="10"/>
  <c r="B21" i="4"/>
  <c r="B9" i="2"/>
  <c r="B40" i="2"/>
  <c r="B10" i="2"/>
  <c r="B8" i="2"/>
  <c r="B104" i="4"/>
  <c r="B7" i="2"/>
  <c r="B101" i="4"/>
  <c r="B11" i="2"/>
  <c r="B106" i="4"/>
  <c r="AB209" i="10"/>
  <c r="B34" i="2"/>
  <c r="B55" i="2"/>
  <c r="B102" i="4"/>
  <c r="B13" i="2"/>
  <c r="B56" i="2"/>
  <c r="B107" i="4"/>
  <c r="B74" i="4"/>
  <c r="B12" i="2"/>
  <c r="B35" i="2"/>
  <c r="B105" i="4"/>
  <c r="B100" i="4"/>
  <c r="B103" i="4"/>
  <c r="G3" i="4" l="1"/>
  <c r="S5" i="4" a="1"/>
  <c r="S5" i="4" s="1"/>
  <c r="S5" i="2" a="1"/>
  <c r="S5" i="2" s="1"/>
  <c r="S5" i="3" a="1"/>
  <c r="S5" i="3" s="1"/>
  <c r="B6" i="1"/>
  <c r="E2" i="26" s="1"/>
  <c r="G4" i="4" l="1"/>
  <c r="F5" i="4"/>
  <c r="E5" i="4"/>
  <c r="G5" i="4" s="1"/>
  <c r="B9" i="1"/>
  <c r="C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<sst xmlns="http://schemas.openxmlformats.org/spreadsheetml/2006/main" count="24612" uniqueCount="7547">
  <si>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</si>
  <si>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</si>
  <si>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</si>
  <si>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</si>
  <si>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</si>
  <si>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</si>
  <si>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</si>
  <si>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</si>
  <si>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</si>
  <si>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</si>
  <si>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</si>
  <si>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</si>
  <si>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</si>
  <si>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</si>
  <si>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</si>
  <si>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</si>
  <si>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</si>
  <si>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</si>
  <si>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</si>
  <si>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</si>
  <si>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</si>
  <si>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</si>
  <si>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</si>
  <si>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</si>
  <si>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</si>
  <si>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</si>
  <si>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</si>
  <si>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</si>
  <si>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</si>
  <si>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</si>
  <si>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</si>
  <si>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</si>
  <si>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</si>
  <si>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</si>
  <si>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</si>
  <si>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</si>
  <si>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</si>
  <si>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</si>
  <si>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</si>
  <si>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</si>
  <si>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</si>
  <si>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</si>
  <si>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</si>
  <si>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</si>
  <si>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</si>
  <si>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</si>
  <si>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</si>
  <si>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</si>
  <si>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</si>
  <si>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</si>
  <si>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</si>
  <si>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</si>
  <si>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</si>
  <si>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</si>
  <si>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</si>
  <si>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</si>
  <si>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</si>
  <si>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</si>
  <si>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</si>
  <si>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</si>
  <si>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</si>
  <si>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</si>
  <si>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</si>
  <si>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</si>
  <si>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</si>
  <si>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</si>
  <si>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</si>
  <si>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</si>
  <si>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</si>
  <si>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</si>
  <si>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</si>
  <si>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</si>
  <si>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</si>
  <si>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</si>
  <si>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</si>
  <si>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</si>
  <si>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</si>
  <si>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</si>
  <si>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</si>
  <si>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</si>
  <si>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</si>
  <si>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</si>
  <si>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</si>
  <si>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</si>
  <si>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</si>
  <si>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</si>
  <si>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</si>
  <si>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</si>
  <si>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</si>
  <si>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</si>
  <si>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</si>
  <si>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</si>
  <si>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</si>
  <si>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</si>
  <si>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</si>
  <si>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</si>
  <si>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</si>
  <si>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</si>
  <si>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</si>
  <si>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</si>
  <si>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</si>
  <si>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</si>
  <si>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</si>
  <si>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</si>
  <si>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</si>
  <si>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</si>
  <si>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</si>
  <si>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</si>
  <si>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</si>
  <si>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</si>
  <si>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</si>
  <si>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</si>
  <si>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</si>
  <si>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</si>
  <si>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</si>
  <si>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</si>
  <si>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</si>
  <si>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</si>
  <si>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</si>
  <si>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</si>
  <si>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</si>
  <si>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</si>
  <si>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</si>
  <si>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</si>
  <si>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</si>
  <si>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</si>
  <si>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</si>
  <si>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</si>
  <si>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</si>
  <si>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</si>
  <si>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</si>
  <si>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</si>
  <si>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</si>
  <si>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</si>
  <si>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</si>
  <si>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</si>
  <si>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</si>
  <si>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</si>
  <si>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</si>
  <si>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</si>
  <si>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</si>
  <si>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</si>
  <si>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</si>
  <si>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</si>
  <si>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</si>
  <si>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</si>
  <si>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</si>
  <si>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</si>
  <si>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</si>
  <si>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</si>
  <si>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</si>
  <si>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</si>
  <si>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</si>
  <si>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</si>
  <si>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</si>
  <si>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</si>
  <si>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</si>
  <si>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</si>
  <si>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</si>
  <si>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</si>
  <si>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</si>
  <si>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</si>
  <si>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</si>
  <si>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</si>
  <si>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</si>
  <si>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</si>
  <si>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</si>
  <si>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</si>
  <si>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</si>
  <si>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</si>
  <si>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</si>
  <si>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</si>
  <si>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</si>
  <si>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</si>
  <si>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</si>
  <si>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</si>
  <si>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</si>
  <si>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</si>
  <si>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</si>
  <si>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</si>
  <si>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</si>
  <si>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</si>
  <si>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</si>
  <si>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</si>
  <si>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</si>
  <si>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</si>
  <si>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</si>
  <si>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</si>
  <si>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</si>
  <si>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</si>
  <si>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</si>
  <si>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</si>
  <si>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</si>
  <si>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</si>
  <si>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</si>
  <si>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</si>
  <si>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</si>
  <si>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</si>
  <si>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</si>
  <si>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</si>
  <si>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</si>
  <si>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</si>
  <si>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</si>
  <si>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</si>
  <si>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</si>
  <si>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</si>
  <si>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</si>
  <si>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</si>
  <si>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</si>
  <si>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</si>
  <si>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</si>
  <si>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</si>
  <si>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</si>
  <si>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</si>
  <si>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</si>
  <si>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</si>
  <si>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</si>
  <si>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</si>
  <si>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</si>
  <si>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</si>
  <si>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</si>
  <si>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</si>
  <si>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</si>
  <si>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</si>
  <si>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</si>
  <si>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</si>
  <si>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</si>
  <si>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</si>
  <si>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</si>
  <si>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</si>
  <si>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</si>
  <si>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</si>
  <si>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</si>
  <si>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</si>
  <si>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</si>
  <si>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</si>
  <si>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</si>
  <si>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</si>
  <si>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</si>
  <si>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</si>
  <si>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</si>
  <si>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</si>
  <si>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</si>
  <si>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</si>
  <si>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</si>
  <si>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</si>
  <si>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</si>
  <si>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</si>
  <si>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</si>
  <si>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</si>
  <si>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</si>
  <si>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</si>
  <si>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</si>
  <si>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</si>
  <si>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</si>
  <si>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</si>
  <si>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</si>
  <si>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</si>
  <si>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</si>
  <si>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</si>
  <si>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</si>
  <si>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</si>
  <si>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</si>
  <si>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</si>
  <si>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</si>
  <si>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</si>
  <si>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</si>
  <si>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</si>
  <si>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</si>
  <si>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</si>
  <si>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</si>
  <si>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</si>
  <si>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</si>
  <si>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</si>
  <si>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</si>
  <si>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</si>
  <si>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</si>
  <si>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</si>
  <si>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</si>
  <si>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</si>
  <si>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</si>
  <si>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</si>
  <si>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</si>
  <si>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</si>
  <si>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</si>
  <si>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</si>
  <si>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</si>
  <si>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</si>
  <si>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</si>
  <si>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</si>
  <si>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</si>
  <si>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</si>
  <si>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</si>
  <si>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</si>
  <si>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</si>
  <si>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</si>
  <si>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</si>
  <si>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</si>
  <si>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</si>
  <si>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</si>
  <si>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</si>
  <si>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</si>
  <si>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</si>
  <si>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</si>
  <si>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</si>
  <si>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</si>
  <si>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</si>
  <si>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</si>
  <si>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</si>
  <si>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</si>
  <si>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</si>
  <si>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</si>
  <si>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</si>
  <si>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</si>
  <si>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</si>
  <si>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</si>
  <si>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</si>
  <si>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</si>
  <si>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</si>
  <si>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</si>
  <si>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</si>
  <si>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</si>
  <si>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</si>
  <si>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</si>
  <si>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</si>
  <si>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</si>
  <si>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</si>
  <si>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</si>
  <si>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</si>
  <si>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</si>
  <si>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</si>
  <si>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</si>
  <si>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</si>
  <si>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</si>
  <si>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</si>
  <si>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</si>
  <si>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</si>
  <si>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</si>
  <si>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</si>
  <si>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</si>
  <si>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</si>
  <si>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</si>
  <si>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</si>
  <si>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</si>
  <si>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</si>
  <si>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</si>
  <si>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</si>
  <si>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</si>
  <si>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</si>
  <si>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</si>
  <si>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</si>
  <si>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</si>
  <si>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</si>
  <si>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</si>
  <si>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</si>
  <si>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</si>
  <si>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</si>
  <si>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</si>
  <si>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</si>
  <si>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</si>
  <si>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</si>
  <si>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</si>
  <si>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</si>
  <si>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</si>
  <si>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</si>
  <si>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</si>
  <si>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</si>
  <si>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</si>
  <si>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</si>
  <si>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</si>
  <si>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</si>
  <si>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</si>
  <si>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</si>
  <si>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</si>
  <si>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</si>
  <si>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</si>
  <si>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</si>
  <si>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</si>
  <si>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</si>
  <si>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</si>
  <si>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</si>
  <si>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</si>
  <si>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</si>
  <si>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</si>
  <si>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</si>
  <si>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</si>
  <si>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</si>
  <si>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</si>
  <si>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</si>
  <si>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</si>
  <si>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</si>
  <si>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</si>
  <si>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</si>
  <si>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</si>
  <si>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</si>
  <si>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</si>
  <si>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</si>
  <si>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</si>
  <si>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</si>
  <si>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</si>
  <si>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</si>
  <si>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</si>
  <si>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</si>
  <si>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</si>
  <si>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</si>
  <si>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</si>
  <si>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</si>
  <si>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</si>
  <si>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</si>
  <si>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</si>
  <si>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</si>
  <si>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</si>
  <si>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</si>
  <si>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</si>
  <si>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</si>
  <si>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</si>
  <si>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</si>
  <si>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</si>
  <si>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</si>
  <si>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</si>
  <si>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</si>
  <si>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</si>
  <si>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</si>
  <si>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</si>
  <si>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</si>
  <si>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</si>
  <si>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</si>
  <si>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</si>
  <si>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</si>
  <si>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</si>
  <si>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</si>
  <si>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</si>
  <si>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</si>
  <si>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</si>
  <si>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</si>
  <si>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</si>
  <si>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</si>
  <si>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</si>
  <si>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</si>
  <si>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</si>
  <si>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</si>
  <si>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</si>
  <si>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</si>
  <si>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</si>
  <si>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</si>
  <si>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</si>
  <si>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</si>
  <si>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</si>
  <si>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</si>
  <si>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</si>
  <si>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</si>
  <si>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</si>
  <si>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</si>
  <si>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</si>
  <si>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</si>
  <si>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</si>
  <si>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</si>
  <si>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</si>
  <si>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</si>
  <si>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</si>
  <si>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</si>
  <si>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</si>
  <si>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</si>
  <si>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</si>
  <si>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</si>
  <si>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</si>
  <si>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</si>
  <si>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</si>
  <si>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</si>
  <si>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</si>
  <si>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</si>
  <si>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</si>
  <si>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</si>
  <si>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</si>
  <si>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</si>
  <si>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</si>
  <si>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</si>
  <si>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</si>
  <si>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</si>
  <si>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</si>
  <si>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</si>
  <si>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</si>
  <si>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</si>
  <si>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</si>
  <si>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</si>
  <si>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</si>
  <si>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</si>
  <si>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</si>
  <si>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</si>
  <si>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</si>
  <si>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</si>
  <si>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</si>
  <si>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</si>
  <si>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</si>
  <si>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</si>
  <si>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</si>
  <si>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</si>
  <si>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</si>
  <si>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</si>
  <si>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</si>
  <si>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</si>
  <si>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</si>
  <si>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</si>
  <si>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</si>
  <si>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</si>
  <si>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</si>
  <si>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</si>
  <si>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</si>
  <si>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</si>
  <si>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</si>
  <si>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</si>
  <si>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</si>
  <si>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</si>
  <si>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</si>
  <si>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</si>
  <si>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</si>
  <si>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</si>
  <si>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</si>
  <si>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</si>
  <si>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</si>
  <si>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</si>
  <si>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</si>
  <si>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</si>
  <si>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</si>
  <si>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</si>
  <si>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</si>
  <si>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</si>
  <si>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</si>
  <si>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</si>
  <si>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</si>
  <si>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</si>
  <si>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</si>
  <si>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</si>
  <si>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</si>
  <si>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</si>
  <si>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</si>
  <si>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</si>
  <si>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</si>
  <si>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</si>
  <si>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</si>
  <si>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</si>
  <si>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</si>
  <si>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</si>
  <si>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</si>
  <si>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</si>
  <si>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</si>
  <si>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</si>
  <si>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</si>
  <si>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</si>
  <si>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</si>
  <si>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</si>
  <si>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</si>
  <si>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</si>
  <si>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</si>
  <si>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</si>
  <si>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</si>
  <si>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</si>
  <si>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</si>
  <si>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</si>
  <si>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</si>
  <si>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</si>
  <si>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</si>
  <si>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</si>
  <si>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</si>
  <si>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</si>
  <si>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</si>
  <si>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</si>
  <si>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</si>
  <si>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</si>
  <si>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</si>
  <si>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</si>
  <si>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</si>
  <si>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</si>
  <si>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</si>
  <si>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</si>
  <si>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</si>
  <si>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</si>
  <si>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</si>
  <si>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</si>
  <si>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</si>
  <si>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</si>
  <si>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</si>
  <si>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</si>
  <si>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</si>
  <si>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</si>
  <si>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</si>
  <si>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</si>
  <si>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</si>
  <si>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</si>
  <si>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</si>
  <si>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</si>
  <si>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</si>
  <si>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</si>
  <si>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</si>
  <si>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</si>
  <si>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</si>
  <si>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</si>
  <si>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</si>
  <si>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</si>
  <si>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</si>
  <si>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</si>
  <si>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</si>
  <si>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</si>
  <si>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</si>
  <si>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</si>
  <si>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</si>
  <si>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</si>
  <si>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</si>
  <si>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</si>
  <si>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</si>
  <si>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</si>
  <si>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</si>
  <si>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</si>
  <si>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</si>
  <si>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</si>
  <si>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</si>
  <si>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</si>
  <si>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</si>
  <si>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</si>
  <si>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</si>
  <si>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</si>
  <si>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</si>
  <si>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</si>
  <si>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</si>
  <si>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</si>
  <si>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</si>
  <si>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</si>
  <si>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</si>
  <si>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</si>
  <si>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</si>
  <si>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</si>
  <si>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</si>
  <si>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</si>
  <si>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</si>
  <si>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</si>
  <si>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</si>
  <si>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</si>
  <si>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</si>
  <si>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</si>
  <si>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</si>
  <si>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</si>
  <si>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</si>
  <si>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</si>
  <si>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</si>
  <si>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</si>
  <si>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</si>
  <si>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</si>
  <si>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</si>
  <si>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</si>
  <si>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</si>
  <si>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</si>
  <si>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</si>
  <si>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</si>
  <si>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</si>
  <si>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</si>
  <si>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</si>
  <si>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</si>
  <si>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</si>
  <si>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</si>
  <si>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</si>
  <si>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</si>
  <si>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</si>
  <si>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</si>
  <si>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</si>
  <si>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</si>
  <si>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</si>
  <si>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</si>
  <si>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</si>
  <si>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</si>
  <si>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</si>
  <si>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</si>
  <si>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</si>
  <si>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</si>
  <si>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</si>
  <si>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</si>
  <si>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</si>
  <si>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</si>
  <si>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</si>
  <si>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</si>
  <si>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</si>
  <si>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</si>
  <si>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</si>
  <si>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</si>
  <si>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</si>
  <si>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</si>
  <si>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</si>
  <si>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</si>
  <si>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</si>
  <si>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</si>
  <si>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</si>
  <si>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</si>
  <si>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</si>
  <si>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</si>
  <si>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</si>
  <si>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</si>
  <si>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</si>
  <si>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</si>
  <si>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</si>
  <si>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</si>
  <si>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</si>
  <si>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</si>
  <si>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</si>
  <si>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</si>
  <si>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</si>
  <si>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</si>
  <si>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</si>
  <si>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</si>
  <si>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</si>
  <si>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</si>
  <si>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</si>
  <si>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</si>
  <si>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</si>
  <si>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</si>
  <si>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</si>
  <si>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</si>
  <si>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</si>
  <si>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</si>
  <si>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</si>
  <si>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</si>
  <si>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</si>
  <si>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</si>
  <si>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</si>
  <si>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</si>
  <si>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</si>
  <si>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</si>
  <si>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</si>
  <si>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</si>
  <si>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</si>
  <si>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</si>
  <si>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</si>
  <si>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</si>
  <si>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</si>
  <si>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</si>
  <si>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</si>
  <si>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</si>
  <si>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</si>
  <si>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</si>
  <si>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</si>
  <si>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</si>
  <si>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</si>
  <si>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</si>
  <si>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</si>
  <si>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</si>
  <si>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</si>
  <si>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</si>
  <si>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</si>
  <si>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</si>
  <si>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</si>
  <si>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</si>
  <si>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</si>
  <si>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</si>
  <si>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</si>
  <si>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</si>
  <si>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</si>
  <si>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</si>
  <si>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</si>
  <si>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</si>
  <si>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</si>
  <si>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</si>
  <si>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</si>
  <si>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</si>
  <si>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</si>
  <si>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</si>
  <si>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</si>
  <si>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</si>
  <si>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</si>
  <si>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</si>
  <si>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</si>
  <si>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</si>
  <si>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</si>
  <si>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</si>
  <si>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</si>
  <si>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</si>
  <si>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</si>
  <si>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</si>
  <si>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</si>
  <si>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</si>
  <si>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</si>
  <si>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</si>
  <si>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</si>
  <si>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</si>
  <si>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</si>
  <si>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</si>
  <si>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</si>
  <si>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</si>
  <si>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</si>
  <si>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</si>
  <si>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</si>
  <si>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</si>
  <si>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</si>
  <si>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</si>
  <si>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</si>
  <si>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</si>
  <si>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</si>
  <si>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</si>
  <si>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</si>
  <si>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</si>
  <si>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</si>
  <si>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</si>
  <si>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</si>
  <si>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</si>
  <si>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</si>
  <si>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</si>
  <si>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</si>
  <si>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</si>
  <si>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</si>
  <si>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</si>
  <si>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</si>
  <si>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</si>
  <si>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</si>
  <si>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</si>
  <si>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</si>
  <si>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</si>
  <si>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</si>
  <si>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</si>
  <si>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</si>
  <si>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</si>
  <si>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</si>
  <si>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</si>
  <si>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</si>
  <si>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</si>
  <si>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</si>
  <si>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</si>
  <si>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</si>
  <si>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</si>
  <si>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</si>
  <si>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</si>
  <si>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</si>
  <si>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</si>
  <si>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</si>
  <si>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</si>
  <si>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</si>
  <si>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</si>
  <si>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</si>
  <si>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</si>
  <si>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</si>
  <si>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</si>
  <si>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</si>
  <si>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</si>
  <si>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</si>
  <si>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</si>
  <si>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</si>
  <si>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</si>
  <si>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</si>
  <si>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</si>
  <si>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</si>
  <si>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</si>
  <si>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</si>
  <si>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</si>
  <si>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</si>
  <si>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</si>
  <si>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</si>
  <si>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</si>
  <si>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</si>
  <si>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</si>
  <si>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</si>
  <si>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</si>
  <si>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</si>
  <si>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</si>
  <si>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</si>
  <si>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</si>
  <si>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</si>
  <si>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</si>
  <si>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</si>
  <si>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</si>
  <si>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</si>
  <si>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</si>
  <si>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</si>
  <si>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</si>
  <si>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</si>
  <si>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</si>
  <si>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</si>
  <si>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</si>
  <si>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</si>
  <si>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</si>
  <si>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</si>
  <si>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</si>
  <si>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</si>
  <si>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</si>
  <si>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</si>
  <si>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</si>
  <si>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</si>
  <si>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</si>
  <si>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</si>
  <si>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</si>
  <si>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</si>
  <si>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</si>
  <si>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</si>
  <si>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</si>
  <si>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</si>
  <si>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</si>
  <si>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</si>
  <si>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</si>
  <si>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</si>
  <si>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</si>
  <si>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</si>
  <si>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</si>
  <si>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</si>
  <si>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</si>
  <si>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</si>
  <si>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</si>
  <si>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</si>
  <si>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</si>
  <si>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</si>
  <si>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</si>
  <si>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</si>
  <si>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</si>
  <si>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</si>
  <si>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</si>
  <si>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</si>
  <si>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</si>
  <si>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</si>
  <si>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</si>
  <si>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</si>
  <si>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</si>
  <si>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</si>
  <si>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</si>
  <si>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</si>
  <si>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</si>
  <si>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</si>
  <si>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</si>
  <si>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</si>
  <si>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</si>
  <si>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</si>
  <si>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</si>
  <si>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</si>
  <si>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</si>
  <si>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</si>
  <si>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</si>
  <si>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</si>
  <si>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</si>
  <si>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</si>
  <si>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</si>
  <si>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</si>
  <si>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</si>
  <si>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</si>
  <si>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</si>
  <si>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</si>
  <si>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</si>
  <si>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</si>
  <si>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</si>
  <si>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</si>
  <si>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</si>
  <si>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</si>
  <si>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</si>
  <si>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</si>
  <si>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</si>
  <si>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</si>
  <si>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</si>
  <si>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</si>
  <si>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</si>
  <si>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</si>
  <si>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</si>
  <si>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</si>
  <si>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</si>
  <si>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</si>
  <si>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</si>
  <si>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</si>
  <si>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</si>
  <si>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</si>
  <si>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</si>
  <si>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</si>
  <si>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</si>
  <si>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</si>
  <si>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</si>
  <si>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</si>
  <si>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</si>
  <si>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</si>
  <si>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</si>
  <si>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</si>
  <si>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</si>
  <si>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</si>
  <si>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</si>
  <si>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</si>
  <si>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</si>
  <si>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</si>
  <si>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</si>
  <si>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</si>
  <si>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</si>
  <si>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</si>
  <si>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</si>
  <si>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</si>
  <si>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</si>
  <si>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</si>
  <si>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</si>
  <si>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</si>
  <si>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</si>
  <si>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</si>
  <si>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</si>
  <si>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</si>
  <si>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</si>
  <si>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</si>
  <si>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</si>
  <si>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</si>
  <si>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</si>
  <si>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</si>
  <si>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</si>
  <si>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</si>
  <si>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</si>
  <si>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</si>
  <si>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</si>
  <si>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</si>
  <si>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</si>
  <si>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</si>
  <si>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</si>
  <si>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</si>
  <si>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</si>
  <si>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</si>
  <si>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</si>
  <si>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</si>
  <si>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</si>
  <si>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</si>
  <si>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</si>
  <si>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</si>
  <si>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</si>
  <si>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</si>
  <si>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</si>
  <si>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</si>
  <si>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</si>
  <si>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</si>
  <si>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</si>
  <si>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</si>
  <si>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</si>
  <si>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</si>
  <si>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</si>
  <si>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</si>
  <si>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</si>
  <si>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</si>
  <si>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</si>
  <si>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</si>
  <si>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</si>
  <si>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</si>
  <si>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</si>
  <si>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</si>
  <si>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</si>
  <si>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</si>
  <si>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</si>
  <si>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</si>
  <si>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</si>
  <si>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</si>
  <si>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</si>
  <si>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</si>
  <si>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</si>
  <si>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</si>
  <si>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</si>
  <si>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</si>
  <si>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</si>
  <si>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</si>
  <si>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</si>
  <si>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</si>
  <si>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</si>
  <si>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</si>
  <si>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</si>
  <si>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</si>
  <si>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</si>
  <si>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</si>
  <si>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</si>
  <si>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</si>
  <si>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</si>
  <si>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</si>
  <si>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</si>
  <si>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</si>
  <si>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</si>
  <si>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</si>
  <si>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</si>
  <si>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</si>
  <si>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</si>
  <si>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</si>
  <si>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</si>
  <si>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</si>
  <si>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</si>
  <si>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</si>
  <si>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</si>
  <si>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</si>
  <si>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</si>
  <si>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</si>
  <si>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</si>
  <si>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</si>
  <si>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</si>
  <si>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</si>
  <si>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</si>
  <si>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</si>
  <si>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</si>
  <si>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</si>
  <si>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</si>
  <si>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</si>
  <si>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</si>
  <si>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</si>
  <si>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</si>
  <si>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</si>
  <si>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</si>
  <si>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</si>
  <si>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</si>
  <si>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</si>
  <si>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</si>
  <si>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</si>
  <si>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</si>
  <si>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</si>
  <si>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</si>
  <si>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</si>
  <si>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</si>
  <si>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</si>
  <si>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</si>
  <si>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</si>
  <si>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</si>
  <si>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</si>
  <si>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</si>
  <si>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</si>
  <si>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</si>
  <si>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</si>
  <si>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</si>
  <si>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</si>
  <si>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</si>
  <si>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</si>
  <si>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</si>
  <si>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</si>
  <si>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</si>
  <si>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</si>
  <si>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</si>
  <si>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</si>
  <si>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</si>
  <si>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</si>
  <si>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</si>
  <si>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</si>
  <si>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</si>
  <si>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</si>
  <si>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</si>
  <si>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</si>
  <si>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</si>
  <si>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</si>
  <si>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</si>
  <si>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</si>
  <si>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</si>
  <si>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</si>
  <si>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</si>
  <si>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</si>
  <si>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</si>
  <si>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</si>
  <si>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</si>
  <si>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</si>
  <si>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</si>
  <si>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</si>
  <si>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</si>
  <si>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</si>
  <si>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</si>
  <si>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</si>
  <si>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</si>
  <si>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</si>
  <si>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</si>
  <si>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</si>
  <si>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</si>
  <si>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</si>
  <si>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</si>
  <si>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</si>
  <si>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</si>
  <si>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</si>
  <si>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</si>
  <si>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</si>
  <si>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</si>
  <si>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</si>
  <si>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</si>
  <si>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</si>
  <si>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</si>
  <si>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</si>
  <si>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</si>
  <si>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</si>
  <si>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</si>
  <si>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</si>
  <si>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</si>
  <si>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</si>
  <si>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</si>
  <si>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</si>
  <si>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</si>
  <si>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</si>
  <si>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</si>
  <si>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</si>
  <si>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</si>
  <si>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</si>
  <si>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</si>
  <si>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</si>
  <si>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</si>
  <si>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</si>
  <si>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</si>
  <si>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</si>
  <si>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</si>
  <si>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</si>
  <si>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</si>
  <si>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</si>
  <si>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</si>
  <si>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</si>
  <si>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</si>
  <si>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</si>
  <si>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</si>
  <si>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</si>
  <si>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</si>
  <si>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</si>
  <si>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</si>
  <si>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</si>
  <si>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</si>
  <si>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</si>
  <si>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</si>
  <si>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</si>
  <si>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</si>
  <si>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</si>
  <si>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</si>
  <si>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</si>
  <si>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</si>
  <si>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</si>
  <si>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</si>
  <si>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</si>
  <si>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</si>
  <si>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</si>
  <si>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</si>
  <si>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</si>
  <si>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</si>
  <si>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</si>
  <si>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</si>
  <si>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</si>
  <si>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</si>
  <si>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</si>
  <si>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</si>
  <si>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</si>
  <si>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</si>
  <si>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</si>
  <si>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</si>
  <si>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</si>
  <si>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</si>
  <si>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</si>
  <si>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</si>
  <si>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</si>
  <si>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</si>
  <si>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</si>
  <si>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</si>
  <si>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</si>
  <si>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</si>
  <si>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</si>
  <si>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</si>
  <si>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</si>
  <si>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</si>
  <si>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</si>
  <si>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</si>
  <si>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</si>
  <si>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</si>
  <si>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</si>
  <si>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</si>
  <si>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</si>
  <si>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</si>
  <si>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</si>
  <si>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</si>
  <si>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</si>
  <si>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</si>
  <si>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</si>
  <si>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</si>
  <si>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</si>
  <si>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</si>
  <si>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</si>
  <si>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</si>
  <si>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</si>
  <si>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</si>
  <si>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</si>
  <si>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</si>
  <si>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</si>
  <si>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</si>
  <si>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</si>
  <si>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</si>
  <si>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</si>
  <si>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</si>
  <si>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</si>
  <si>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</si>
  <si>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</si>
  <si>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</si>
  <si>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</si>
  <si>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</si>
  <si>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</si>
  <si>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</si>
  <si>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</si>
  <si>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</si>
  <si>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</si>
  <si>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</si>
  <si>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</si>
  <si>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</si>
  <si>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</si>
  <si>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</si>
  <si>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</si>
  <si>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</si>
  <si>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</si>
  <si>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</si>
  <si>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</si>
  <si>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</si>
  <si>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</si>
  <si>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</si>
  <si>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</si>
  <si>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</si>
  <si>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</si>
  <si>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</si>
  <si>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</si>
  <si>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</si>
  <si>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</si>
  <si>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</si>
  <si>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</si>
  <si>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</si>
  <si>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</si>
  <si>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</si>
  <si>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</si>
  <si>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</si>
  <si>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</si>
  <si>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</si>
  <si>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</si>
  <si>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</si>
  <si>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</si>
  <si>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</si>
  <si>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</si>
  <si>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</si>
  <si>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</si>
  <si>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</si>
  <si>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</si>
  <si>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</si>
  <si>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</si>
  <si>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</si>
  <si>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</si>
  <si>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</si>
  <si>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</si>
  <si>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</si>
  <si>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</si>
  <si>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</si>
  <si>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</si>
  <si>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</si>
  <si>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</si>
  <si>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</si>
  <si>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</si>
  <si>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</si>
  <si>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</si>
  <si>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</si>
  <si>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</si>
  <si>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</si>
  <si>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</si>
  <si>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</si>
  <si>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</si>
  <si>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</si>
  <si>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</si>
  <si>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</si>
  <si>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</si>
  <si>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</si>
  <si>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</si>
  <si>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</si>
  <si>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</si>
  <si>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</si>
  <si>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</si>
  <si>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</si>
  <si>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</si>
  <si>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</si>
  <si>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</si>
  <si>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</si>
  <si>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</si>
  <si>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</si>
  <si>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</si>
  <si>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</si>
  <si>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</si>
  <si>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</si>
  <si>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</si>
  <si>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</si>
  <si>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</si>
  <si>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</si>
  <si>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</si>
  <si>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</si>
  <si>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</si>
  <si>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</si>
  <si>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</si>
  <si>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</si>
  <si>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</si>
  <si>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</si>
  <si>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</si>
  <si>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</si>
  <si>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</si>
  <si>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</si>
  <si>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</si>
  <si>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</si>
  <si>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</si>
  <si>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</si>
  <si>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</si>
  <si>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</si>
  <si>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</si>
  <si>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</si>
  <si>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</si>
  <si>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</si>
  <si>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</si>
  <si>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</si>
  <si>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</si>
  <si>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</si>
  <si>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</si>
  <si>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</si>
  <si>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</si>
  <si>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</si>
  <si>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</si>
  <si>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</si>
  <si>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</si>
  <si>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</si>
  <si>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</si>
  <si>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</si>
  <si>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</si>
  <si>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</si>
  <si>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</si>
  <si>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</si>
  <si>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</si>
  <si>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</si>
  <si>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</si>
  <si>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</si>
  <si>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</si>
  <si>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</si>
  <si>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</si>
  <si>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</si>
  <si>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</si>
  <si>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</si>
  <si>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</si>
  <si>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</si>
  <si>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</si>
  <si>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</si>
  <si>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</si>
  <si>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</si>
  <si>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</si>
  <si>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</si>
  <si>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</si>
  <si>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</si>
  <si>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</si>
  <si>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</si>
  <si>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</si>
  <si>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</si>
  <si>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</si>
  <si>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</si>
  <si>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</si>
  <si>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</si>
  <si>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</si>
  <si>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</si>
  <si>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</si>
  <si>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</si>
  <si>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</si>
  <si>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</si>
  <si>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</si>
  <si>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</si>
  <si>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</si>
  <si>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</si>
  <si>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</si>
  <si>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</si>
  <si>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</si>
  <si>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</si>
  <si>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</si>
  <si>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</si>
  <si>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</si>
  <si>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</si>
  <si>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</si>
  <si>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</si>
  <si>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</si>
  <si>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</si>
  <si>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</si>
  <si>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</si>
  <si>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</si>
  <si>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</si>
  <si>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</si>
  <si>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</si>
  <si>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</si>
  <si>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</si>
  <si>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</si>
  <si>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</si>
  <si>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</si>
  <si>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</si>
  <si>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</si>
  <si>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</si>
  <si>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</si>
  <si>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</si>
  <si>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</si>
  <si>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</si>
  <si>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</si>
  <si>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</si>
  <si>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</si>
  <si>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</si>
  <si>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</si>
  <si>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</si>
  <si>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</si>
  <si>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</si>
  <si>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</si>
  <si>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</si>
  <si>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</si>
  <si>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</si>
  <si>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</si>
  <si>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</si>
  <si>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</si>
  <si>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</si>
  <si>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</si>
  <si>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</si>
  <si>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</si>
  <si>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</si>
  <si>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</si>
  <si>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</si>
  <si>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</si>
  <si>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</si>
  <si>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</si>
  <si>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</si>
  <si>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</si>
  <si>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</si>
  <si>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</si>
  <si>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</si>
  <si>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</si>
  <si>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</si>
  <si>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</si>
  <si>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</si>
  <si>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</si>
  <si>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</si>
  <si>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</si>
  <si>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</si>
  <si>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</si>
  <si>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</si>
  <si>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</si>
  <si>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</si>
  <si>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</si>
  <si>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</si>
  <si>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</si>
  <si>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</si>
  <si>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</si>
  <si>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</si>
  <si>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</si>
  <si>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</si>
  <si>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</si>
  <si>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</si>
  <si>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</si>
  <si>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</si>
  <si>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</si>
  <si>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</si>
  <si>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</si>
  <si>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</si>
  <si>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</si>
  <si>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</si>
  <si>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</si>
  <si>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</si>
  <si>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</si>
  <si>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</si>
  <si>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</si>
  <si>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</si>
  <si>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</si>
  <si>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</si>
  <si>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</si>
  <si>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</si>
  <si>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</si>
  <si>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</si>
  <si>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</si>
  <si>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</si>
  <si>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</si>
  <si>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</si>
  <si>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</si>
  <si>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</si>
  <si>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</si>
  <si>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</si>
  <si>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</si>
  <si>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</si>
  <si>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</si>
  <si>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</si>
  <si>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</si>
  <si>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</si>
  <si>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</si>
  <si>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</si>
  <si>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</si>
  <si>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</si>
  <si>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</si>
  <si>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</si>
  <si>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</si>
  <si>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</si>
  <si>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</si>
  <si>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</si>
  <si>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</si>
  <si>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</si>
  <si>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</si>
  <si>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</si>
  <si>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</si>
  <si>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</si>
  <si>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</si>
  <si>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</si>
  <si>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</si>
  <si>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</si>
  <si>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</si>
  <si>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</si>
  <si>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</si>
  <si>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</si>
  <si>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</si>
  <si>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</si>
  <si>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</si>
  <si>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</si>
  <si>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</si>
  <si>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</si>
  <si>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</si>
  <si>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</si>
  <si>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</si>
  <si>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</si>
  <si>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</si>
  <si>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</si>
  <si>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</si>
  <si>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</si>
  <si>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</si>
  <si>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</si>
  <si>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</si>
  <si>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</si>
  <si>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</si>
  <si>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</si>
  <si>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</si>
  <si>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</si>
  <si>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</si>
  <si>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</si>
  <si>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</si>
  <si>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</si>
  <si>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</si>
  <si>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</si>
  <si>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</si>
  <si>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</si>
  <si>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</si>
  <si>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</si>
  <si>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</si>
  <si>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</si>
  <si>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</si>
  <si>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</si>
  <si>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</si>
  <si>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</si>
  <si>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</si>
  <si>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</si>
  <si>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</si>
  <si>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</si>
  <si>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</si>
  <si>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</si>
  <si>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</si>
  <si>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</si>
  <si>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</si>
  <si>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</si>
  <si>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</si>
  <si>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</si>
  <si>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</si>
  <si>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</si>
  <si>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</si>
  <si>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</si>
  <si>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</si>
  <si>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</si>
  <si>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</si>
  <si>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</si>
  <si>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</si>
  <si>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</si>
  <si>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</si>
  <si>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</si>
  <si>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</si>
  <si>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</si>
  <si>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</si>
  <si>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</si>
  <si>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</si>
  <si>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</si>
  <si>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</si>
  <si>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</si>
  <si>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</si>
  <si>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</si>
  <si>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</si>
  <si>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</si>
  <si>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</si>
  <si>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</si>
  <si>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</si>
  <si>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</si>
  <si>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</si>
  <si>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</si>
  <si>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</si>
  <si>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</si>
  <si>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</si>
  <si>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</si>
  <si>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</si>
  <si>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</si>
  <si>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</si>
  <si>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</si>
  <si>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</si>
  <si>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</si>
  <si>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</si>
  <si>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</si>
  <si>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</si>
  <si>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</si>
  <si>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</si>
  <si>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</si>
  <si>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</si>
  <si>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</si>
  <si>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</si>
  <si>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</si>
  <si>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</si>
  <si>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</si>
  <si>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</si>
  <si>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</si>
  <si>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</si>
  <si>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</si>
  <si>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</si>
  <si>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</si>
  <si>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</si>
  <si>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</si>
  <si>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</si>
  <si>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</si>
  <si>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</si>
  <si>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</si>
  <si>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</si>
  <si>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</si>
  <si>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</si>
  <si>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</si>
  <si>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</si>
  <si>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</si>
  <si>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</si>
  <si>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</si>
  <si>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</si>
  <si>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</si>
  <si>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</si>
  <si>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</si>
  <si>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</si>
  <si>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</si>
  <si>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</si>
  <si>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</si>
  <si>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</si>
  <si>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</si>
  <si>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</si>
  <si>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</si>
  <si>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</si>
  <si>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</si>
  <si>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</si>
  <si>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</si>
  <si>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</si>
  <si>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</si>
  <si>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</si>
  <si>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</si>
  <si>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</si>
  <si>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</si>
  <si>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</si>
  <si>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</si>
  <si>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</si>
  <si>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</si>
  <si>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</si>
  <si>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</si>
  <si>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</si>
  <si>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</si>
  <si>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</si>
  <si>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</si>
  <si>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</si>
  <si>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</si>
  <si>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</si>
  <si>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</si>
  <si>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</si>
  <si>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</si>
  <si>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</si>
  <si>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</si>
  <si>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</si>
  <si>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</si>
  <si>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</si>
  <si>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</si>
  <si>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</si>
  <si>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</si>
  <si>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</si>
  <si>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</si>
  <si>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</si>
  <si>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</si>
  <si>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</si>
  <si>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</si>
  <si>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</si>
  <si>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</si>
  <si>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</si>
  <si>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</si>
  <si>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</si>
  <si>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</si>
  <si>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</si>
  <si>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</si>
  <si>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</si>
  <si>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</si>
  <si>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</si>
  <si>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</si>
  <si>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</si>
  <si>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</si>
  <si>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</si>
  <si>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</si>
  <si>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</si>
  <si>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</si>
  <si>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</si>
  <si>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</si>
  <si>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</si>
  <si>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</si>
  <si>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</si>
  <si>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</si>
  <si>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</si>
  <si>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</si>
  <si>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</si>
  <si>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</si>
  <si>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</si>
  <si>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</si>
  <si>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</si>
  <si>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</si>
  <si>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</si>
  <si>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</si>
  <si>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</si>
  <si>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</si>
  <si>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</si>
  <si>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</si>
  <si>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</si>
  <si>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</si>
  <si>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</si>
  <si>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</si>
  <si>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</si>
  <si>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</si>
  <si>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</si>
  <si>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</si>
  <si>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</si>
  <si>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</si>
  <si>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</si>
  <si>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</si>
  <si>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</si>
  <si>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</si>
  <si>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</si>
  <si>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</si>
  <si>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</si>
  <si>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</si>
  <si>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</si>
  <si>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</si>
  <si>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</si>
  <si>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</si>
  <si>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</si>
  <si>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</si>
  <si>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</si>
  <si>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</si>
  <si>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</si>
  <si>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</si>
  <si>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</si>
  <si>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</si>
  <si>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</si>
  <si>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</si>
  <si>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</si>
  <si>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</si>
  <si>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</si>
  <si>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</si>
  <si>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</si>
  <si>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</si>
  <si>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</si>
  <si>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</si>
  <si>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</si>
  <si>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</si>
  <si>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</si>
  <si>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</si>
  <si>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</si>
  <si>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</si>
  <si>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</si>
  <si>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</si>
  <si>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</si>
  <si>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</si>
  <si>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</si>
  <si>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</si>
  <si>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</si>
  <si>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</si>
  <si>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</si>
  <si>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</si>
  <si>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</si>
  <si>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</si>
  <si>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</si>
  <si>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</si>
  <si>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</si>
  <si>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</si>
  <si>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</si>
  <si>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</si>
  <si>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</si>
  <si>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</si>
  <si>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</si>
  <si>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</si>
  <si>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</si>
  <si>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</si>
  <si>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</si>
  <si>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</si>
  <si>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</si>
  <si>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</si>
  <si>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</si>
  <si>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</si>
  <si>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</si>
  <si>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</si>
  <si>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</si>
  <si>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</si>
  <si>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</si>
  <si>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</si>
  <si>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</si>
  <si>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</si>
  <si>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</si>
  <si>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</si>
  <si>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</si>
  <si>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</si>
  <si>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</si>
  <si>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</si>
  <si>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</si>
  <si>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</si>
  <si>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</si>
  <si>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</si>
  <si>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</si>
  <si>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</si>
  <si>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</si>
  <si>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</si>
  <si>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</si>
  <si>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</si>
  <si>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</si>
  <si>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</si>
  <si>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</si>
  <si>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</si>
  <si>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</si>
  <si>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</si>
  <si>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</si>
  <si>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</si>
  <si>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</si>
  <si>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</si>
  <si>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</si>
  <si>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</si>
  <si>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</si>
  <si>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</si>
  <si>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</si>
  <si>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</si>
  <si>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</si>
  <si>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</si>
  <si>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</si>
  <si>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</si>
  <si>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</si>
  <si>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</si>
  <si>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</si>
  <si>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</si>
  <si>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</si>
  <si>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</si>
  <si>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</si>
  <si>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</si>
  <si>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</si>
  <si>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</si>
  <si>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</si>
  <si>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</si>
  <si>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</si>
  <si>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</si>
  <si>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</si>
  <si>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</si>
  <si>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</si>
  <si>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</si>
  <si>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</si>
  <si>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</si>
  <si>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</si>
  <si>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</si>
  <si>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</si>
  <si>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</si>
  <si>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</si>
  <si>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</si>
  <si>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</si>
  <si>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</si>
  <si>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</si>
  <si>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</si>
  <si>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</si>
  <si>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</si>
  <si>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</si>
  <si>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</si>
  <si>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</si>
  <si>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</si>
  <si>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</si>
  <si>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</si>
  <si>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</si>
  <si>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</si>
  <si>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</si>
  <si>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</si>
  <si>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</si>
  <si>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</si>
  <si>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</si>
  <si>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</si>
  <si>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</si>
  <si>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</si>
  <si>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</si>
  <si>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</si>
  <si>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</si>
  <si>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</si>
  <si>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</si>
  <si>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</si>
  <si>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</si>
  <si>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</si>
  <si>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</si>
  <si>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</si>
  <si>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</si>
  <si>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</si>
  <si>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</si>
  <si>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</si>
  <si>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</si>
  <si>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</si>
  <si>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</si>
  <si>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</si>
  <si>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</si>
  <si>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</si>
  <si>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</si>
  <si>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</si>
  <si>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</si>
  <si>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</si>
  <si>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</si>
  <si>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</si>
  <si>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</si>
  <si>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</si>
  <si>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</si>
  <si>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</si>
  <si>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</si>
  <si>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</si>
  <si>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</si>
  <si>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</si>
  <si>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</si>
  <si>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</si>
  <si>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</si>
  <si>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</si>
  <si>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</si>
  <si>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</si>
  <si>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</si>
  <si>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</si>
  <si>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</si>
  <si>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</si>
  <si>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</si>
  <si>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</si>
  <si>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</si>
  <si>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</si>
  <si>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</si>
  <si>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</si>
  <si>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</si>
  <si>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</si>
  <si>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</si>
  <si>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</si>
  <si>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</si>
  <si>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</si>
  <si>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</si>
  <si>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</si>
  <si>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</si>
  <si>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</si>
  <si>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</si>
  <si>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</si>
  <si>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</si>
  <si>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</si>
  <si>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</si>
  <si>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</si>
  <si>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</si>
  <si>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</si>
  <si>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</si>
  <si>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</si>
  <si>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</si>
  <si>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</si>
  <si>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</si>
  <si>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</si>
  <si>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</si>
  <si>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</si>
  <si>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</si>
  <si>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</si>
  <si>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</si>
  <si>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</si>
  <si>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</si>
  <si>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</si>
  <si>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</si>
  <si>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</si>
  <si>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</si>
  <si>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</si>
  <si>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</si>
  <si>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</si>
  <si>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</si>
  <si>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</si>
  <si>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</si>
  <si>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</si>
  <si>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</si>
  <si>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</si>
  <si>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</si>
  <si>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</si>
  <si>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</si>
  <si>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</si>
  <si>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</si>
  <si>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</si>
  <si>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</si>
  <si>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</si>
  <si>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</si>
  <si>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</si>
  <si>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</si>
  <si>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</si>
  <si>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</si>
  <si>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</si>
  <si>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</si>
  <si>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</si>
  <si>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</si>
  <si>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</si>
  <si>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</si>
  <si>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</si>
  <si>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</si>
  <si>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</si>
  <si>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</si>
  <si>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</si>
  <si>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</si>
  <si>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</si>
  <si>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</si>
  <si>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</si>
  <si>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</si>
  <si>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</si>
  <si>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</si>
  <si>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</si>
  <si>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</si>
  <si>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</si>
  <si>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</si>
  <si>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</si>
  <si>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</si>
  <si>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</si>
  <si>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</si>
  <si>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</si>
  <si>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</si>
  <si>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</si>
  <si>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</si>
  <si>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</si>
  <si>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</si>
  <si>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</si>
  <si>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</si>
  <si>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</si>
  <si>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</si>
  <si>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</si>
  <si>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</si>
  <si>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</si>
  <si>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</si>
  <si>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</si>
  <si>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</si>
  <si>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</si>
  <si>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</si>
  <si>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</si>
  <si>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</si>
  <si>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</si>
  <si>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</si>
  <si>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</si>
  <si>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</si>
  <si>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</si>
  <si>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</si>
  <si>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</si>
  <si>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</si>
  <si>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</si>
  <si>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</si>
  <si>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</si>
  <si>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</si>
  <si>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</si>
  <si>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</si>
  <si>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</si>
  <si>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</si>
  <si>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</si>
  <si>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</si>
  <si>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</si>
  <si>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</si>
  <si>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</si>
  <si>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</si>
  <si>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</si>
  <si>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</si>
  <si>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</si>
  <si>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</si>
  <si>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</si>
  <si>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</si>
  <si>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</si>
  <si>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</si>
  <si>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</si>
  <si>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</si>
  <si>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</si>
  <si>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</si>
  <si>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</si>
  <si>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</si>
  <si>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</si>
  <si>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</si>
  <si>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</si>
  <si>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</si>
  <si>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</si>
  <si>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</si>
  <si>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</si>
  <si>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</si>
  <si>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</si>
  <si>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</si>
  <si>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</si>
  <si>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</si>
  <si>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</si>
  <si>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</si>
  <si>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</si>
  <si>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</si>
  <si>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</si>
  <si>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</si>
  <si>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</si>
  <si>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</si>
  <si>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</si>
  <si>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</si>
  <si>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</si>
  <si>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</si>
  <si>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</si>
  <si>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</si>
  <si>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</si>
  <si>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</si>
  <si>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</si>
  <si>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</si>
  <si>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</si>
  <si>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</si>
  <si>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</si>
  <si>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</si>
  <si>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</si>
  <si>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</si>
  <si>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</si>
  <si>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</si>
  <si>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</si>
  <si>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</si>
  <si>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</si>
  <si>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</si>
  <si>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</si>
  <si>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</si>
  <si>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</si>
  <si>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</si>
  <si>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</si>
  <si>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</si>
  <si>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</si>
  <si>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</si>
  <si>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</si>
  <si>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</si>
  <si>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</si>
  <si>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</si>
  <si>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</si>
  <si>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</si>
  <si>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</si>
  <si>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</si>
  <si>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</si>
  <si>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</si>
  <si>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</si>
  <si>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</si>
  <si>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</si>
  <si>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</si>
  <si>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</si>
  <si>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</si>
  <si>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</si>
  <si>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</si>
  <si>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</si>
  <si>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</si>
  <si>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</si>
  <si>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</si>
  <si>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</si>
  <si>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</si>
  <si>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</si>
  <si>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</si>
  <si>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</si>
  <si>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</si>
  <si>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</si>
  <si>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</si>
  <si>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</si>
  <si>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</si>
  <si>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</si>
  <si>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</si>
  <si>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</si>
  <si>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</si>
  <si>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</si>
  <si>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</si>
  <si>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</si>
  <si>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</si>
  <si>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</si>
  <si>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</si>
  <si>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</si>
  <si>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</si>
  <si>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</si>
  <si>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</si>
  <si>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</si>
  <si>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</si>
  <si>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</si>
  <si>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</si>
  <si>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</si>
  <si>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</si>
  <si>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</si>
  <si>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</si>
  <si>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</si>
  <si>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</si>
  <si>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</si>
  <si>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</si>
  <si>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</si>
  <si>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</si>
  <si>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</si>
  <si>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</si>
  <si>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</si>
  <si>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</si>
  <si>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</si>
  <si>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</si>
  <si>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</si>
  <si>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</si>
  <si>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</si>
  <si>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</si>
  <si>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</si>
  <si>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</si>
  <si>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</si>
  <si>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</si>
  <si>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</si>
  <si>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</si>
  <si>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</si>
  <si>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</si>
  <si>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</si>
  <si>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</si>
  <si>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</si>
  <si>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</si>
  <si>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</si>
  <si>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</si>
  <si>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</si>
  <si>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</si>
  <si>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</si>
  <si>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</si>
  <si>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</si>
  <si>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</si>
  <si>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</si>
  <si>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</si>
  <si>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</si>
  <si>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</si>
  <si>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</si>
  <si>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</si>
  <si>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</si>
  <si>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</si>
  <si>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</si>
  <si>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</si>
  <si>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</si>
  <si>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</si>
  <si>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</si>
  <si>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</si>
  <si>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</si>
  <si>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</si>
  <si>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</si>
  <si>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</si>
  <si>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</si>
  <si>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</si>
  <si>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</si>
  <si>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</si>
  <si>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</si>
  <si>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</si>
  <si>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</si>
  <si>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</si>
  <si>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</si>
  <si>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</si>
  <si>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</si>
  <si>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</si>
  <si>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</si>
  <si>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</si>
  <si>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</si>
  <si>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</si>
  <si>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</si>
  <si>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</si>
  <si>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</si>
  <si>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</si>
  <si>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</si>
  <si>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</si>
  <si>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</si>
  <si>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</si>
  <si>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</si>
  <si>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</si>
  <si>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</si>
  <si>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</si>
  <si>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</si>
  <si>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</si>
  <si>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</si>
  <si>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</si>
  <si>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</si>
  <si>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</si>
  <si>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</si>
  <si>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</si>
  <si>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</si>
  <si>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</si>
  <si>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</si>
  <si>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</si>
  <si>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</si>
  <si>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</si>
  <si>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</si>
  <si>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</si>
  <si>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</si>
  <si>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</si>
  <si>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</si>
  <si>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</si>
  <si>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</si>
  <si>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</si>
  <si>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</si>
  <si>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</si>
  <si>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</si>
  <si>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</si>
  <si>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</si>
  <si>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</si>
  <si>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</si>
  <si>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</si>
  <si>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</si>
  <si>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</si>
  <si>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</si>
  <si>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</si>
  <si>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</si>
  <si>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</si>
  <si>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</si>
  <si>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</si>
  <si>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</si>
  <si>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</si>
  <si>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</si>
  <si>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</si>
  <si>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</si>
  <si>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</si>
  <si>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</si>
  <si>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</si>
  <si>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</si>
  <si>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</si>
  <si>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</si>
  <si>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</si>
  <si>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</si>
  <si>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</si>
  <si>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</si>
  <si>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</si>
  <si>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</si>
  <si>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</si>
  <si>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</si>
  <si>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</si>
  <si>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</si>
  <si>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</si>
  <si>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</si>
  <si>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</si>
  <si>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</si>
  <si>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</si>
  <si>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</si>
  <si>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</si>
  <si>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</si>
  <si>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</si>
  <si>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</si>
  <si>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</si>
  <si>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</si>
  <si>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</si>
  <si>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</si>
  <si>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</si>
  <si>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</si>
  <si>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</si>
  <si>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</si>
  <si>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</si>
  <si>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</si>
  <si>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</si>
  <si>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</si>
  <si>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</si>
  <si>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</si>
  <si>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</si>
  <si>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</si>
  <si>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</si>
  <si>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</si>
  <si>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</si>
  <si>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</si>
  <si>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</si>
  <si>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</si>
  <si>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</si>
  <si>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</si>
  <si>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</si>
  <si>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</si>
  <si>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</si>
  <si>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</si>
  <si>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</si>
  <si>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</si>
  <si>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</si>
  <si>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</si>
  <si>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</si>
  <si>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</si>
  <si>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</si>
  <si>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</si>
  <si>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</si>
  <si>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</si>
  <si>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</si>
  <si>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</si>
  <si>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</si>
  <si>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</si>
  <si>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</si>
  <si>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</si>
  <si>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</si>
  <si>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</si>
  <si>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</si>
  <si>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</si>
  <si>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</si>
  <si>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</si>
  <si>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</si>
  <si>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</si>
  <si>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</si>
  <si>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</si>
  <si>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</si>
  <si>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</si>
  <si>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</si>
  <si>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</si>
  <si>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</si>
  <si>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</si>
  <si>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</si>
  <si>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</si>
  <si>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</si>
  <si>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</si>
  <si>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</si>
  <si>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</si>
  <si>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</si>
  <si>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</si>
  <si>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</si>
  <si>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</si>
  <si>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</si>
  <si>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</si>
  <si>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</si>
  <si>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</si>
  <si>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</si>
  <si>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</si>
  <si>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</si>
  <si>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</si>
  <si>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</si>
  <si>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</si>
  <si>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</si>
  <si>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</si>
  <si>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</si>
  <si>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</si>
  <si>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</si>
  <si>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</si>
  <si>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</si>
  <si>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</si>
  <si>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</si>
  <si>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</si>
  <si>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</si>
  <si>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</si>
  <si>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</si>
  <si>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</si>
  <si>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</si>
  <si>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</si>
  <si>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</si>
  <si>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</si>
  <si>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</si>
  <si>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</si>
  <si>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</si>
  <si>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</si>
  <si>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</si>
  <si>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</si>
  <si>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</si>
  <si>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</si>
  <si>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</si>
  <si>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</si>
  <si>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</si>
  <si>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</si>
  <si>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</si>
  <si>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</si>
  <si>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</si>
  <si>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</si>
  <si>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</si>
  <si>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</si>
  <si>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</si>
  <si>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</si>
  <si>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</si>
  <si>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</si>
  <si>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</si>
  <si>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</si>
  <si>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</si>
  <si>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</si>
  <si>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</si>
  <si>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</si>
  <si>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</si>
  <si>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</si>
  <si>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</si>
  <si>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</si>
  <si>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</si>
  <si>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</si>
  <si>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</si>
  <si>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</si>
  <si>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</si>
  <si>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</si>
  <si>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</si>
  <si>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</si>
  <si>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</si>
  <si>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</si>
  <si>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</si>
  <si>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</si>
  <si>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</si>
  <si>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</si>
  <si>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</si>
  <si>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</si>
  <si>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</si>
  <si>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</si>
  <si>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</si>
  <si>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</si>
  <si>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</si>
  <si>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</si>
  <si>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</si>
  <si>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</si>
  <si>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</si>
  <si>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</si>
  <si>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</si>
  <si>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</si>
  <si>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</si>
  <si>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</si>
  <si>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</si>
  <si>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</si>
  <si>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</si>
  <si>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</si>
  <si>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</si>
  <si>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</si>
  <si>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</si>
  <si>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</si>
  <si>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</si>
  <si>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</si>
  <si>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</si>
  <si>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</si>
  <si>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</si>
  <si>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</si>
  <si>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</si>
  <si>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</si>
  <si>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</si>
  <si>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</si>
  <si>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</si>
  <si>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</si>
  <si>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</si>
  <si>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</si>
  <si>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</si>
  <si>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</si>
  <si>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</si>
  <si>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</si>
  <si>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</si>
  <si>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</si>
  <si>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</si>
  <si>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</si>
  <si>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</si>
  <si>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</si>
  <si>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</si>
  <si>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</si>
  <si>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</si>
  <si>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</si>
  <si>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</si>
  <si>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</si>
  <si>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</si>
  <si>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</si>
  <si>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</si>
  <si>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</si>
  <si>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</si>
  <si>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</si>
  <si>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</si>
  <si>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</si>
  <si>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</si>
  <si>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</si>
  <si>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</si>
  <si>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</si>
  <si>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</si>
  <si>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</si>
  <si>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</si>
  <si>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</si>
  <si>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</si>
  <si>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</si>
  <si>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</si>
  <si>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</si>
  <si>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</si>
  <si>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</si>
  <si>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</si>
  <si>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</si>
  <si>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</si>
  <si>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</si>
  <si>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</si>
  <si>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</si>
  <si>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</si>
  <si>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</si>
  <si>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</si>
  <si>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</si>
  <si>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</si>
  <si>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</si>
  <si>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</si>
  <si>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</si>
  <si>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</si>
  <si>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</si>
  <si>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</si>
  <si>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</si>
  <si>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</si>
  <si>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</si>
  <si>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</si>
  <si>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</si>
  <si>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</si>
  <si>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</si>
  <si>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</si>
  <si>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</si>
  <si>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</si>
  <si>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</si>
  <si>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</si>
  <si>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</si>
  <si>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</si>
  <si>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</si>
  <si>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</si>
  <si>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</si>
  <si>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</si>
  <si>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</si>
  <si>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</si>
  <si>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</si>
  <si>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</si>
  <si>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</si>
  <si>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</si>
  <si>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</si>
  <si>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</si>
  <si>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</si>
  <si>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</si>
  <si>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</si>
  <si>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</si>
  <si>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</si>
  <si>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</si>
  <si>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</si>
  <si>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</si>
  <si>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</si>
  <si>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</si>
  <si>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</si>
  <si>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</si>
  <si>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</si>
  <si>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</si>
  <si>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</si>
  <si>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</si>
  <si>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</si>
  <si>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</si>
  <si>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</si>
  <si>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</si>
  <si>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</si>
  <si>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</si>
  <si>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</si>
  <si>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</si>
  <si>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</si>
  <si>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</si>
  <si>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</si>
  <si>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</si>
  <si>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</si>
  <si>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</si>
  <si>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</si>
  <si>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</si>
  <si>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</si>
  <si>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</si>
  <si>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</si>
  <si>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</si>
  <si>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</si>
  <si>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</si>
  <si>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</si>
  <si>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</si>
  <si>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</si>
  <si>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</si>
  <si>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</si>
  <si>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</si>
  <si>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</si>
  <si>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</si>
  <si>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</si>
  <si>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</si>
  <si>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</si>
  <si>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</si>
  <si>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</si>
  <si>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</si>
  <si>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</si>
  <si>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</si>
  <si>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</si>
  <si>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</si>
  <si>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</si>
  <si>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</si>
  <si>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</si>
  <si>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</si>
  <si>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</si>
  <si>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</si>
  <si>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</si>
  <si>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</si>
  <si>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</si>
  <si>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</si>
  <si>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</si>
  <si>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</si>
  <si>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</si>
  <si>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</si>
  <si>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</si>
  <si>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</si>
  <si>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</si>
  <si>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</si>
  <si>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</si>
  <si>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</si>
  <si>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</si>
  <si>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</si>
  <si>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</si>
  <si>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</si>
  <si>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</si>
  <si>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</si>
  <si>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</si>
  <si>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</si>
  <si>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</si>
  <si>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</si>
  <si>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</si>
  <si>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</si>
  <si>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</si>
  <si>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</si>
  <si>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</si>
  <si>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</si>
  <si>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</si>
  <si>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</si>
  <si>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</si>
  <si>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</si>
  <si>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</si>
  <si>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</si>
  <si>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</si>
  <si>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</si>
  <si>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</si>
  <si>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</si>
  <si>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</si>
  <si>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</si>
  <si>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</si>
  <si>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</si>
  <si>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</si>
  <si>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</si>
  <si>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</si>
  <si>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</si>
  <si>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</si>
  <si>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</si>
  <si>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</si>
  <si>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</si>
  <si>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</si>
  <si>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</si>
  <si>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</si>
  <si>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</si>
  <si>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</si>
  <si>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</si>
  <si>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</si>
  <si>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</si>
  <si>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</si>
  <si>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</si>
  <si>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</si>
  <si>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</si>
  <si>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</si>
  <si>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</si>
  <si>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</si>
  <si>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</si>
  <si>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</si>
  <si>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</si>
  <si>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</si>
  <si>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</si>
  <si>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</si>
  <si>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</si>
  <si>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</si>
  <si>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</si>
  <si>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</si>
  <si>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</si>
  <si>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</si>
  <si>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</si>
  <si>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</si>
  <si>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</si>
  <si>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</si>
  <si>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</si>
  <si>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</si>
  <si>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</si>
  <si>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</si>
  <si>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</si>
  <si>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</si>
  <si>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</si>
  <si>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</si>
  <si>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</si>
  <si>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</si>
  <si>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</si>
  <si>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</si>
  <si>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</si>
  <si>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</si>
  <si>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</si>
  <si>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</si>
  <si>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</si>
  <si>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</si>
  <si>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</si>
  <si>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</si>
  <si>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</si>
  <si>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</si>
  <si>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</si>
  <si>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</si>
  <si>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</si>
  <si>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</si>
  <si>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</si>
  <si>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</si>
  <si>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</si>
  <si>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</si>
  <si>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</si>
  <si>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</si>
  <si>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</si>
  <si>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</si>
  <si>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</si>
  <si>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</si>
  <si>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</si>
  <si>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</si>
  <si>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</si>
  <si>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</si>
  <si>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</si>
  <si>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</si>
  <si>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</si>
  <si>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</si>
  <si>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</si>
  <si>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</si>
  <si>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</si>
  <si>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</si>
  <si>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</si>
  <si>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</si>
  <si>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</si>
  <si>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</si>
  <si>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</si>
  <si>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</si>
  <si>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</si>
  <si>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</si>
  <si>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</si>
  <si>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</si>
  <si>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</si>
  <si>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</si>
  <si>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</si>
  <si>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</si>
  <si>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</si>
  <si>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</si>
  <si>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</si>
  <si>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</si>
  <si>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</si>
  <si>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</si>
  <si>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</si>
  <si>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</si>
  <si>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</si>
  <si>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</si>
  <si>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</si>
  <si>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</si>
  <si>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</si>
  <si>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</si>
  <si>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</si>
  <si>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</si>
  <si>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</si>
  <si>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</si>
  <si>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</si>
  <si>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</si>
  <si>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</si>
  <si>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</si>
  <si>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</si>
  <si>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</si>
  <si>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</si>
  <si>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</si>
  <si>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</si>
  <si>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</si>
  <si>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</si>
  <si>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</si>
  <si>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</si>
  <si>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</si>
  <si>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</si>
  <si>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</si>
  <si>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</si>
  <si>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</si>
  <si>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</si>
  <si>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</si>
  <si>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</si>
  <si>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</si>
  <si>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</si>
  <si>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</si>
  <si>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</si>
  <si>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</si>
  <si>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</si>
  <si>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</si>
  <si>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</si>
  <si>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</si>
  <si>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</si>
  <si>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</si>
  <si>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</si>
  <si>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</si>
  <si>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</si>
  <si>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</si>
  <si>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</si>
  <si>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</si>
  <si>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</si>
  <si>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</si>
  <si>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</si>
  <si>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</si>
  <si>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</si>
  <si>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</si>
  <si>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</si>
  <si>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</si>
  <si>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</si>
  <si>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</si>
  <si>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</si>
  <si>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</si>
  <si>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</si>
  <si>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</si>
  <si>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</si>
  <si>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</si>
  <si>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</si>
  <si>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</si>
  <si>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</si>
  <si>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</si>
  <si>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</si>
  <si>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</si>
  <si>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</si>
  <si>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</si>
  <si>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</si>
  <si>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</si>
  <si>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</si>
  <si>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</si>
  <si>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</si>
  <si>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</si>
  <si>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</si>
  <si>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</si>
  <si>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</si>
  <si>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</si>
  <si>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</si>
  <si>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</si>
  <si>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</si>
  <si>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</si>
  <si>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</si>
  <si>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</si>
  <si>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</si>
  <si>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</si>
  <si>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</si>
  <si>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</si>
  <si>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</si>
  <si>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</si>
  <si>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</si>
  <si>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</si>
  <si>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</si>
  <si>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</si>
  <si>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</si>
  <si>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</si>
  <si>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</si>
  <si>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</si>
  <si>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</si>
  <si>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</si>
  <si>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</si>
  <si>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</si>
  <si>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</si>
  <si>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</si>
  <si>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</si>
  <si>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</si>
  <si>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</si>
  <si>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</si>
  <si>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</si>
  <si>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</si>
  <si>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</si>
  <si>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</si>
  <si>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</si>
  <si>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</si>
  <si>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</si>
  <si>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</si>
  <si>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</si>
  <si>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</si>
  <si>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</si>
  <si>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</si>
  <si>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</si>
  <si>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</si>
  <si>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</si>
  <si>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</si>
  <si>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</si>
  <si>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</si>
  <si>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</si>
  <si>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</si>
  <si>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</si>
  <si>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</si>
  <si>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</si>
  <si>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</si>
  <si>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</si>
  <si>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</si>
  <si>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</si>
  <si>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</si>
  <si>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</si>
  <si>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</si>
  <si>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</si>
  <si>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</si>
  <si>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</si>
  <si>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</si>
  <si>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</si>
  <si>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</si>
  <si>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</si>
  <si>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</si>
  <si>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</si>
  <si>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</si>
  <si>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</si>
  <si>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</si>
  <si>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</si>
  <si>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</si>
  <si>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</si>
  <si>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</si>
  <si>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</si>
  <si>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</si>
  <si>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</si>
  <si>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</si>
  <si>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</si>
  <si>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</si>
  <si>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</si>
  <si>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</si>
  <si>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</si>
  <si>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</si>
  <si>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</si>
  <si>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</si>
  <si>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</si>
  <si>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</si>
  <si>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</si>
  <si>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</si>
  <si>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</si>
  <si>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</si>
  <si>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</si>
  <si>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</si>
  <si>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</si>
  <si>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</si>
  <si>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</si>
  <si>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</si>
  <si>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</si>
  <si>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</si>
  <si>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</si>
  <si>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</si>
  <si>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</si>
  <si>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</si>
  <si>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</si>
  <si>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</si>
  <si>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</si>
  <si>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</si>
  <si>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</si>
  <si>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</si>
  <si>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</si>
  <si>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</si>
  <si>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</si>
  <si>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</si>
  <si>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</si>
  <si>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</si>
  <si>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</si>
  <si>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</si>
  <si>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</si>
  <si>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</si>
  <si>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</si>
  <si>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</si>
  <si>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</si>
  <si>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</si>
  <si>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</si>
  <si>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</si>
  <si>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</si>
  <si>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</si>
  <si>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</si>
  <si>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</si>
  <si>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</si>
  <si>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</si>
  <si>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</si>
  <si>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</si>
  <si>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</si>
  <si>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</si>
  <si>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</si>
  <si>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</si>
  <si>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</si>
  <si>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</si>
  <si>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</si>
  <si>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</si>
  <si>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</si>
  <si>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</si>
  <si>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</si>
  <si>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</si>
  <si>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</si>
  <si>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</si>
  <si>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</si>
  <si>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</si>
  <si>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</si>
  <si>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</si>
  <si>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</si>
  <si>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</si>
  <si>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</si>
  <si>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</si>
  <si>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</si>
  <si>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</si>
  <si>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</si>
  <si>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</si>
  <si>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</si>
  <si>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</si>
  <si>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</si>
  <si>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</si>
  <si>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</si>
  <si>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</si>
  <si>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</si>
  <si>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</si>
  <si>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</si>
  <si>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</si>
  <si>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</si>
  <si>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</si>
  <si>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</si>
  <si>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</si>
  <si>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</si>
  <si>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</si>
  <si>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</si>
  <si>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</si>
  <si>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</si>
  <si>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</si>
  <si>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</si>
  <si>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</si>
  <si>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</si>
  <si>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</si>
  <si>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</si>
  <si>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</si>
  <si>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</si>
  <si>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</si>
  <si>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</si>
  <si>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</si>
  <si>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</si>
  <si>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</si>
  <si>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</si>
  <si>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</si>
  <si>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</si>
  <si>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</si>
  <si>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</si>
  <si>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</si>
  <si>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</si>
  <si>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</si>
  <si>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</si>
  <si>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</si>
  <si>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</si>
  <si>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</si>
  <si>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</si>
  <si>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</si>
  <si>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</si>
  <si>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</si>
  <si>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</si>
  <si>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</si>
  <si>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</si>
  <si>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</si>
  <si>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</si>
  <si>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</si>
  <si>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</si>
  <si>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</si>
  <si>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</si>
  <si>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</si>
  <si>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</si>
  <si>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</si>
  <si>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</si>
  <si>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</si>
  <si>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</si>
  <si>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</si>
  <si>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</si>
  <si>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</si>
  <si>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</si>
  <si>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</si>
  <si>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</si>
  <si>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</si>
  <si>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</si>
  <si>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</si>
  <si>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</si>
  <si>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</si>
  <si>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</si>
  <si>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</si>
  <si>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</si>
  <si>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</si>
  <si>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</si>
  <si>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</si>
  <si>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</si>
  <si>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</si>
  <si>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</si>
  <si>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</si>
  <si>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</si>
  <si>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</si>
  <si>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</si>
  <si>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</si>
  <si>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</si>
  <si>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</si>
  <si>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</si>
  <si>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</si>
  <si>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</si>
  <si>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</si>
  <si>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</si>
  <si>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</si>
  <si>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</si>
  <si>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</si>
  <si>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</si>
  <si>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</si>
  <si>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</si>
  <si>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</si>
  <si>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</si>
  <si>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</si>
  <si>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</si>
  <si>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</si>
  <si>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</si>
  <si>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</si>
  <si>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</si>
  <si>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</si>
  <si>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</si>
  <si>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</si>
  <si>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</si>
  <si>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</si>
  <si>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</si>
  <si>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</si>
  <si>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</si>
  <si>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</si>
  <si>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</si>
  <si>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</si>
  <si>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</si>
  <si>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</si>
  <si>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</si>
  <si>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</si>
  <si>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</si>
  <si>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</si>
  <si>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</si>
  <si>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</si>
  <si>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</si>
  <si>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</si>
  <si>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</si>
  <si>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</si>
  <si>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</si>
  <si>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</si>
  <si>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</si>
  <si>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</si>
  <si>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</si>
  <si>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</si>
  <si>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</si>
  <si>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</si>
  <si>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</si>
  <si>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</si>
  <si>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</si>
  <si>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</si>
  <si>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</si>
  <si>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</si>
  <si>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</si>
  <si>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</si>
  <si>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</si>
  <si>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</si>
  <si>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</si>
  <si>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</si>
  <si>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</si>
  <si>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</si>
  <si>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</si>
  <si>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</si>
  <si>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</si>
  <si>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</si>
  <si>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</si>
  <si>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</si>
  <si>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</si>
  <si>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</si>
  <si>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</si>
  <si>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</si>
  <si>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</si>
  <si>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</si>
  <si>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</si>
  <si>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</si>
  <si>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</si>
  <si>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</si>
  <si>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</si>
  <si>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</si>
  <si>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</si>
  <si>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</si>
  <si>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</si>
  <si>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</si>
  <si>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</si>
  <si>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</si>
  <si>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</si>
  <si>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</si>
  <si>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</si>
  <si>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</si>
  <si>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</si>
  <si>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</si>
  <si>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</si>
  <si>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</si>
  <si>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</si>
  <si>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</si>
  <si>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</si>
  <si>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</si>
  <si>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</si>
  <si>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</si>
  <si>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</si>
  <si>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</si>
  <si>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</si>
  <si>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</si>
  <si>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</si>
  <si>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</si>
  <si>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</si>
  <si>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</si>
  <si>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</si>
  <si>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</si>
  <si>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</si>
  <si>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</si>
  <si>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</si>
  <si>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</si>
  <si>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</si>
  <si>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</si>
  <si>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</si>
  <si>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</si>
  <si>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</si>
  <si>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</si>
  <si>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</si>
  <si>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</si>
  <si>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</si>
  <si>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</si>
  <si>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</si>
  <si>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</si>
  <si>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</si>
  <si>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</si>
  <si>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</si>
  <si>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</si>
  <si>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</si>
  <si>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</si>
  <si>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</si>
  <si>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</si>
  <si>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</si>
  <si>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</si>
  <si>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</si>
  <si>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</si>
  <si>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</si>
  <si>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</si>
  <si>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</si>
  <si>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</si>
  <si>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</si>
  <si>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</si>
  <si>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</si>
  <si>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</si>
  <si>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</si>
  <si>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</si>
  <si>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</si>
  <si>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</si>
  <si>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</si>
  <si>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</si>
  <si>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</si>
  <si>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</si>
  <si>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</si>
  <si>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</si>
  <si>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</si>
  <si>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</si>
  <si>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</si>
  <si>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</si>
  <si>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</si>
  <si>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</si>
  <si>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</si>
  <si>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</si>
  <si>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</si>
  <si>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</si>
  <si>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</si>
  <si>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</si>
  <si>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</si>
  <si>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</si>
  <si>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</si>
  <si>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</si>
  <si>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</si>
  <si>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</si>
  <si>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</si>
  <si>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</si>
  <si>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</si>
  <si>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</si>
  <si>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</si>
  <si>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</si>
  <si>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</si>
  <si>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</si>
  <si>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</si>
  <si>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</si>
  <si>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</si>
  <si>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</si>
  <si>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</si>
  <si>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</si>
  <si>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</si>
  <si>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</si>
  <si>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</si>
  <si>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</si>
  <si>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</si>
  <si>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</si>
  <si>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</si>
  <si>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</si>
  <si>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</si>
  <si>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</si>
  <si>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</si>
  <si>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</si>
  <si>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</si>
  <si>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</si>
  <si>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</si>
  <si>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</si>
  <si>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</si>
  <si>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</si>
  <si>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</si>
  <si>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</si>
  <si>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</si>
  <si>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</si>
  <si>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</si>
  <si>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</si>
  <si>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</si>
  <si>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</si>
  <si>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</si>
  <si>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</si>
  <si>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</si>
  <si>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</si>
  <si>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</si>
  <si>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</si>
  <si>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</si>
  <si>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</si>
  <si>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</si>
  <si>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</si>
  <si>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</si>
  <si>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</si>
  <si>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</si>
  <si>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</si>
  <si>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</si>
  <si>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</si>
  <si>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</si>
  <si>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</si>
  <si>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</si>
  <si>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</si>
  <si>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</si>
  <si>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</si>
  <si>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</si>
  <si>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</si>
  <si>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</si>
  <si>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</si>
  <si>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</si>
  <si>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</si>
  <si>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</si>
  <si>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</si>
  <si>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</si>
  <si>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</si>
  <si>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</si>
  <si>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</si>
  <si>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</si>
  <si>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</si>
  <si>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</si>
  <si>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</si>
  <si>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</si>
  <si>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</si>
  <si>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</si>
  <si>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</si>
  <si>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</si>
  <si>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</si>
  <si>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</si>
  <si>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</si>
  <si>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</si>
  <si>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</si>
  <si>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</si>
  <si>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</si>
  <si>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</si>
  <si>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</si>
  <si>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</si>
  <si>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</si>
  <si>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</si>
  <si>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</si>
  <si>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</si>
  <si>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</si>
  <si>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</si>
  <si>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</si>
  <si>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</si>
  <si>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</si>
  <si>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</si>
  <si>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</si>
  <si>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</si>
  <si>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</si>
  <si>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</si>
  <si>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</si>
  <si>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</si>
  <si>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</si>
  <si>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</si>
  <si>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</si>
  <si>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</si>
  <si>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</si>
  <si>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</si>
  <si>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</si>
  <si>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</si>
  <si>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</si>
  <si>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</si>
  <si>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</si>
  <si>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</si>
  <si>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</si>
  <si>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</si>
  <si>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</si>
  <si>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</si>
  <si>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</si>
  <si>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</si>
  <si>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</si>
  <si>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</si>
  <si>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</si>
  <si>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</si>
  <si>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</si>
  <si>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</si>
  <si>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</si>
  <si>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</si>
  <si>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</si>
  <si>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</si>
  <si>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</si>
  <si>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</si>
  <si>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</si>
  <si>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</si>
  <si>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</si>
  <si>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</si>
  <si>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</si>
  <si>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</si>
  <si>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</si>
  <si>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</si>
  <si>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</si>
  <si>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</si>
  <si>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</si>
  <si>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</si>
  <si>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</si>
  <si>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</si>
  <si>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</si>
  <si>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</si>
  <si>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</si>
  <si>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</si>
  <si>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</si>
  <si>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</si>
  <si>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</si>
  <si>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</si>
  <si>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</si>
  <si>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</si>
  <si>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</si>
  <si>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</si>
  <si>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</si>
  <si>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</si>
  <si>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</si>
  <si>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</si>
  <si>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</si>
  <si>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</si>
  <si>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</si>
  <si>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</si>
  <si>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</si>
  <si>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</si>
  <si>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</si>
  <si>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</si>
  <si>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</si>
  <si>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</si>
  <si>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</si>
  <si>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</si>
  <si>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</si>
  <si>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</si>
  <si>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</si>
  <si>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</si>
  <si>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</si>
  <si>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</si>
  <si>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</si>
  <si>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</si>
  <si>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</si>
  <si>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</si>
  <si>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</si>
  <si>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</si>
  <si>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</si>
  <si>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</si>
  <si>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</si>
  <si>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</si>
  <si>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</si>
  <si>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</si>
  <si>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</si>
  <si>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</si>
  <si>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</si>
  <si>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</si>
  <si>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</si>
  <si>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</si>
  <si>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</si>
  <si>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</si>
  <si>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</si>
  <si>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</si>
  <si>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</si>
  <si>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</si>
  <si>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</si>
  <si>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</si>
  <si>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</si>
  <si>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</si>
  <si>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</si>
  <si>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</si>
  <si>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</si>
  <si>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</si>
  <si>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</si>
  <si>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</si>
  <si>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</si>
  <si>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</si>
  <si>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</si>
  <si>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</si>
  <si>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</si>
  <si>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</si>
  <si>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</si>
  <si>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</si>
  <si>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</si>
  <si>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</si>
  <si>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</si>
  <si>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</si>
  <si>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</si>
  <si>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</si>
  <si>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</si>
  <si>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</si>
  <si>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</si>
  <si>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</si>
  <si>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</si>
  <si>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</si>
  <si>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</si>
  <si>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</si>
  <si>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</si>
  <si>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</si>
  <si>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</si>
  <si>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</si>
  <si>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</si>
  <si>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</si>
  <si>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</si>
  <si>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</si>
  <si>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</si>
  <si>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</si>
  <si>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</si>
  <si>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</si>
  <si>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</si>
  <si>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</si>
  <si>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</si>
  <si>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</si>
  <si>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</si>
  <si>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</si>
  <si>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</si>
  <si>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</si>
  <si>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</si>
  <si>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</si>
  <si>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</si>
  <si>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</si>
  <si>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</si>
  <si>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</si>
  <si>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</si>
  <si>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</si>
  <si>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</si>
  <si>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</si>
  <si>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</si>
  <si>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</si>
  <si>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</si>
  <si>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</si>
  <si>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</si>
  <si>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</si>
  <si>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</si>
  <si>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</si>
  <si>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</si>
  <si>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</si>
  <si>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</si>
  <si>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</si>
  <si>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</si>
  <si>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</si>
  <si>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</si>
  <si>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</si>
  <si>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</si>
  <si>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</si>
  <si>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</si>
  <si>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</si>
  <si>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</si>
  <si>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</si>
  <si>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</si>
  <si>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</si>
  <si>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</si>
  <si>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</si>
  <si>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</si>
  <si>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</si>
  <si>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</si>
  <si>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</si>
  <si>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</si>
  <si>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</si>
  <si>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</si>
  <si>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</si>
  <si>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</si>
  <si>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</si>
  <si>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</si>
  <si>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</si>
  <si>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</si>
  <si>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</si>
  <si>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</si>
  <si>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</si>
  <si>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</si>
  <si>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</si>
  <si>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</si>
  <si>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</si>
  <si>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</si>
  <si>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</si>
  <si>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</si>
  <si>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</si>
  <si>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</si>
  <si>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</si>
  <si>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</si>
  <si>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</si>
  <si>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</si>
  <si>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</si>
  <si>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</si>
  <si>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</si>
  <si>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</si>
  <si>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</si>
  <si>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</si>
  <si>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</si>
  <si>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</si>
  <si>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</si>
  <si>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</si>
  <si>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</si>
  <si>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</si>
  <si>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</si>
  <si>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</si>
  <si>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</si>
  <si>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</si>
  <si>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</si>
  <si>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</si>
  <si>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</si>
  <si>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</si>
  <si>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</si>
  <si>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</si>
  <si>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</si>
  <si>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</si>
  <si>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</si>
  <si>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</si>
  <si>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</si>
  <si>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</si>
  <si>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</si>
  <si>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</si>
  <si>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</si>
  <si>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</si>
  <si>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</si>
  <si>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</si>
  <si>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</si>
  <si>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</si>
  <si>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</si>
  <si>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</si>
  <si>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</si>
  <si>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</si>
  <si>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</si>
  <si>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</si>
  <si>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</si>
  <si>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</si>
  <si>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</si>
  <si>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</si>
  <si>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</si>
  <si>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</si>
  <si>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</si>
  <si>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</si>
  <si>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</si>
  <si>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</si>
  <si>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</si>
  <si>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</si>
  <si>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</si>
  <si>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</si>
  <si>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</si>
  <si>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</si>
  <si>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</si>
  <si>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</si>
  <si>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</si>
  <si>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</si>
  <si>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</si>
  <si>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</si>
  <si>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</si>
  <si>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</si>
  <si>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</si>
  <si>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</si>
  <si>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</si>
  <si>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</si>
  <si>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</si>
  <si>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</si>
  <si>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</si>
  <si>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</si>
  <si>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</si>
  <si>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</si>
  <si>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</si>
  <si>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</si>
  <si>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</si>
  <si>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</si>
  <si>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</si>
  <si>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</si>
  <si>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</si>
  <si>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</si>
  <si>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</si>
  <si>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</si>
  <si>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</si>
  <si>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</si>
  <si>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</si>
  <si>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</si>
  <si>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</si>
  <si>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</si>
  <si>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</si>
  <si>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</si>
  <si>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</si>
  <si>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</si>
  <si>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</si>
  <si>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</si>
  <si>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</si>
  <si>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</si>
  <si>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</si>
  <si>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</si>
  <si>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</si>
  <si>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</si>
  <si>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</si>
  <si>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</si>
  <si>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</si>
  <si>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</si>
  <si>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</si>
  <si>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</si>
  <si>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</si>
  <si>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</si>
  <si>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</si>
  <si>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</si>
  <si>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</si>
  <si>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</si>
  <si>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</si>
  <si>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</si>
  <si>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</si>
  <si>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</si>
  <si>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</si>
  <si>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</si>
  <si>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</si>
  <si>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</si>
  <si>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</si>
  <si>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</si>
  <si>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</si>
  <si>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</si>
  <si>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</si>
  <si>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</si>
  <si>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</si>
  <si>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</si>
  <si>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</si>
  <si>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</si>
  <si>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</si>
  <si>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</si>
  <si>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</si>
  <si>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</si>
  <si>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</si>
  <si>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</si>
  <si>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</si>
  <si>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</si>
  <si>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</si>
  <si>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</si>
  <si>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</si>
  <si>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</si>
  <si>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</si>
  <si>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</si>
  <si>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</si>
  <si>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</si>
  <si>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</si>
  <si>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</si>
  <si>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</si>
  <si>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</si>
  <si>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</si>
  <si>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</si>
  <si>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</si>
  <si>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</si>
  <si>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</si>
  <si>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</si>
  <si>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</si>
  <si>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</si>
  <si>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</si>
  <si>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</si>
  <si>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</si>
  <si>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</si>
  <si>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</si>
  <si>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</si>
  <si>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</si>
  <si>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</si>
  <si>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</si>
  <si>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</si>
  <si>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</si>
  <si>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</si>
  <si>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</si>
  <si>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</si>
  <si>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</si>
  <si>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</si>
  <si>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</si>
  <si>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</si>
  <si>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</si>
  <si>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</si>
  <si>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</si>
  <si>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</si>
  <si>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</si>
  <si>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</si>
  <si>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</si>
  <si>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</si>
  <si>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</si>
  <si>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</si>
  <si>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</si>
  <si>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</si>
  <si>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</si>
  <si>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</si>
  <si>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</si>
  <si>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</si>
  <si>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</si>
  <si>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</si>
  <si>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</si>
  <si>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</si>
  <si>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</si>
  <si>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</si>
  <si>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</si>
  <si>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</si>
  <si>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</si>
  <si>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</si>
  <si>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</si>
  <si>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</si>
  <si>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</si>
  <si>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</si>
  <si>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</si>
  <si>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</si>
  <si>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</si>
  <si>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</si>
  <si>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</si>
  <si>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</si>
  <si>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</si>
  <si>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</si>
  <si>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</si>
  <si>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</si>
  <si>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</si>
  <si>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</si>
  <si>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</si>
  <si>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</si>
  <si>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</si>
  <si>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</si>
  <si>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</si>
  <si>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</si>
  <si>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</si>
  <si>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</si>
  <si>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</si>
  <si>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</si>
  <si>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</si>
  <si>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</si>
  <si>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</si>
  <si>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</si>
  <si>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</si>
  <si>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</si>
  <si>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</si>
  <si>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</si>
  <si>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</si>
  <si>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</si>
  <si>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</si>
  <si>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</si>
  <si>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</si>
  <si>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</si>
  <si>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</si>
  <si>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</si>
  <si>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</si>
  <si>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</si>
  <si>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</si>
  <si>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</si>
  <si>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</si>
  <si>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</si>
  <si>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</si>
  <si>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</si>
  <si>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</si>
  <si>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</si>
  <si>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</si>
  <si>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</si>
  <si>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</si>
  <si>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</si>
  <si>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</si>
  <si>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</si>
  <si>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</si>
  <si>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</si>
  <si>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</si>
  <si>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</si>
  <si>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</si>
  <si>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</si>
  <si>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</si>
  <si>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</si>
  <si>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</si>
  <si>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</si>
  <si>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</si>
  <si>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</si>
  <si>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</si>
  <si>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</si>
  <si>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</si>
  <si>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</si>
  <si>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</si>
  <si>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</si>
  <si>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</si>
  <si>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</si>
  <si>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</si>
  <si>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</si>
  <si>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</si>
  <si>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</si>
  <si>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</si>
  <si>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</si>
  <si>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</si>
  <si>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</si>
  <si>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</si>
  <si>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</si>
  <si>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</si>
  <si>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</si>
  <si>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</si>
  <si>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</si>
  <si>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</si>
  <si>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</si>
  <si>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</si>
  <si>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</si>
  <si>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</si>
  <si>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</si>
  <si>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</si>
  <si>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</si>
  <si>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</si>
  <si>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</si>
  <si>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</si>
  <si>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</si>
  <si>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</si>
  <si>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</si>
  <si>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</si>
  <si>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</si>
  <si>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</si>
  <si>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</si>
  <si>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</si>
  <si>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</si>
  <si>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</si>
  <si>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</si>
  <si>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</si>
  <si>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</si>
  <si>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</si>
  <si>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</si>
  <si>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</si>
  <si>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</si>
  <si>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</si>
  <si>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</si>
  <si>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</si>
  <si>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</si>
  <si>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</si>
  <si>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</si>
  <si>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</si>
  <si>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</si>
  <si>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</si>
  <si>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</si>
  <si>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</si>
  <si>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</si>
  <si>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</si>
  <si>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</si>
  <si>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</si>
  <si>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</si>
  <si>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</si>
  <si>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</si>
  <si>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</si>
  <si>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</si>
  <si>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</si>
  <si>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</si>
  <si>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</si>
  <si>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</si>
  <si>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</si>
  <si>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</si>
  <si>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</si>
  <si>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</si>
  <si>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</si>
  <si>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</si>
  <si>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</si>
  <si>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</si>
  <si>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</si>
  <si>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</si>
  <si>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</si>
  <si>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</si>
  <si>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</si>
  <si>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</si>
  <si>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</si>
  <si>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</si>
  <si>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</si>
  <si>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</si>
  <si>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</si>
  <si>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</si>
  <si>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</si>
  <si>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</si>
  <si>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</si>
  <si>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</si>
  <si>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</si>
  <si>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</si>
  <si>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</si>
  <si>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</si>
  <si>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</si>
  <si>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</si>
  <si>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</si>
  <si>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</si>
  <si>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</si>
  <si>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</si>
  <si>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</si>
  <si>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</si>
  <si>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</si>
  <si>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</si>
  <si>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</si>
  <si>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</si>
  <si>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</si>
  <si>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</si>
  <si>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</si>
  <si>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</si>
  <si>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</si>
  <si>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</si>
  <si>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</si>
  <si>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</si>
  <si>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</si>
  <si>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</si>
  <si>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</si>
  <si>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</si>
  <si>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</si>
  <si>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</si>
  <si>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</si>
  <si>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</si>
  <si>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</si>
  <si>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</si>
  <si>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</si>
  <si>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</si>
  <si>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</si>
  <si>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</si>
  <si>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</si>
  <si>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</si>
  <si>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</si>
  <si>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</si>
  <si>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</si>
  <si>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</si>
  <si>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</si>
  <si>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</si>
  <si>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</si>
  <si>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</si>
  <si>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</si>
  <si>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</si>
  <si>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</si>
  <si>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</si>
  <si>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</si>
  <si>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</si>
  <si>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</si>
  <si>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</si>
  <si>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</si>
  <si>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</si>
  <si>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</si>
  <si>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</si>
  <si>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</si>
  <si>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</si>
  <si>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</si>
  <si>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</si>
  <si>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</si>
  <si>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</si>
  <si>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</si>
  <si>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</si>
  <si>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</si>
  <si>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</si>
  <si>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</si>
  <si>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</si>
  <si>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</si>
  <si>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</si>
  <si>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</si>
  <si>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</si>
  <si>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</si>
  <si>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</si>
  <si>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</si>
  <si>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</si>
  <si>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</si>
  <si>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</si>
  <si>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</si>
  <si>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</si>
  <si>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</si>
  <si>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</si>
  <si>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</si>
  <si>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</si>
  <si>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</si>
  <si>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</si>
  <si>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</si>
  <si>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</si>
  <si>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</si>
  <si>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</si>
  <si>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</si>
  <si>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</si>
  <si>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</si>
  <si>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</si>
  <si>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</si>
  <si>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</si>
  <si>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</si>
  <si>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</si>
  <si>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</si>
  <si>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</si>
  <si>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</si>
  <si>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</si>
  <si>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</si>
  <si>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</si>
  <si>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</si>
  <si>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</si>
  <si>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</si>
  <si>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</si>
  <si>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</si>
  <si>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</si>
  <si>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</si>
  <si>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</si>
  <si>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</si>
  <si>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</si>
  <si>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</si>
  <si>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</si>
  <si>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</si>
  <si>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</si>
  <si>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</si>
  <si>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</si>
  <si>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</si>
  <si>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</si>
  <si>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</si>
  <si>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</si>
  <si>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</si>
  <si>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</si>
  <si>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</si>
  <si>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</si>
  <si>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</si>
  <si>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</si>
  <si>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</si>
  <si>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</si>
  <si>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</si>
  <si>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</si>
  <si>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</si>
  <si>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</si>
  <si>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</si>
  <si>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</si>
  <si>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</si>
  <si>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</si>
  <si>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</si>
  <si>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</si>
  <si>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</si>
  <si>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</si>
  <si>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</si>
  <si>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</si>
  <si>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</si>
  <si>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</si>
  <si>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</si>
  <si>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</si>
  <si>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</si>
  <si>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</si>
  <si>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</si>
  <si>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</si>
  <si>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</si>
  <si>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</si>
  <si>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</si>
  <si>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</si>
  <si>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</si>
  <si>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</si>
  <si>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</si>
  <si>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</si>
  <si>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</si>
  <si>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</si>
  <si>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</si>
  <si>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</si>
  <si>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</si>
  <si>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</si>
  <si>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</si>
  <si>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</si>
  <si>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</si>
  <si>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</si>
  <si>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</si>
  <si>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</si>
  <si>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</si>
  <si>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</si>
  <si>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</si>
  <si>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</si>
  <si>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</si>
  <si>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</si>
  <si>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</si>
  <si>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</si>
  <si>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</si>
  <si>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</si>
  <si>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</si>
  <si>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</si>
  <si>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</si>
  <si>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</si>
  <si>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</si>
  <si>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</si>
  <si>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</si>
  <si>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</si>
  <si>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</si>
  <si>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</si>
  <si>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</si>
  <si>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</si>
  <si>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</si>
  <si>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</si>
  <si>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</si>
  <si>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</si>
  <si>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</si>
  <si>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</si>
  <si>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</si>
  <si>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</si>
  <si>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</si>
  <si>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</si>
  <si>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</si>
  <si>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</si>
  <si>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</si>
  <si>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</si>
  <si>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</si>
  <si>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</si>
  <si>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</si>
  <si>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</si>
  <si>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</si>
  <si>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</si>
  <si>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</si>
  <si>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</si>
  <si>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</si>
  <si>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</si>
  <si>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</si>
  <si>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</si>
  <si>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</si>
  <si>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</si>
  <si>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</si>
  <si>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</si>
  <si>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</si>
  <si>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</si>
  <si>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</si>
  <si>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</si>
  <si>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</si>
  <si>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</si>
  <si>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</si>
  <si>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</si>
  <si>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</si>
  <si>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</si>
  <si>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</si>
  <si>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</si>
  <si>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</si>
  <si>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</si>
  <si>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</si>
  <si>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</si>
  <si>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</si>
  <si>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</si>
  <si>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</si>
  <si>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</si>
  <si>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</si>
  <si>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</si>
  <si>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</si>
  <si>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</si>
  <si>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</si>
  <si>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</si>
  <si>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</si>
  <si>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</si>
  <si>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</si>
  <si>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</si>
  <si>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</si>
  <si>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</si>
  <si>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</si>
  <si>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</si>
  <si>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</si>
  <si>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</si>
  <si>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</si>
  <si>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</si>
  <si>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</si>
  <si>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</si>
  <si>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</si>
  <si>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</si>
  <si>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</si>
  <si>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</si>
  <si>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</si>
  <si>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</si>
  <si>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</si>
  <si>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</si>
  <si>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</si>
  <si>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</si>
  <si>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</si>
  <si>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</si>
  <si>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</si>
  <si>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</si>
  <si>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</si>
  <si>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</si>
  <si>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</si>
  <si>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</si>
  <si>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</si>
  <si>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</si>
  <si>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</si>
  <si>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</si>
  <si>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</si>
  <si>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</si>
  <si>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</si>
  <si>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</si>
  <si>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</si>
  <si>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</si>
  <si>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</si>
  <si>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</si>
  <si>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</si>
  <si>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</si>
  <si>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</si>
  <si>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</si>
  <si>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</si>
  <si>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</si>
  <si>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</si>
  <si>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</si>
  <si>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</si>
  <si>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</si>
  <si>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</si>
  <si>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</si>
  <si>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</si>
  <si>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</si>
  <si>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</si>
  <si>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</si>
  <si>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</si>
  <si>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</si>
  <si>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</si>
  <si>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</si>
  <si>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</si>
  <si>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</si>
  <si>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</si>
  <si>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</si>
  <si>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</si>
  <si>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</si>
  <si>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</si>
  <si>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</si>
  <si>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</si>
  <si>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</si>
  <si>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</si>
  <si>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</si>
  <si>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</si>
  <si>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</si>
  <si>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</si>
  <si>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</si>
  <si>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</si>
  <si>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</si>
  <si>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</si>
  <si>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</si>
  <si>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</si>
  <si>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</si>
  <si>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</si>
  <si>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</si>
  <si>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</si>
  <si>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</si>
  <si>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</si>
  <si>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</si>
  <si>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</si>
  <si>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</si>
  <si>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</si>
  <si>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</si>
  <si>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</si>
  <si>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</si>
  <si>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</si>
  <si>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</si>
  <si>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</si>
  <si>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</si>
  <si>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</si>
  <si>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</si>
  <si>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</si>
  <si>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</si>
  <si>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</si>
  <si>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</si>
  <si>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</si>
  <si>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</si>
  <si>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</si>
  <si>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</si>
  <si>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</si>
  <si>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</si>
  <si>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</si>
  <si>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</si>
  <si>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</si>
  <si>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</si>
  <si>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</si>
  <si>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</si>
  <si>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</si>
  <si>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</si>
  <si>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</si>
  <si>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</si>
  <si>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</si>
  <si>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</si>
  <si>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</si>
  <si>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</si>
  <si>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</si>
  <si>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</si>
  <si>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</si>
  <si>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</si>
  <si>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</si>
  <si>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</si>
  <si>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</si>
  <si>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</si>
  <si>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</si>
  <si>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</si>
  <si>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</si>
  <si>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</si>
  <si>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</si>
  <si>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</si>
  <si>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</si>
  <si>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</si>
  <si>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</si>
  <si>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</si>
  <si>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</si>
  <si>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</si>
  <si>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</si>
  <si>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</si>
  <si>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</si>
  <si>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</si>
  <si>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</si>
  <si>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</si>
  <si>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</si>
  <si>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</si>
  <si>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</si>
  <si>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</si>
  <si>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</si>
  <si>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</si>
  <si>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</si>
  <si>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</si>
  <si>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</si>
  <si>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</si>
  <si>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</si>
  <si>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</si>
  <si>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</si>
  <si>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</si>
  <si>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</si>
  <si>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</si>
  <si>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</si>
  <si>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</si>
  <si>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</si>
  <si>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</si>
  <si>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</si>
  <si>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</si>
  <si>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</si>
  <si>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</si>
  <si>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</si>
  <si>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</si>
  <si>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</si>
  <si>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</si>
  <si>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</si>
  <si>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</si>
  <si>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</si>
  <si>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</si>
  <si>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</si>
  <si>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</si>
  <si>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</si>
  <si>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</si>
  <si>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</si>
  <si>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</si>
  <si>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</si>
  <si>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</si>
  <si>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</si>
  <si>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</si>
  <si>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</si>
  <si>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</si>
  <si>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</si>
  <si>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</si>
  <si>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</si>
  <si>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</si>
  <si>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</si>
  <si>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</si>
  <si>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</si>
  <si>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</si>
  <si>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</si>
  <si>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</si>
  <si>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</si>
  <si>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</si>
  <si>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</si>
  <si>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</si>
  <si>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</si>
  <si>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</si>
  <si>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</si>
  <si>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</si>
  <si>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</si>
  <si>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</si>
  <si>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</si>
  <si>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</si>
  <si>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</si>
  <si>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</si>
  <si>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</si>
  <si>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</si>
  <si>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</si>
  <si>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</si>
  <si>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</si>
  <si>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</si>
  <si>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</si>
  <si>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</si>
  <si>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</si>
  <si>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</si>
  <si>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</si>
  <si>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</si>
  <si>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</si>
  <si>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</si>
  <si>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</si>
  <si>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</si>
  <si>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</si>
  <si>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</si>
  <si>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</si>
  <si>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</si>
  <si>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</si>
  <si>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</si>
  <si>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</si>
  <si>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</si>
  <si>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</si>
  <si>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</si>
  <si>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</si>
  <si>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</si>
  <si>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</si>
  <si>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</si>
  <si>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</si>
  <si>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</si>
  <si>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</si>
  <si>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</si>
  <si>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</si>
  <si>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</si>
  <si>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</si>
  <si>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</si>
  <si>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</si>
  <si>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</si>
  <si>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</si>
  <si>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</si>
  <si>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</si>
  <si>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</si>
  <si>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</si>
  <si>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</si>
  <si>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</si>
  <si>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</si>
  <si>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</si>
  <si>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</si>
  <si>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</si>
  <si>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</si>
  <si>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</si>
  <si>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</si>
  <si>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</si>
  <si>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</si>
  <si>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</si>
  <si>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</si>
  <si>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</si>
  <si>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</si>
  <si>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</si>
  <si>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</si>
  <si>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</si>
  <si>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</si>
  <si>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</si>
  <si>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</si>
  <si>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</si>
  <si>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</si>
  <si>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</si>
  <si>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</si>
  <si>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</si>
  <si>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</si>
  <si>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</si>
  <si>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</si>
  <si>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</si>
  <si>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</si>
  <si>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</si>
  <si>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</si>
  <si>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</si>
  <si>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</si>
  <si>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</si>
  <si>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</si>
  <si>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</si>
  <si>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</si>
  <si>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</si>
  <si>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</si>
  <si>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</si>
  <si>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</si>
  <si>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</si>
  <si>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</si>
  <si>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</si>
  <si>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</si>
  <si>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</si>
  <si>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</si>
  <si>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</si>
  <si>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</si>
  <si>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</si>
  <si>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</si>
  <si>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</si>
  <si>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</si>
  <si>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</si>
  <si>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</si>
  <si>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</si>
  <si>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</si>
  <si>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</si>
  <si>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</si>
  <si>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</si>
  <si>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</si>
  <si>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</si>
  <si>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</si>
  <si>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</si>
  <si>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</si>
  <si>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</si>
  <si>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</si>
  <si>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</si>
  <si>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</si>
  <si>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</si>
  <si>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</si>
  <si>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</si>
  <si>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</si>
  <si>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</si>
  <si>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</si>
  <si>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</si>
  <si>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</si>
  <si>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</si>
  <si>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</si>
  <si>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</si>
  <si>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</si>
  <si>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</si>
  <si>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</si>
  <si>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</si>
  <si>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</si>
  <si>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</si>
  <si>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</si>
  <si>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</si>
  <si>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</si>
  <si>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</si>
  <si>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</si>
  <si>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</si>
  <si>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</si>
  <si>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</si>
  <si>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</si>
  <si>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</si>
  <si>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</si>
  <si>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</si>
  <si>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</si>
  <si>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</si>
  <si>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</si>
  <si>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</si>
  <si>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</si>
  <si>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</si>
  <si>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</si>
  <si>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</si>
  <si>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</si>
  <si>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</si>
  <si>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</si>
  <si>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</si>
  <si>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</si>
  <si>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</si>
  <si>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</si>
  <si>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</si>
  <si>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</si>
  <si>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</si>
  <si>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</si>
  <si>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</si>
  <si>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</si>
  <si>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</si>
  <si>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</si>
  <si>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</si>
  <si>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</si>
  <si>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</si>
  <si>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</si>
  <si>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</si>
  <si>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</si>
  <si>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</si>
  <si>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</si>
  <si>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</si>
  <si>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</si>
  <si>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</si>
  <si>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</si>
  <si>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</si>
  <si>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</si>
  <si>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</si>
  <si>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</si>
  <si>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</si>
  <si>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</si>
  <si>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</si>
  <si>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</si>
  <si>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</si>
  <si>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</si>
  <si>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</si>
  <si>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</si>
  <si>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</si>
  <si>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</si>
  <si>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</si>
  <si>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</si>
  <si>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</si>
  <si>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</si>
  <si>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</si>
  <si>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</si>
  <si>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</si>
  <si>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</si>
  <si>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</si>
  <si>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</si>
  <si>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</si>
  <si>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</si>
  <si>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</si>
  <si>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</si>
  <si>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</si>
  <si>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</si>
  <si>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</si>
  <si>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</si>
  <si>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</si>
  <si>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</si>
  <si>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</si>
  <si>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</si>
  <si>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</si>
  <si>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</si>
  <si>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</si>
  <si>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</si>
  <si>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</si>
  <si>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</si>
  <si>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</si>
  <si>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</si>
  <si>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</si>
  <si>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</si>
  <si>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</si>
  <si>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</si>
  <si>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</si>
  <si>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</si>
  <si>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</si>
  <si>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</si>
  <si>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</si>
  <si>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</si>
  <si>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</si>
  <si>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</si>
  <si>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</si>
  <si>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</si>
  <si>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</si>
  <si>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</si>
  <si>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</si>
  <si>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</si>
  <si>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</si>
  <si>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</si>
  <si>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</si>
  <si>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</si>
  <si>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</si>
  <si>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</si>
  <si>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</si>
  <si>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</si>
  <si>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</si>
  <si>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</si>
  <si>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</si>
  <si>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</si>
  <si>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</si>
  <si>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</si>
  <si>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</si>
  <si>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</si>
  <si>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</si>
  <si>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</si>
  <si>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</si>
  <si>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</si>
  <si>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</si>
  <si>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</si>
  <si>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</si>
  <si>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</si>
  <si>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</si>
  <si>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</si>
  <si>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</si>
  <si>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</si>
  <si>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</si>
  <si>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</si>
  <si>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</si>
  <si>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</si>
  <si>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</si>
  <si>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</si>
  <si>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</si>
  <si>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</si>
  <si>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</si>
  <si>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</si>
  <si>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</si>
  <si>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</si>
  <si>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</si>
  <si>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</si>
  <si>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</si>
  <si>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</si>
  <si>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</si>
  <si>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</si>
  <si>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</si>
  <si>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</si>
  <si>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</si>
  <si>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</si>
  <si>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</si>
  <si>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</si>
  <si>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</si>
  <si>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</si>
  <si>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</si>
  <si>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</si>
  <si>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</si>
  <si>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</si>
  <si>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</si>
  <si>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</si>
  <si>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</si>
  <si>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</si>
  <si>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</si>
  <si>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</si>
  <si>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</si>
  <si>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</si>
  <si>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</si>
  <si>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</si>
  <si>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</si>
  <si>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</si>
  <si>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</si>
  <si>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</si>
  <si>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</si>
  <si>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</si>
  <si>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</si>
  <si>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</si>
  <si>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</si>
  <si>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</si>
  <si>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</si>
  <si>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</si>
  <si>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</si>
  <si>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</si>
  <si>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</si>
  <si>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</si>
  <si>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</si>
  <si>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</si>
  <si>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</si>
  <si>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</si>
  <si>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</si>
  <si>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</si>
  <si>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</si>
  <si>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</si>
  <si>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</si>
  <si>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</si>
  <si>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</si>
  <si>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</si>
  <si>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</si>
  <si>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</si>
  <si>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</si>
  <si>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</si>
  <si>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</si>
  <si>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</si>
  <si>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</si>
  <si>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</si>
  <si>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</si>
  <si>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</si>
  <si>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</si>
  <si>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</si>
  <si>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</si>
  <si>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</si>
  <si>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</si>
  <si>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</si>
  <si>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</si>
  <si>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</si>
  <si>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</si>
  <si>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</si>
  <si>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</si>
  <si>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</si>
  <si>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</si>
  <si>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</si>
  <si>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</si>
  <si>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</si>
  <si>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</si>
  <si>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</si>
  <si>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</si>
  <si>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</si>
  <si>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</si>
  <si>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</si>
  <si>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</si>
  <si>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</si>
  <si>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</si>
  <si>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</si>
  <si>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</si>
  <si>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</si>
  <si>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</si>
  <si>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</si>
  <si>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</si>
  <si>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</si>
  <si>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</si>
  <si>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</si>
  <si>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</si>
  <si>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</si>
  <si>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</si>
  <si>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</si>
  <si>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</si>
  <si>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</si>
  <si>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</si>
  <si>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</si>
  <si>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</si>
  <si>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</si>
  <si>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</si>
  <si>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</si>
  <si>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</si>
  <si>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</si>
  <si>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</si>
  <si>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</si>
  <si>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</si>
  <si>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</si>
  <si>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</si>
  <si>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</si>
  <si>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</si>
  <si>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</si>
  <si>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</si>
  <si>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</si>
  <si>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</si>
  <si>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</si>
  <si>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</si>
  <si>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</si>
  <si>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</si>
  <si>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</si>
  <si>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</si>
  <si>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</si>
  <si>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</si>
  <si>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</si>
  <si>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</si>
  <si>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</si>
  <si>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</si>
  <si>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</si>
  <si>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</si>
  <si>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</si>
  <si>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</si>
  <si>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</si>
  <si>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</si>
  <si>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</si>
  <si>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</si>
  <si>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</si>
  <si>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</si>
  <si>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</si>
  <si>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</si>
  <si>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</si>
  <si>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</si>
  <si>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</si>
  <si>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</si>
  <si>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</si>
  <si>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</si>
  <si>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</si>
  <si>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</si>
  <si>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</si>
  <si>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</si>
  <si>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</si>
  <si>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</si>
  <si>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</si>
  <si>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</si>
  <si>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</si>
  <si>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</si>
  <si>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</si>
  <si>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</si>
  <si>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</si>
  <si>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</si>
  <si>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</si>
  <si>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</si>
  <si>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</si>
  <si>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</si>
  <si>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</si>
  <si>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</si>
  <si>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</si>
  <si>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</si>
  <si>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</si>
  <si>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</si>
  <si>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</si>
  <si>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</si>
  <si>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</si>
  <si>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</si>
  <si>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</si>
  <si>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</si>
  <si>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</si>
  <si>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</si>
  <si>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</si>
  <si>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</si>
  <si>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</si>
  <si>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</si>
  <si>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</si>
  <si>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</si>
  <si>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</si>
  <si>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</si>
  <si>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</si>
  <si>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</si>
  <si>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</si>
  <si>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</si>
  <si>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</si>
  <si>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</si>
  <si>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</si>
  <si>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</si>
  <si>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</si>
  <si>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</si>
  <si>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</si>
  <si>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</si>
  <si>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</si>
  <si>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</si>
  <si>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</si>
  <si>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</si>
  <si>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</si>
  <si>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</si>
  <si>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</si>
  <si>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</si>
  <si>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</si>
  <si>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</si>
  <si>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</si>
  <si>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</si>
  <si>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</si>
  <si>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</si>
  <si>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</si>
  <si>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</si>
  <si>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</si>
  <si>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</si>
  <si>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</si>
  <si>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</si>
  <si>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</si>
  <si>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</si>
  <si>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</si>
  <si>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</si>
  <si>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</si>
  <si>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</si>
  <si>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</si>
  <si>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</si>
  <si>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</si>
  <si>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</si>
  <si>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</si>
  <si>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</si>
  <si>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</si>
  <si>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</si>
  <si>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</si>
  <si>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</si>
  <si>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</si>
  <si>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</si>
  <si>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</si>
  <si>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</si>
  <si>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</si>
  <si>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</si>
  <si>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</si>
  <si>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</si>
  <si>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</si>
  <si>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</si>
  <si>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</si>
  <si>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</si>
  <si>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</si>
  <si>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</si>
  <si>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</si>
  <si>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</si>
  <si>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</si>
  <si>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</si>
  <si>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</si>
  <si>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</si>
  <si>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</si>
  <si>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</si>
  <si>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</si>
  <si>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</si>
  <si>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</si>
  <si>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</si>
  <si>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</si>
  <si>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</si>
  <si>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</si>
  <si>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</si>
  <si>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</si>
  <si>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</si>
  <si>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</si>
  <si>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</si>
  <si>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</si>
  <si>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</si>
  <si>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</si>
  <si>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</si>
  <si>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</si>
  <si>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</si>
  <si>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</si>
  <si>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</si>
  <si>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</si>
  <si>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</si>
  <si>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</si>
  <si>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</si>
  <si>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</si>
  <si>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</si>
  <si>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</si>
  <si>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</si>
  <si>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</si>
  <si>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</si>
  <si>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</si>
  <si>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</si>
  <si>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</si>
  <si>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</si>
  <si>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</si>
  <si>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</si>
  <si>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</si>
  <si>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</si>
  <si>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</si>
  <si>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</si>
  <si>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</si>
  <si>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</si>
  <si>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</si>
  <si>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</si>
  <si>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</si>
  <si>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</si>
  <si>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</si>
  <si>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</si>
  <si>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</si>
  <si>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</si>
  <si>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</si>
  <si>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</si>
  <si>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</si>
  <si>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</si>
  <si>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</si>
  <si>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</si>
  <si>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</si>
  <si>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</si>
  <si>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</si>
  <si>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</si>
  <si>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</si>
  <si>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</si>
  <si>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</si>
  <si>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</si>
  <si>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</si>
  <si>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</si>
  <si>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</si>
  <si>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</si>
  <si>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</si>
  <si>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</si>
  <si>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</si>
  <si>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</si>
  <si>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</si>
  <si>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</si>
  <si>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</si>
  <si>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</si>
  <si>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</si>
  <si>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</si>
  <si>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</si>
  <si>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</si>
  <si>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</si>
  <si>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</si>
  <si>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</si>
  <si>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</si>
  <si>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</si>
  <si>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</si>
  <si>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</si>
  <si>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</si>
  <si>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</si>
  <si>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</si>
  <si>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</si>
  <si>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</si>
  <si>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</si>
  <si>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</si>
  <si>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</si>
  <si>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</si>
  <si>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</si>
  <si>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</si>
  <si>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</si>
  <si>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</si>
  <si>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</si>
  <si>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</si>
  <si>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</si>
  <si>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</si>
  <si>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</si>
  <si>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</si>
  <si>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</si>
  <si>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</si>
  <si>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</si>
  <si>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</si>
  <si>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</si>
  <si>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</si>
  <si>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</si>
  <si>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</si>
  <si>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</si>
  <si>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</si>
  <si>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</si>
  <si>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</si>
  <si>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</si>
  <si>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</si>
  <si>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</si>
  <si>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</si>
  <si>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</si>
  <si>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</si>
  <si>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</si>
  <si>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</si>
  <si>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</si>
  <si>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</si>
  <si>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</si>
  <si>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</si>
  <si>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</si>
  <si>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</si>
  <si>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</si>
  <si>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</si>
  <si>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</si>
  <si>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</si>
  <si>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</si>
  <si>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</si>
  <si>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</si>
  <si>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</si>
  <si>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</si>
  <si>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</si>
  <si>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</si>
  <si>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</si>
  <si>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</si>
  <si>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</si>
  <si>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</si>
  <si>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</si>
  <si>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</si>
  <si>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</si>
  <si>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</si>
  <si>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</si>
  <si>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</si>
  <si>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</si>
  <si>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</si>
  <si>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</si>
  <si>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</si>
  <si>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</si>
  <si>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</si>
  <si>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</si>
  <si>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</si>
  <si>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</si>
  <si>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</si>
  <si>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</si>
  <si>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</si>
  <si>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</si>
  <si>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</si>
  <si>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</si>
  <si>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</si>
  <si>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</si>
  <si>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</si>
  <si>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</si>
  <si>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</si>
  <si>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</si>
  <si>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</si>
  <si>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</si>
  <si>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</si>
  <si>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</si>
  <si>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</si>
  <si>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</si>
  <si>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</si>
  <si>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</si>
  <si>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</si>
  <si>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</si>
  <si>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</si>
  <si>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</si>
  <si>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</si>
  <si>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</si>
  <si>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</si>
  <si>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</si>
  <si>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</si>
  <si>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</si>
  <si>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</si>
  <si>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</si>
  <si>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</si>
  <si>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</si>
  <si>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</si>
  <si>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</si>
  <si>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</si>
  <si>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</si>
  <si>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</si>
  <si>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</si>
  <si>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</si>
  <si>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</si>
  <si>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</si>
  <si>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</si>
  <si>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</si>
  <si>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</si>
  <si>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</si>
  <si>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</si>
  <si>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</si>
  <si>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</si>
  <si>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</si>
  <si>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</si>
  <si>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</si>
  <si>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</si>
  <si>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</si>
  <si>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</si>
  <si>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</si>
  <si>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</si>
  <si>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</si>
  <si>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</si>
  <si>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</si>
  <si>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</si>
  <si>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</si>
  <si>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</si>
  <si>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</si>
  <si>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</si>
  <si>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</si>
  <si>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</si>
  <si>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</si>
  <si>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</si>
  <si>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</si>
  <si>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</si>
  <si>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</si>
  <si>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</si>
  <si>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</si>
  <si>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</si>
  <si>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</si>
  <si>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</si>
  <si>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</si>
  <si>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</si>
  <si>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</si>
  <si>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</si>
  <si>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</si>
  <si>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</si>
  <si>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</si>
  <si>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</si>
  <si>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</si>
  <si>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</si>
  <si>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</si>
  <si>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</si>
  <si>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</si>
  <si>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</si>
  <si>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</si>
  <si>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</si>
  <si>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</si>
  <si>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</si>
  <si>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</si>
  <si>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</si>
  <si>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</si>
  <si>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</si>
  <si>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</si>
  <si>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</si>
  <si>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</si>
  <si>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</si>
  <si>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</si>
  <si>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</si>
  <si>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</si>
  <si>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</si>
  <si>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</si>
  <si>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</si>
  <si>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</si>
  <si>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</si>
  <si>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</si>
  <si>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</si>
  <si>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</si>
  <si>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</si>
  <si>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</si>
  <si>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</si>
  <si>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</si>
  <si>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</si>
  <si>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</si>
  <si>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</si>
  <si>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</si>
  <si>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</si>
  <si>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</si>
  <si>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</si>
  <si>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</si>
  <si>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</si>
  <si>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</si>
  <si>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</si>
  <si>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</si>
  <si>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</si>
  <si>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</si>
  <si>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</si>
  <si>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</si>
  <si>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</si>
  <si>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</si>
  <si>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</si>
  <si>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</si>
  <si>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</si>
  <si>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</si>
  <si>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</si>
  <si>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</si>
  <si>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</si>
  <si>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</si>
  <si>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</si>
  <si>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</si>
  <si>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</si>
  <si>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</si>
  <si>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</si>
  <si>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</si>
  <si>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</si>
  <si>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</si>
  <si>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</si>
  <si>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</si>
  <si>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</si>
  <si>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</si>
  <si>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</si>
  <si>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</si>
  <si>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</si>
  <si>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</si>
  <si>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</si>
  <si>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</si>
  <si>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</si>
  <si>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</si>
  <si>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</si>
  <si>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</si>
  <si>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</si>
  <si>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</si>
  <si>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</si>
  <si>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</si>
  <si>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</si>
  <si>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</si>
  <si>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</si>
  <si>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</si>
  <si>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</si>
  <si>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</si>
  <si>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</si>
  <si>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</si>
  <si>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</si>
  <si>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</si>
  <si>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</si>
  <si>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</si>
  <si>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</si>
  <si>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</si>
  <si>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</si>
  <si>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</si>
  <si>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</si>
  <si>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</si>
  <si>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</si>
  <si>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</si>
  <si>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</si>
  <si>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</si>
  <si>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</si>
  <si>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</si>
  <si>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</si>
  <si>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</si>
  <si>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</si>
  <si>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</si>
  <si>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</si>
  <si>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</si>
  <si>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</si>
  <si>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</si>
  <si>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</si>
  <si>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</si>
  <si>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</si>
  <si>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</si>
  <si>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</si>
  <si>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</si>
  <si>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</si>
  <si>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</si>
  <si>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</si>
  <si>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</si>
  <si>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</si>
  <si>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</si>
  <si>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</si>
  <si>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</si>
  <si>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</si>
  <si>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</si>
  <si>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</si>
  <si>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</si>
  <si>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</si>
  <si>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</si>
  <si>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</si>
  <si>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</si>
  <si>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</si>
  <si>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</si>
  <si>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</si>
  <si>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</si>
  <si>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</si>
  <si>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</si>
  <si>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</si>
  <si>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</si>
  <si>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</si>
  <si>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</si>
  <si>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</si>
  <si>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</si>
  <si>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</si>
  <si>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</si>
  <si>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</si>
  <si>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</si>
  <si>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</si>
  <si>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</si>
  <si>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</si>
  <si>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</si>
  <si>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</si>
  <si>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</si>
  <si>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</si>
  <si>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</si>
  <si>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</si>
  <si>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</si>
  <si>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</si>
  <si>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</si>
  <si>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</si>
  <si>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</si>
  <si>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</si>
  <si>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</si>
  <si>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</si>
  <si>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</si>
  <si>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</si>
  <si>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</si>
  <si>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</si>
  <si>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</si>
  <si>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</si>
  <si>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</si>
  <si>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</si>
  <si>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</si>
  <si>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</si>
  <si>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</si>
  <si>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</si>
  <si>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</si>
  <si>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</si>
  <si>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</si>
  <si>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</si>
  <si>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</si>
  <si>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</si>
  <si>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</si>
  <si>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</si>
  <si>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</si>
  <si>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</si>
  <si>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</si>
  <si>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</si>
  <si>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</si>
  <si>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</si>
  <si>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</si>
  <si>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</si>
  <si>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</si>
  <si>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</si>
  <si>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</si>
  <si>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</si>
  <si>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</si>
  <si>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</si>
  <si>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</si>
  <si>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</si>
  <si>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</si>
  <si>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</si>
  <si>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</si>
  <si>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</si>
  <si>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</si>
  <si>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</si>
  <si>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</si>
  <si>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</si>
  <si>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</si>
  <si>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</si>
  <si>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</si>
  <si>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</si>
  <si>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</si>
  <si>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</si>
  <si>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</si>
  <si>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</si>
  <si>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</si>
  <si>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</si>
  <si>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</si>
  <si>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</si>
  <si>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</si>
  <si>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</si>
  <si>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</si>
  <si>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</si>
  <si>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</si>
  <si>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</si>
  <si>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</si>
  <si>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</si>
  <si>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</si>
  <si>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</si>
  <si>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</si>
  <si>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</si>
  <si>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</si>
  <si>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</si>
  <si>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</si>
  <si>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</si>
  <si>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</si>
  <si>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</si>
  <si>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</si>
  <si>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</si>
  <si>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</si>
  <si>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</si>
  <si>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</si>
  <si>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</si>
  <si>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</si>
  <si>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</si>
  <si>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</si>
  <si>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</si>
  <si>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</si>
  <si>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</si>
  <si>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</si>
  <si>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</si>
  <si>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</si>
  <si>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</si>
  <si>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</si>
  <si>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</si>
  <si>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</si>
  <si>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</si>
  <si>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</si>
  <si>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</si>
  <si>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</si>
  <si>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</si>
  <si>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</si>
  <si>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</si>
  <si>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</si>
  <si>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</si>
  <si>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</si>
  <si>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</si>
  <si>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</si>
  <si>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</si>
  <si>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</si>
  <si>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</si>
  <si>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</si>
  <si>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</si>
  <si>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</si>
  <si>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</si>
  <si>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</si>
  <si>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</si>
  <si>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</si>
  <si>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</si>
  <si>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</si>
  <si>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</si>
  <si>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</si>
  <si>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</si>
  <si>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</si>
  <si>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</si>
  <si>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</si>
  <si>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</si>
  <si>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</si>
  <si>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</si>
  <si>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</si>
  <si>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</si>
  <si>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</si>
  <si>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</si>
  <si>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</si>
  <si>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</si>
  <si>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</si>
  <si>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</si>
  <si>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</si>
  <si>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</si>
  <si>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</si>
  <si>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</si>
  <si>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</si>
  <si>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</si>
  <si>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</si>
  <si>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</si>
  <si>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</si>
  <si>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</si>
  <si>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</si>
  <si>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</si>
  <si>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</si>
  <si>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</si>
  <si>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</si>
  <si>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</si>
  <si>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</si>
  <si>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</si>
  <si>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</si>
  <si>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</si>
  <si>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</si>
  <si>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</si>
  <si>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</si>
  <si>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</si>
  <si>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</si>
  <si>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</si>
  <si>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</si>
  <si>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</si>
  <si>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</si>
  <si>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</si>
  <si>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</si>
  <si>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</si>
  <si>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</si>
  <si>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</si>
  <si>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</si>
  <si>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</si>
  <si>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</si>
  <si>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</si>
  <si>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</si>
  <si>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</si>
  <si>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</si>
  <si>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</si>
  <si>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</si>
  <si>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</si>
  <si>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</si>
  <si>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</si>
  <si>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</si>
  <si>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</si>
  <si>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</si>
  <si>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</si>
  <si>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</si>
  <si>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</si>
  <si>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</si>
  <si>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</si>
  <si>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</si>
  <si>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</si>
  <si>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</si>
  <si>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</si>
  <si>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</si>
  <si>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</si>
  <si>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</si>
  <si>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</si>
  <si>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</si>
  <si>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</si>
  <si>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</si>
  <si>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</si>
  <si>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</si>
  <si>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</si>
  <si>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</si>
  <si>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</si>
  <si>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</si>
  <si>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</si>
  <si>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</si>
  <si>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</si>
  <si>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</si>
  <si>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</si>
  <si>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</si>
  <si>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</si>
  <si>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</si>
  <si>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</si>
  <si>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</si>
  <si>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</si>
  <si>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</si>
  <si>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</si>
  <si>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</si>
  <si>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</si>
  <si>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</si>
  <si>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</si>
  <si>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</si>
  <si>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</si>
  <si>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</si>
  <si>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</si>
  <si>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</si>
  <si>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</si>
  <si>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</si>
  <si>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</si>
  <si>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</si>
  <si>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</si>
  <si>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</si>
  <si>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</si>
  <si>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</si>
  <si>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</si>
  <si>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</si>
  <si>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</si>
  <si>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</si>
  <si>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</si>
  <si>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</si>
  <si>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</si>
  <si>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</si>
  <si>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</si>
  <si>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</si>
  <si>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</si>
  <si>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</si>
  <si>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</si>
  <si>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</si>
  <si>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</si>
  <si>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</si>
  <si>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</si>
  <si>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</si>
  <si>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</si>
  <si>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</si>
  <si>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</si>
  <si>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</si>
  <si>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</si>
  <si>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</si>
  <si>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</si>
  <si>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</si>
  <si>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</si>
  <si>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</si>
  <si>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</si>
  <si>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</si>
  <si>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</si>
  <si>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</si>
  <si>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</si>
  <si>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</si>
  <si>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</si>
  <si>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</si>
  <si>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</si>
  <si>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</si>
  <si>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</si>
  <si>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</si>
  <si>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</si>
  <si>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</si>
  <si>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</si>
  <si>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</si>
  <si>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</si>
  <si>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</si>
  <si>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</si>
  <si>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</si>
  <si>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</si>
  <si>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</si>
  <si>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</si>
  <si>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</si>
  <si>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</si>
  <si>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</si>
  <si>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</si>
  <si>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</si>
  <si>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</si>
  <si>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</si>
  <si>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</si>
  <si>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</si>
  <si>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</si>
  <si>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</si>
  <si>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</si>
  <si>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</si>
  <si>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</si>
  <si>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</si>
  <si>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</si>
  <si>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</si>
  <si>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</si>
  <si>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</si>
  <si>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</si>
  <si>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</si>
  <si>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</si>
  <si>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</si>
  <si>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</si>
  <si>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</si>
  <si>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</si>
  <si>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</si>
  <si>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</si>
  <si>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</si>
  <si>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</si>
  <si>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</si>
  <si>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</si>
  <si>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</si>
  <si>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</si>
  <si>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</si>
  <si>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</si>
  <si>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</si>
  <si>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</si>
  <si>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</si>
  <si>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</si>
  <si>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</si>
  <si>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</si>
  <si>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</si>
  <si>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</si>
  <si>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</si>
  <si>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</si>
  <si>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</si>
  <si>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</si>
  <si>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</si>
  <si>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</si>
  <si>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</si>
  <si>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</si>
  <si>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</si>
  <si>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</si>
  <si>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</si>
  <si>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</si>
  <si>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</si>
  <si>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</si>
  <si>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</si>
  <si>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</si>
  <si>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</si>
  <si>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</si>
  <si>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</si>
  <si>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</si>
  <si>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</si>
  <si>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</si>
  <si>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</si>
  <si>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</si>
  <si>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</si>
  <si>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</si>
  <si>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</si>
  <si>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</si>
  <si>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</si>
  <si>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</si>
  <si>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</si>
  <si>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</si>
  <si>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</si>
  <si>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</si>
  <si>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</si>
  <si>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</si>
  <si>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</si>
  <si>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</si>
  <si>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</si>
  <si>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</si>
  <si>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</si>
  <si>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</si>
  <si>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</si>
  <si>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</si>
  <si>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</si>
  <si>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</si>
  <si>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</si>
  <si>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</si>
  <si>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</si>
  <si>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</si>
  <si>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</si>
  <si>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</si>
  <si>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</si>
  <si>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</si>
  <si>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</si>
  <si>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</si>
  <si>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</si>
  <si>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</si>
  <si>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</si>
  <si>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</si>
  <si>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</si>
  <si>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</si>
  <si>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</si>
  <si>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</si>
  <si>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</si>
  <si>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</si>
  <si>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</si>
  <si>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</si>
  <si>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</si>
  <si>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</si>
  <si>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</si>
  <si>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</si>
  <si>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</si>
  <si>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</si>
  <si>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</si>
  <si>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</si>
  <si>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</si>
  <si>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</si>
  <si>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</si>
  <si>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</si>
  <si>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</si>
  <si>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</si>
  <si>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</si>
  <si>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</si>
  <si>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</si>
  <si>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</si>
  <si>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</si>
  <si>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</si>
  <si>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</si>
  <si>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</si>
  <si>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</si>
  <si>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</si>
  <si>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</si>
  <si>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</si>
  <si>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</si>
  <si>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</si>
  <si>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</si>
  <si>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</si>
  <si>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</si>
  <si>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</si>
  <si>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</si>
  <si>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</si>
  <si>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</si>
  <si>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</si>
  <si>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</si>
  <si>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</si>
  <si>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</si>
  <si>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</si>
  <si>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</si>
  <si>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</si>
  <si>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</si>
  <si>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</si>
  <si>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</si>
  <si>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</si>
  <si>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</si>
  <si>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</si>
  <si>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</si>
  <si>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</si>
  <si>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</si>
  <si>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</si>
  <si>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</si>
  <si>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</si>
  <si>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</si>
  <si>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</si>
  <si>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</si>
  <si>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</si>
  <si>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</si>
  <si>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</si>
  <si>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</si>
  <si>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</si>
  <si>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</si>
  <si>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</si>
  <si>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</si>
  <si>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</si>
  <si>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</si>
  <si>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</si>
  <si>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</si>
  <si>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</si>
  <si>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</si>
  <si>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</si>
  <si>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</si>
  <si>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</si>
  <si>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</si>
  <si>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</si>
  <si>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</si>
  <si>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</si>
  <si>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</si>
  <si>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</si>
  <si>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</si>
  <si>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</si>
  <si>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</si>
  <si>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</si>
  <si>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</si>
  <si>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</si>
  <si>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</si>
  <si>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</si>
  <si>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</si>
  <si>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</si>
  <si>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</si>
  <si>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</si>
  <si>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</si>
  <si>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</si>
  <si>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</si>
  <si>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</si>
  <si>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</si>
  <si>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</si>
  <si>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</si>
  <si>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</si>
  <si>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</si>
  <si>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</si>
  <si>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</si>
  <si>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</si>
  <si>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</si>
  <si>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</si>
  <si>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</si>
  <si>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</si>
  <si>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</si>
  <si>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</si>
  <si>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</si>
  <si>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</si>
  <si>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</si>
  <si>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</si>
  <si>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</si>
  <si>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</si>
  <si>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</si>
  <si>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</si>
  <si>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</si>
  <si>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</si>
  <si>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</si>
  <si>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</si>
  <si>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</si>
  <si>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</si>
  <si>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</si>
  <si>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</si>
  <si>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</si>
  <si>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</si>
  <si>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</si>
  <si>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</si>
  <si>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</si>
  <si>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</si>
  <si>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</si>
  <si>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</si>
  <si>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</si>
  <si>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</si>
  <si>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</si>
  <si>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</si>
  <si>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</si>
  <si>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</si>
  <si>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</si>
  <si>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</si>
  <si>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</si>
  <si>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</si>
  <si>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</si>
  <si>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</si>
  <si>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</si>
  <si>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</si>
  <si>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</si>
  <si>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</si>
  <si>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</si>
  <si>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</si>
  <si>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</si>
  <si>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</si>
  <si>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</si>
  <si>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</si>
  <si>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</si>
  <si>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</si>
  <si>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</si>
  <si>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</si>
  <si>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</si>
  <si>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</si>
  <si>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</si>
  <si>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</si>
  <si>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</si>
  <si>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</si>
  <si>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</si>
  <si>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</si>
  <si>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</si>
  <si>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</si>
  <si>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</si>
  <si>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</si>
  <si>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</si>
  <si>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</si>
  <si>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</si>
  <si>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</si>
  <si>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</si>
  <si>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</si>
  <si>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</si>
  <si>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</si>
  <si>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</si>
  <si>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</si>
  <si>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</si>
  <si>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</si>
  <si>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</si>
  <si>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</si>
  <si>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</si>
  <si>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</si>
  <si>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</si>
  <si>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</si>
  <si>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</si>
  <si>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</si>
  <si>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</si>
  <si>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</si>
  <si>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</si>
  <si>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</si>
  <si>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</si>
  <si>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</si>
  <si>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</si>
  <si>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</si>
  <si>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</si>
  <si>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</si>
  <si>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</si>
  <si>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</si>
  <si>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</si>
  <si>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</si>
  <si>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</si>
  <si>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</si>
  <si>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</si>
  <si>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</si>
  <si>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</si>
  <si>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</si>
  <si>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</si>
  <si>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</si>
  <si>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</si>
  <si>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</si>
  <si>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</si>
  <si>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</si>
  <si>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</si>
  <si>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</si>
  <si>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</si>
  <si>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</si>
  <si>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</si>
  <si>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</si>
  <si>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</si>
  <si>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</si>
  <si>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</si>
  <si>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</si>
  <si>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</si>
  <si>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</si>
  <si>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</si>
  <si>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</si>
  <si>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</si>
  <si>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</si>
  <si>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</si>
  <si>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</si>
  <si>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</si>
  <si>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</si>
  <si>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</si>
  <si>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</si>
  <si>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</si>
  <si>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</si>
  <si>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</si>
  <si>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</si>
  <si>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</si>
  <si>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</si>
  <si>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</si>
  <si>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</si>
  <si>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</si>
  <si>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</si>
  <si>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</si>
  <si>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</si>
  <si>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</si>
  <si>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</si>
  <si>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</si>
  <si>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</si>
  <si>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</si>
  <si>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</si>
  <si>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</si>
  <si>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</si>
  <si>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</si>
  <si>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</si>
  <si>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</si>
  <si>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</si>
  <si>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</si>
  <si>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</si>
  <si>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</si>
  <si>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</si>
  <si>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</si>
  <si>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</si>
  <si>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</si>
  <si>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</si>
  <si>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</si>
  <si>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</si>
  <si>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</si>
  <si>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</si>
  <si>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</si>
  <si>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</si>
  <si>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</si>
  <si>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</si>
  <si>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</si>
  <si>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</si>
  <si>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</si>
  <si>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</si>
  <si>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</si>
  <si>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</si>
  <si>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</si>
  <si>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</si>
  <si>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</si>
  <si>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</si>
  <si>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</si>
  <si>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</si>
  <si>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</si>
  <si>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</si>
  <si>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</si>
  <si>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</si>
  <si>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</si>
  <si>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</si>
  <si>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</si>
  <si>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</si>
  <si>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</si>
  <si>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</si>
  <si>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</si>
  <si>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</si>
  <si>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</si>
  <si>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</si>
  <si>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</si>
  <si>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</si>
  <si>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</si>
  <si>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</si>
  <si>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</si>
  <si>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</si>
  <si>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</si>
  <si>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</si>
  <si>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</si>
  <si>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</si>
  <si>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</si>
  <si>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</si>
  <si>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</si>
  <si>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</si>
  <si>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</si>
  <si>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</si>
  <si>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</si>
  <si>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</si>
  <si>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</si>
  <si>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</si>
  <si>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</si>
  <si>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</si>
  <si>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</si>
  <si>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</si>
  <si>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</si>
  <si>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</si>
  <si>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</si>
  <si>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</si>
  <si>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</si>
  <si>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</si>
  <si>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</si>
  <si>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</si>
  <si>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</si>
  <si>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</si>
  <si>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</si>
  <si>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</si>
  <si>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</si>
  <si>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</si>
  <si>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</si>
  <si>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</si>
  <si>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</si>
  <si>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</si>
  <si>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</si>
  <si>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</si>
  <si>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</si>
  <si>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</si>
  <si>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</si>
  <si>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</si>
  <si>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</si>
  <si>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</si>
  <si>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</si>
  <si>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</si>
  <si>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</si>
  <si>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</si>
  <si>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</si>
  <si>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</si>
  <si>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</si>
  <si>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</si>
  <si>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</si>
  <si>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</si>
  <si>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</si>
  <si>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</si>
  <si>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</si>
  <si>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</si>
  <si>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</si>
  <si>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</si>
  <si>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</si>
  <si>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</si>
  <si>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</si>
  <si>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</si>
  <si>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</si>
  <si>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</si>
  <si>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</si>
  <si>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</si>
  <si>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</si>
  <si>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</si>
  <si>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</si>
  <si>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</si>
  <si>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</si>
  <si>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</si>
  <si>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</si>
  <si>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</si>
  <si>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</si>
  <si>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</si>
  <si>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</si>
  <si>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</si>
  <si>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</si>
  <si>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</si>
  <si>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</si>
  <si>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</si>
  <si>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</si>
  <si>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</si>
  <si>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</si>
  <si>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</si>
  <si>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</si>
  <si>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</si>
  <si>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</si>
  <si>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</si>
  <si>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</si>
  <si>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</si>
  <si>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</si>
  <si>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</si>
  <si>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</si>
  <si>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</si>
  <si>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</si>
  <si>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</si>
  <si>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</si>
  <si>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</si>
  <si>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</si>
  <si>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</si>
  <si>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</si>
  <si>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</si>
  <si>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</si>
  <si>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</si>
  <si>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</si>
  <si>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</si>
  <si>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</si>
  <si>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</si>
  <si>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</si>
  <si>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</si>
  <si>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</si>
  <si>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</si>
  <si>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</si>
  <si>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</si>
  <si>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</si>
  <si>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</si>
  <si>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</si>
  <si>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</si>
  <si>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</si>
  <si>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</si>
  <si>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</si>
  <si>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</si>
  <si>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</si>
  <si>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</si>
  <si>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</si>
  <si>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</si>
  <si>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</si>
  <si>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</si>
  <si>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</si>
  <si>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</si>
  <si>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</si>
  <si>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</si>
  <si>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</si>
  <si>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</si>
  <si>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</si>
  <si>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</si>
  <si>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</si>
  <si>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</si>
  <si>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</si>
  <si>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</si>
  <si>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</si>
  <si>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</si>
  <si>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</si>
  <si>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</si>
  <si>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</si>
  <si>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</si>
  <si>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</si>
  <si>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</si>
  <si>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</si>
  <si>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</si>
  <si>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</si>
  <si>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</si>
  <si>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</si>
  <si>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</si>
  <si>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</si>
  <si>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</si>
  <si>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</si>
  <si>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</si>
  <si>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</si>
  <si>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</si>
  <si>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</si>
  <si>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</si>
  <si>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</si>
  <si>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</si>
  <si>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</si>
  <si>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</si>
  <si>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</si>
  <si>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</si>
  <si>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</si>
  <si>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</si>
  <si>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</si>
  <si>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</si>
  <si>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</si>
  <si>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</si>
  <si>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</si>
  <si>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</si>
  <si>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</si>
  <si>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</si>
  <si>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</si>
  <si>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</si>
  <si>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</si>
  <si>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</si>
  <si>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</si>
  <si>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</si>
  <si>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</si>
  <si>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</si>
  <si>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</si>
  <si>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</si>
  <si>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</si>
  <si>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</si>
  <si>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</si>
  <si>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</si>
  <si>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</si>
  <si>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</si>
  <si>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</si>
  <si>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</si>
  <si>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</si>
  <si>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</si>
  <si>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</si>
  <si>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</si>
  <si>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</si>
  <si>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</si>
  <si>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</si>
  <si>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</si>
  <si>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</si>
  <si>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</si>
  <si>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</si>
  <si>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</si>
  <si>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</si>
  <si>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</si>
  <si>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</si>
  <si>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</si>
  <si>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</si>
  <si>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</si>
  <si>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</si>
  <si>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</si>
  <si>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</si>
  <si>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</si>
  <si>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</si>
  <si>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</si>
  <si>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</si>
  <si>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</si>
  <si>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</si>
  <si>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</si>
  <si>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</si>
  <si>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</si>
  <si>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</si>
  <si>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</si>
  <si>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</si>
  <si>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</si>
  <si>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</si>
  <si>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</si>
  <si>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</si>
  <si>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</si>
  <si>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</si>
  <si>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</si>
  <si>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</si>
  <si>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</si>
  <si>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</si>
  <si>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</si>
  <si>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</si>
  <si>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</si>
  <si>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</si>
  <si>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</si>
  <si>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</si>
  <si>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</si>
  <si>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</si>
  <si>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</si>
  <si>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</si>
  <si>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</si>
  <si>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</si>
  <si>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</si>
  <si>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</si>
  <si>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</si>
  <si>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</si>
  <si>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</si>
  <si>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</si>
  <si>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</si>
  <si>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</si>
  <si>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</si>
  <si>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</si>
  <si>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</si>
  <si>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</si>
  <si>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</si>
  <si>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</si>
  <si>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</si>
  <si>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</si>
  <si>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</si>
  <si>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</si>
  <si>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</si>
  <si>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</si>
  <si>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</si>
  <si>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</si>
  <si>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</si>
  <si>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</si>
  <si>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</si>
  <si>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</si>
  <si>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</si>
  <si>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</si>
  <si>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</si>
  <si>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</si>
  <si>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</si>
  <si>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</si>
  <si>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</si>
  <si>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</si>
  <si>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</si>
  <si>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</si>
  <si>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</si>
  <si>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</si>
  <si>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</si>
  <si>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</si>
  <si>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</si>
  <si>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</si>
  <si>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</si>
  <si>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</si>
  <si>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</si>
  <si>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</si>
  <si>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</si>
  <si>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</si>
  <si>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</si>
  <si>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</si>
  <si>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</si>
  <si>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</si>
  <si>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</si>
  <si>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</si>
  <si>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</si>
  <si>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</si>
  <si>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</si>
  <si>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</si>
  <si>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</si>
  <si>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</si>
  <si>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</si>
  <si>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</si>
  <si>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</si>
  <si>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</si>
  <si>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</si>
  <si>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</si>
  <si>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</si>
  <si>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</si>
  <si>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</si>
  <si>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</si>
  <si>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</si>
  <si>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</si>
  <si>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</si>
  <si>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</si>
  <si>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</si>
  <si>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</si>
  <si>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</si>
  <si>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</si>
  <si>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</si>
  <si>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</si>
  <si>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</si>
  <si>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</si>
  <si>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</si>
  <si>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</si>
  <si>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</si>
  <si>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</si>
  <si>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</si>
  <si>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</si>
  <si>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</si>
  <si>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</si>
  <si>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</si>
  <si>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</si>
  <si>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</si>
  <si>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</si>
  <si>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</si>
  <si>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</si>
  <si>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</si>
  <si>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</si>
  <si>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</si>
  <si>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</si>
  <si>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</si>
  <si>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</si>
  <si>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</si>
  <si>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</si>
  <si>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</si>
  <si>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</si>
  <si>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</si>
  <si>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</si>
  <si>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</si>
  <si>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</si>
  <si>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</si>
  <si>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</si>
  <si>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</si>
  <si>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</si>
  <si>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</si>
  <si>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</si>
  <si>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</si>
  <si>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</si>
  <si>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</si>
  <si>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</si>
  <si>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</si>
  <si>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</si>
  <si>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</si>
  <si>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</si>
  <si>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</si>
  <si>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</si>
  <si>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</si>
  <si>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</si>
  <si>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</si>
  <si>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</si>
  <si>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</si>
  <si>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</si>
  <si>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</si>
  <si>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</si>
  <si>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</si>
  <si>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</si>
  <si>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</si>
  <si>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</si>
  <si>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</si>
  <si>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</si>
  <si>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</si>
  <si>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</si>
  <si>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</si>
  <si>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</si>
  <si>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</si>
  <si>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</si>
  <si>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</si>
  <si>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</si>
  <si>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</si>
  <si>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</si>
  <si>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</si>
  <si>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</si>
  <si>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</si>
  <si>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</si>
  <si>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</si>
  <si>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</si>
  <si>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</si>
  <si>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</si>
  <si>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</si>
  <si>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</si>
  <si>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</si>
  <si>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</si>
  <si>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</si>
  <si>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</si>
  <si>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</si>
  <si>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</si>
  <si>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</si>
  <si>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</si>
  <si>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</si>
  <si>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</si>
  <si>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</si>
  <si>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</si>
  <si>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</si>
  <si>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</si>
  <si>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</si>
  <si>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</si>
  <si>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</si>
  <si>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</si>
  <si>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</si>
  <si>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</si>
  <si>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</si>
  <si>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</si>
  <si>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</si>
  <si>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</si>
  <si>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</si>
  <si>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</si>
  <si>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</si>
  <si>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</si>
  <si>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</si>
  <si>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</si>
  <si>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</si>
  <si>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</si>
  <si>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</si>
  <si>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</si>
  <si>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</si>
  <si>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</si>
  <si>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</si>
  <si>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</si>
  <si>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</si>
  <si>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</si>
  <si>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</si>
  <si>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</si>
  <si>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</si>
  <si>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</si>
  <si>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</si>
  <si>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</si>
  <si>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</si>
  <si>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</si>
  <si>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</si>
  <si>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</si>
  <si>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</si>
  <si>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</si>
  <si>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</si>
  <si>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</si>
  <si>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</si>
  <si>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</si>
  <si>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</si>
  <si>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</si>
  <si>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</si>
  <si>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</si>
  <si>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</si>
  <si>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</si>
  <si>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</si>
  <si>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</si>
  <si>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</si>
  <si>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</si>
  <si>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</si>
  <si>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</si>
  <si>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</si>
  <si>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</si>
  <si>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</si>
  <si>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</si>
  <si>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</si>
  <si>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</si>
  <si>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</si>
  <si>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</si>
  <si>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</si>
  <si>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</si>
  <si>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</si>
  <si>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</si>
  <si>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</si>
  <si>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</si>
  <si>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</si>
  <si>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</si>
  <si>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</si>
  <si>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</si>
  <si>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</si>
  <si>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</si>
  <si>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</si>
  <si>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</si>
  <si>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</si>
  <si>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</si>
  <si>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</si>
  <si>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</si>
  <si>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</si>
  <si>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</si>
  <si>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</si>
  <si>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</si>
  <si>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</si>
  <si>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</si>
  <si>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</si>
  <si>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</si>
  <si>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</si>
  <si>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</si>
  <si>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</si>
  <si>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</si>
  <si>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</si>
  <si>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</si>
  <si>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</si>
  <si>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</si>
  <si>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</si>
  <si>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</si>
  <si>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</si>
  <si>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</si>
  <si>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</si>
  <si>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</si>
  <si>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</si>
  <si>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</si>
  <si>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</si>
  <si>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</si>
  <si>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</si>
  <si>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</si>
  <si>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</si>
  <si>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</si>
  <si>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</si>
  <si>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</si>
  <si>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</si>
  <si>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</si>
  <si>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</si>
  <si>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</si>
  <si>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</si>
  <si>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</si>
  <si>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</si>
  <si>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</si>
  <si>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</si>
  <si>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</si>
  <si>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</si>
  <si>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</si>
  <si>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</si>
  <si>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</si>
  <si>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</si>
  <si>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</si>
  <si>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</si>
  <si>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</si>
  <si>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</si>
  <si>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</si>
  <si>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</si>
  <si>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</si>
  <si>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</si>
  <si>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</si>
  <si>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</si>
  <si>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</si>
  <si>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</si>
  <si>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</si>
  <si>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</si>
  <si>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</si>
  <si>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</si>
  <si>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</si>
  <si>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</si>
  <si>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</si>
  <si>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</si>
  <si>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</si>
  <si>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</si>
  <si>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</si>
  <si>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</si>
  <si>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</si>
  <si>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</si>
  <si>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</si>
  <si>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</si>
  <si>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</si>
  <si>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</si>
  <si>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</si>
  <si>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</si>
  <si>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</si>
  <si>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</si>
  <si>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</si>
  <si>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</si>
  <si>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</si>
  <si>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</si>
  <si>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</si>
  <si>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</si>
  <si>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</si>
  <si>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</si>
  <si>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</si>
  <si>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</si>
  <si>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</si>
  <si>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</si>
  <si>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</si>
  <si>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</si>
  <si>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</si>
  <si>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</si>
  <si>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</si>
  <si>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</si>
  <si>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</si>
  <si>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</si>
  <si>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</si>
  <si>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</si>
  <si>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</si>
  <si>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</si>
  <si>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</si>
  <si>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</si>
  <si>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</si>
  <si>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</si>
  <si>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</si>
  <si>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</si>
  <si>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</si>
  <si>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</si>
  <si>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</si>
  <si>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</si>
  <si>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</si>
  <si>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</si>
  <si>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</si>
  <si>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</si>
  <si>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</si>
  <si>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</si>
  <si>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</si>
  <si>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</si>
  <si>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</si>
  <si>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</si>
  <si>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</si>
  <si>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</si>
  <si>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</si>
  <si>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</si>
  <si>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</si>
  <si>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</si>
  <si>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</si>
  <si>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</si>
  <si>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</si>
  <si>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</si>
  <si>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</si>
  <si>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</si>
  <si>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</si>
  <si>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</si>
  <si>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</si>
  <si>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</si>
  <si>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</si>
  <si>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</si>
  <si>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</si>
  <si>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</si>
  <si>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</si>
  <si>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</si>
  <si>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</si>
  <si>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</si>
  <si>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</si>
  <si>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</si>
  <si>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</si>
  <si>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</si>
  <si>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</si>
  <si>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</si>
  <si>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</si>
  <si>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</si>
  <si>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</si>
  <si>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</si>
  <si>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</si>
  <si>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</si>
  <si>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</si>
  <si>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</si>
  <si>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</si>
  <si>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</si>
  <si>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</si>
  <si>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</si>
  <si>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</si>
  <si>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</si>
  <si>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</si>
  <si>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</si>
  <si>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</si>
  <si>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</si>
  <si>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</si>
  <si>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</si>
  <si>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</si>
  <si>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</si>
  <si>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</si>
  <si>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</si>
  <si>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</si>
  <si>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</si>
  <si>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</si>
  <si>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</si>
  <si>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</si>
  <si>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</si>
  <si>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</si>
  <si>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</si>
  <si>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</si>
  <si>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</si>
  <si>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</si>
  <si>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</si>
  <si>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</si>
  <si>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</si>
  <si>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</si>
  <si>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</si>
  <si>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</si>
  <si>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</si>
  <si>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</si>
  <si>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</si>
  <si>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</si>
  <si>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</si>
  <si>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</si>
  <si>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</si>
  <si>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</si>
  <si>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</si>
  <si>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</si>
  <si>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</si>
  <si>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</si>
  <si>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</si>
  <si>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</si>
  <si>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</si>
  <si>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</si>
  <si>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</si>
  <si>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</si>
  <si>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</si>
  <si>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</si>
  <si>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</si>
  <si>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</si>
  <si>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</si>
  <si>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</si>
  <si>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</si>
  <si>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</si>
  <si>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</si>
  <si>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</si>
  <si>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</si>
  <si>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</si>
  <si>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</si>
  <si>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</si>
  <si>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</si>
  <si>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</si>
  <si>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</si>
  <si>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</si>
  <si>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</si>
  <si>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</si>
  <si>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</si>
  <si>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</si>
  <si>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</si>
  <si>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</si>
  <si>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</si>
  <si>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</si>
  <si>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</si>
  <si>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</si>
  <si>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</si>
  <si>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</si>
  <si>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</si>
  <si>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</si>
  <si>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</si>
  <si>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</si>
  <si>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</si>
  <si>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</si>
  <si>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</si>
  <si>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</si>
  <si>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</si>
  <si>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</si>
  <si>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</si>
  <si>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</si>
  <si>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</si>
  <si>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</si>
  <si>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</si>
  <si>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</si>
  <si>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</si>
  <si>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</si>
  <si>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</si>
  <si>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</si>
  <si>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</si>
  <si>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</si>
  <si>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</si>
  <si>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</si>
  <si>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</si>
  <si>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</si>
  <si>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</si>
  <si>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</si>
  <si>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</si>
  <si>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</si>
  <si>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</si>
  <si>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</si>
  <si>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</si>
  <si>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</si>
  <si>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</si>
  <si>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</si>
  <si>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</si>
  <si>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</si>
  <si>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</si>
  <si>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</si>
  <si>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</si>
  <si>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</si>
  <si>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</si>
  <si>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</si>
  <si>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</si>
  <si>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</si>
  <si>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</si>
  <si>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</si>
  <si>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</si>
  <si>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</si>
  <si>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</si>
  <si>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</si>
  <si>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</si>
  <si>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</si>
  <si>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</si>
  <si>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</si>
  <si>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</si>
  <si>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</si>
  <si>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</si>
  <si>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</si>
  <si>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</si>
  <si>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</si>
  <si>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</si>
  <si>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</si>
  <si>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</si>
  <si>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</si>
  <si>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</si>
  <si>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</si>
  <si>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</si>
  <si>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</si>
  <si>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</si>
  <si>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</si>
  <si>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</si>
  <si>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</si>
  <si>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</si>
  <si>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</si>
  <si>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</si>
  <si>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</si>
  <si>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</si>
  <si>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</si>
  <si>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</si>
  <si>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</si>
  <si>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</si>
  <si>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</si>
  <si>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</si>
  <si>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</si>
  <si>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</si>
  <si>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</si>
  <si>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</si>
  <si>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</si>
  <si>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</si>
  <si>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</si>
  <si>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</si>
  <si>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</si>
  <si>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</si>
  <si>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</si>
  <si>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</si>
  <si>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</si>
  <si>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</si>
  <si>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</si>
  <si>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</si>
  <si>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</si>
  <si>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</si>
  <si>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</si>
  <si>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</si>
  <si>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</si>
  <si>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</si>
  <si>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</si>
  <si>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</si>
  <si>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</si>
  <si>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</si>
  <si>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</si>
  <si>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</si>
  <si>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</si>
  <si>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</si>
  <si>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</si>
  <si>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</si>
  <si>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</si>
  <si>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</si>
  <si>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</si>
  <si>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</si>
  <si>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</si>
  <si>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</si>
  <si>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</si>
  <si>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</si>
  <si>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</si>
  <si>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</si>
  <si>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</si>
  <si>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</si>
  <si>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</si>
  <si>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</si>
  <si>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</si>
  <si>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</si>
  <si>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</si>
  <si>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</si>
  <si>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</si>
  <si>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</si>
  <si>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</si>
  <si>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</si>
  <si>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</si>
  <si>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</si>
  <si>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</si>
  <si>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</si>
  <si>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</si>
  <si>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</si>
  <si>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</si>
  <si>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</si>
  <si>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</si>
  <si>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</si>
  <si>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</si>
  <si>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</si>
  <si>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</si>
  <si>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</si>
  <si>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</si>
  <si>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</si>
  <si>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</si>
  <si>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</si>
  <si>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</si>
  <si>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</si>
  <si>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</si>
  <si>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</si>
  <si>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</si>
  <si>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</si>
  <si>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</si>
  <si>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</si>
  <si>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</si>
  <si>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</si>
  <si>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</si>
  <si>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</si>
  <si>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</si>
  <si>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</si>
  <si>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</si>
  <si>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</si>
  <si>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</si>
  <si>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</si>
  <si>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</si>
  <si>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</si>
  <si>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</si>
  <si>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</si>
  <si>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</si>
  <si>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</si>
  <si>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</si>
  <si>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</si>
  <si>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</si>
  <si>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</si>
  <si>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</si>
  <si>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</si>
  <si>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</si>
  <si>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</si>
  <si>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</si>
  <si>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</si>
  <si>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</si>
  <si>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</si>
  <si>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</si>
  <si>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</si>
  <si>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</si>
  <si>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</si>
  <si>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</si>
  <si>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</si>
  <si>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</si>
  <si>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</si>
  <si>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</si>
  <si>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</si>
  <si>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</si>
  <si>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</si>
  <si>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</si>
  <si>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</si>
  <si>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</si>
  <si>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</si>
  <si>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</si>
  <si>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</si>
  <si>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</si>
  <si>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</si>
  <si>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</si>
  <si>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</si>
  <si>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</si>
  <si>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</si>
  <si>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</si>
  <si>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</si>
  <si>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</si>
  <si>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</si>
  <si>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</si>
  <si>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</si>
  <si>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</si>
  <si>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</si>
  <si>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</si>
  <si>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</si>
  <si>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</si>
  <si>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</si>
  <si>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</si>
  <si>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</si>
  <si>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</si>
  <si>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</si>
  <si>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</si>
  <si>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</si>
  <si>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</si>
  <si>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</si>
  <si>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</si>
  <si>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</si>
  <si>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</si>
  <si>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</si>
  <si>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</si>
  <si>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</si>
  <si>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</si>
  <si>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</si>
  <si>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</si>
  <si>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</si>
  <si>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</si>
  <si>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</si>
  <si>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</si>
  <si>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</si>
  <si>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</si>
  <si>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</si>
  <si>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</si>
  <si>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</si>
  <si>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</si>
  <si>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</si>
  <si>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</si>
  <si>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</si>
  <si>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</si>
  <si>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</si>
  <si>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</si>
  <si>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</si>
  <si>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</si>
  <si>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</si>
  <si>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</si>
  <si>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</si>
  <si>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</si>
  <si>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</si>
  <si>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</si>
  <si>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</si>
  <si>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</si>
  <si>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</si>
  <si>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</si>
  <si>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</si>
  <si>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</si>
  <si>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</si>
  <si>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</si>
  <si>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</si>
  <si>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</si>
  <si>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</si>
  <si>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</si>
  <si>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</si>
  <si>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</si>
  <si>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</si>
  <si>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</si>
  <si>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</si>
  <si>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30" type="noConversion"/>
  </si>
  <si>
    <t>HUB</t>
    <phoneticPr fontId="30" type="noConversion"/>
  </si>
  <si>
    <t>HUB檢查</t>
    <phoneticPr fontId="30" type="noConversion"/>
  </si>
  <si>
    <t>機上盒</t>
    <phoneticPr fontId="30" type="noConversion"/>
  </si>
  <si>
    <t>HUB</t>
    <phoneticPr fontId="30" type="noConversion"/>
  </si>
  <si>
    <t>HUB完工</t>
    <phoneticPr fontId="30"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</si>
  <si>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</si>
  <si>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</si>
  <si>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</si>
  <si>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</si>
  <si>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</si>
  <si>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</si>
  <si>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</si>
  <si>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</si>
  <si>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</si>
  <si>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</si>
  <si>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</si>
  <si>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</si>
  <si>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</si>
  <si>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</si>
  <si>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</si>
  <si>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</si>
  <si>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</si>
  <si>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</si>
  <si>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</si>
  <si>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</si>
  <si>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</si>
  <si>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</si>
  <si>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</si>
  <si>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</si>
  <si>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</si>
  <si>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</si>
  <si>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</si>
  <si>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</si>
  <si>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</si>
  <si>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</si>
  <si>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</si>
  <si>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</si>
  <si>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</si>
  <si>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</si>
  <si>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</si>
  <si>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</si>
  <si>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</si>
  <si>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</si>
  <si>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</si>
  <si>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</si>
  <si>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</si>
  <si>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</si>
  <si>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</si>
  <si>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14:02:09</t>
  </si>
  <si>
    <t>2025-05-12 13:00:00</t>
  </si>
  <si>
    <t>2025-05-12 14:03:20</t>
  </si>
  <si>
    <t>2025-05-12 13:40:00</t>
  </si>
  <si>
    <r>
      <rPr>
        <b/>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</si>
  <si>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r>
      <rPr>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</si>
  <si>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t>2025-05-12 14:29:39</t>
  </si>
  <si>
    <t>2025-05-12 14:00:00</t>
  </si>
  <si>
    <t>2025-05-12 14:30:00</t>
  </si>
  <si>
    <t>2025-05-12 15:04:49</t>
  </si>
  <si>
    <t>2025-05-12 15:06:34</t>
  </si>
  <si>
    <t>2025-05-12 16:18:38</t>
  </si>
  <si>
    <t>2025-05-12 16:00:00</t>
  </si>
  <si>
    <t>2025-05-12 17:00:08</t>
  </si>
  <si>
    <t>2025-05-12 16:30:00</t>
  </si>
  <si>
    <t>PMQ2+EDC</t>
    <phoneticPr fontId="30" type="noConversion"/>
  </si>
  <si>
    <t>2025/07/01</t>
    <phoneticPr fontId="30" type="noConversion"/>
  </si>
  <si>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</si>
  <si>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</si>
  <si>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</si>
  <si>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</si>
  <si>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</si>
  <si>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</si>
  <si>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</si>
  <si>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</si>
  <si>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</si>
  <si>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PMQ2+EDC</t>
    <phoneticPr fontId="30" type="noConversion"/>
  </si>
  <si>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</si>
  <si>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</si>
  <si>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</si>
  <si>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</si>
  <si>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</si>
  <si>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</si>
  <si>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</si>
  <si>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</si>
  <si>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</si>
  <si>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</si>
  <si>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</si>
  <si>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</si>
  <si>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</si>
  <si>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</si>
  <si>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</si>
  <si>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</si>
  <si>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</si>
  <si>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</si>
  <si>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</si>
  <si>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</si>
  <si>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</si>
  <si>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</si>
  <si>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</si>
  <si>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</si>
  <si>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</si>
  <si>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</si>
  <si>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</si>
  <si>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</si>
  <si>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</si>
  <si>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</si>
  <si>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</si>
  <si>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</si>
  <si>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</si>
  <si>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</si>
  <si>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</si>
  <si>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</si>
  <si>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</si>
  <si>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</si>
  <si>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</si>
  <si>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</si>
  <si>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</si>
  <si>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</si>
  <si>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</si>
  <si>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</si>
  <si>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</si>
  <si>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</si>
  <si>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</si>
  <si>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</si>
  <si>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</si>
  <si>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</si>
  <si>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</si>
  <si>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</si>
  <si>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</si>
  <si>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</si>
  <si>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</si>
  <si>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</si>
  <si>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</si>
  <si>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</si>
  <si>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</si>
  <si>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</si>
  <si>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</si>
  <si>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</si>
  <si>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</si>
  <si>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</si>
  <si>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</si>
  <si>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13:53:27</t>
  </si>
  <si>
    <t>2025-05-15 13:15:00</t>
  </si>
  <si>
    <t>2025-05-15 14:34:12</t>
  </si>
  <si>
    <t>2025-05-15 14:10:00</t>
  </si>
  <si>
    <t>2025-05-15 15:04:53</t>
  </si>
  <si>
    <t>2025-05-15 14:39:00</t>
  </si>
  <si>
    <t>發票機
維修更換</t>
    <phoneticPr fontId="30" type="noConversion"/>
  </si>
  <si>
    <t>數量修正</t>
    <phoneticPr fontId="30" type="noConversion"/>
  </si>
  <si>
    <t>2025-05-16 10:04:00</t>
  </si>
  <si>
    <t>2025-05-16 09:30:00</t>
  </si>
  <si>
    <t>三重高中店</t>
    <phoneticPr fontId="30" type="noConversion"/>
  </si>
  <si>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</si>
  <si>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</si>
  <si>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</si>
  <si>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</si>
  <si>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</si>
  <si>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</si>
  <si>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</si>
  <si>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2025-05-19 13:27:39</t>
  </si>
  <si>
    <t>2025-05-19 13:00:00</t>
  </si>
  <si>
    <t>2025-05-19 13:20:00</t>
  </si>
  <si>
    <t>STAR(補單）</t>
  </si>
  <si>
    <t>2025-05-19 13:54:25</t>
  </si>
  <si>
    <t>2025-05-19 15:55:39</t>
  </si>
  <si>
    <t>2025-05-19 15:10:00</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</si>
  <si>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</si>
  <si>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</si>
  <si>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</si>
  <si>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</si>
  <si>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</si>
  <si>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2025-05-21 13:41:00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</si>
  <si>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</si>
  <si>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</si>
  <si>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</si>
  <si>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</si>
  <si>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</si>
  <si>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</si>
  <si>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</si>
  <si>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</si>
  <si>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</si>
  <si>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</si>
  <si>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</si>
  <si>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</si>
  <si>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</si>
  <si>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</si>
  <si>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2025-05-20 14:00:00</t>
  </si>
  <si>
    <t>2025-05-21 14:31:00</t>
  </si>
  <si>
    <t>更換mmk螢幕</t>
  </si>
  <si>
    <t>2025-05-20 12:23:53</t>
  </si>
  <si>
    <t>2025-05-20 11:40:00</t>
  </si>
  <si>
    <t>三重高中店</t>
  </si>
  <si>
    <t>2025-05-20 15:03:01</t>
  </si>
  <si>
    <t>閉店撤機完成</t>
  </si>
  <si>
    <t>2025-05-20 16:24:31</t>
  </si>
  <si>
    <t>2025-05-20 15:15:00</t>
  </si>
  <si>
    <t>2025-05-21 11:43:27</t>
  </si>
  <si>
    <t>2025-05-21 10:50:00</t>
  </si>
  <si>
    <t>STAR</t>
  </si>
  <si>
    <t>2025-05-21 12:15:14</t>
  </si>
  <si>
    <t>2025-05-21 11:00:00</t>
  </si>
  <si>
    <t>2025-05-21 14:26:49</t>
  </si>
  <si>
    <t>2025-05-21 13:00:00</t>
  </si>
  <si>
    <t>2025-05-21 14:30:00</t>
  </si>
  <si>
    <t>萊爾富通知線路已更新，到店測試仍無法連線，網路線線對錯誤</t>
  </si>
  <si>
    <t>2025-05-21 14:28:52</t>
  </si>
  <si>
    <t>2025-05-21 14:00:00</t>
  </si>
  <si>
    <t>2025-05-21 14:54:55</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</si>
  <si>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</si>
  <si>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</si>
  <si>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</si>
  <si>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</si>
  <si>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</si>
  <si>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</si>
  <si>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</si>
  <si>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</si>
  <si>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</si>
  <si>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</si>
  <si>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</si>
  <si>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</si>
  <si>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</si>
  <si>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</si>
  <si>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</si>
  <si>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</si>
  <si>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T</t>
    <phoneticPr fontId="30" type="noConversion"/>
  </si>
  <si>
    <t>永福</t>
    <phoneticPr fontId="30" type="noConversion"/>
  </si>
  <si>
    <t>北二</t>
    <phoneticPr fontId="30" type="noConversion"/>
  </si>
  <si>
    <t>2025-05-23 11:53:36</t>
  </si>
  <si>
    <t>2025-05-23 10:30:00</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</si>
  <si>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</si>
  <si>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</si>
  <si>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</si>
  <si>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</si>
  <si>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</si>
  <si>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</si>
  <si>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</si>
  <si>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</si>
  <si>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</si>
  <si>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</si>
  <si>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</si>
  <si>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</si>
  <si>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</si>
  <si>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</si>
  <si>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</si>
  <si>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</si>
  <si>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</si>
  <si>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</si>
  <si>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</si>
  <si>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</si>
  <si>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</si>
  <si>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</si>
  <si>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</si>
  <si>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</si>
  <si>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2025-05-26 14:29:43</t>
  </si>
  <si>
    <t>2025-05-26 13:40:00</t>
  </si>
  <si>
    <t>2025-05-26 15:52:06</t>
  </si>
  <si>
    <t>2025-05-26 15:00:00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</si>
</sst>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80">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38" fillId="0" borderId="2" xfId="3" applyFont="1" applyBorder="1"/>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7" fillId="0" borderId="0" xfId="0" applyNumberFormat="1" applyFont="1" applyAlignment="1">
      <alignment horizontal="center" vertical="center"/>
    </xf>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8"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0" fontId="29" fillId="8" borderId="18" xfId="0" applyFont="1" applyFill="1" applyBorder="1" applyAlignment="1" applyProtection="1">
      <alignment horizontal="right" vertical="center"/>
      <protection hidden="1"/>
    </xf>
    <xf numFmtId="0" fontId="9" fillId="0" borderId="0" xfId="0" applyFont="1" applyAlignment="1" applyProtection="1">
      <alignment vertical="center"/>
      <protection hidden="1"/>
    </xf>
    <xf numFmtId="0" fontId="8"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14" fontId="69" fillId="5" borderId="11" xfId="0" applyNumberFormat="1" applyFont="1" applyFill="1" applyBorder="1" applyAlignment="1" applyProtection="1">
      <alignment horizontal="center" vertical="center"/>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Alignment="1" applyProtection="1">
      <alignment horizontal="center" vertical="center"/>
      <protection hidden="1"/>
    </xf>
    <xf numFmtId="0" fontId="6" fillId="0" borderId="2" xfId="20" applyFont="1" applyAlignment="1">
      <alignment horizontal="center" vertical="center"/>
    </xf>
    <xf numFmtId="0" fontId="45" fillId="10" borderId="1" xfId="0" applyFont="1" applyFill="1" applyBorder="1" applyAlignment="1">
      <alignment horizontal="center" vertical="center"/>
    </xf>
    <xf numFmtId="14" fontId="78"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81"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2" fillId="8" borderId="2" xfId="0" applyFont="1" applyFill="1" applyBorder="1" applyAlignment="1" applyProtection="1">
      <alignment horizontal="center" vertical="center"/>
      <protection hidden="1"/>
    </xf>
    <xf numFmtId="0" fontId="5"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79" fillId="0" borderId="0" xfId="0" applyFont="1" applyAlignment="1">
      <alignment horizontal="center" vertical="center"/>
    </xf>
    <xf numFmtId="0" fontId="47" fillId="9" borderId="32" xfId="0" applyFont="1" applyFill="1" applyBorder="1" applyAlignment="1">
      <alignment horizontal="center" vertical="center" wrapText="1"/>
    </xf>
    <xf numFmtId="0" fontId="4"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3" fillId="0" borderId="2" xfId="15" applyFont="1">
      <alignment vertical="center"/>
    </xf>
    <xf numFmtId="0" fontId="3" fillId="0" borderId="6" xfId="19" applyFont="1" applyBorder="1" applyAlignment="1">
      <alignment horizontal="center" vertical="center"/>
    </xf>
    <xf numFmtId="0" fontId="3" fillId="0" borderId="6" xfId="19" applyFont="1" applyBorder="1" applyAlignment="1">
      <alignment horizontal="left" vertical="center"/>
    </xf>
    <xf numFmtId="0" fontId="3" fillId="0" borderId="6" xfId="19" applyFont="1" applyBorder="1">
      <alignment vertical="center"/>
    </xf>
    <xf numFmtId="0" fontId="3" fillId="0" borderId="6" xfId="15" applyFont="1" applyBorder="1">
      <alignment vertical="center"/>
    </xf>
    <xf numFmtId="0" fontId="3" fillId="0" borderId="6" xfId="15" applyFont="1" applyBorder="1" applyAlignment="1">
      <alignment horizontal="center" vertical="center"/>
    </xf>
    <xf numFmtId="0" fontId="3" fillId="0" borderId="6" xfId="19" quotePrefix="1" applyFont="1" applyBorder="1" applyAlignment="1">
      <alignment horizontal="left" vertical="center"/>
    </xf>
    <xf numFmtId="0" fontId="3" fillId="0" borderId="2" xfId="19" applyFont="1" applyAlignment="1">
      <alignment horizontal="center" vertical="center"/>
    </xf>
    <xf numFmtId="0" fontId="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Alignment="1" applyProtection="1">
      <alignment horizontal="center"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73" fillId="10" borderId="1" xfId="0" applyFont="1" applyFill="1" applyBorder="1" applyAlignment="1">
      <alignment horizontal="center" vertical="center"/>
    </xf>
    <xf numFmtId="0" fontId="88"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0"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3" fillId="8" borderId="2" xfId="0" applyFont="1" applyFill="1" applyBorder="1" applyAlignment="1" applyProtection="1">
      <alignment horizontal="center" vertical="center"/>
      <protection hidden="1"/>
    </xf>
    <xf numFmtId="0" fontId="84" fillId="5" borderId="2" xfId="0" applyFont="1" applyFill="1" applyBorder="1" applyAlignment="1">
      <alignment horizontal="center" vertical="center"/>
    </xf>
    <xf numFmtId="0" fontId="91"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2" fillId="0" borderId="2" xfId="24" applyFont="1" applyAlignment="1">
      <alignment horizontal="center" vertical="center"/>
    </xf>
    <xf numFmtId="14" fontId="2"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6" fillId="5" borderId="8" xfId="0" applyFont="1" applyFill="1" applyBorder="1" applyAlignment="1" applyProtection="1">
      <alignment horizontal="center" vertical="center"/>
      <protection hidden="1"/>
    </xf>
    <xf numFmtId="9" fontId="86"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29" fillId="0" borderId="2" xfId="0" applyFont="1" applyFill="1" applyBorder="1" applyAlignment="1" applyProtection="1">
      <alignment horizontal="center" vertical="center"/>
      <protection hidden="1"/>
    </xf>
    <xf numFmtId="0" fontId="29" fillId="0" borderId="9" xfId="0" applyFont="1" applyFill="1" applyBorder="1" applyAlignment="1" applyProtection="1">
      <alignment horizontal="center" vertical="center"/>
      <protection hidden="1"/>
    </xf>
    <xf numFmtId="14" fontId="71" fillId="5" borderId="16" xfId="0" applyNumberFormat="1"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50" fillId="5" borderId="18" xfId="0" applyFont="1" applyFill="1" applyBorder="1" applyAlignment="1">
      <alignment horizontal="center" vertical="center"/>
    </xf>
    <xf numFmtId="0" fontId="50" fillId="5" borderId="11" xfId="0" applyFont="1" applyFill="1" applyBorder="1" applyAlignment="1">
      <alignment horizontal="center" vertical="center"/>
    </xf>
    <xf numFmtId="0" fontId="50" fillId="5" borderId="12" xfId="0" applyFont="1" applyFill="1" applyBorder="1" applyAlignment="1">
      <alignment horizontal="center" vertical="center"/>
    </xf>
    <xf numFmtId="0" fontId="29" fillId="5" borderId="21" xfId="0" applyFont="1" applyFill="1" applyBorder="1" applyAlignment="1" applyProtection="1">
      <protection hidden="1"/>
    </xf>
    <xf numFmtId="0" fontId="41" fillId="5" borderId="2" xfId="3" applyFont="1" applyFill="1" applyAlignment="1">
      <alignment horizontal="center" vertical="center"/>
    </xf>
    <xf numFmtId="0" fontId="17" fillId="25" borderId="2" xfId="0" applyFont="1" applyFill="1" applyBorder="1" applyAlignment="1">
      <alignment horizontal="center" vertical="center"/>
    </xf>
    <xf numFmtId="0" fontId="74" fillId="5" borderId="2" xfId="3" applyFont="1" applyFill="1" applyBorder="1" applyAlignment="1">
      <alignment horizontal="center" vertical="center"/>
    </xf>
    <xf numFmtId="0" fontId="38" fillId="5" borderId="2" xfId="3" applyFont="1" applyFill="1" applyAlignment="1">
      <alignment horizontal="center"/>
    </xf>
    <xf numFmtId="0" fontId="38" fillId="5" borderId="2" xfId="3" applyFont="1" applyFill="1" applyBorder="1" applyAlignment="1">
      <alignment horizontal="center"/>
    </xf>
    <xf numFmtId="0" fontId="15" fillId="0" borderId="18" xfId="0" applyFont="1" applyFill="1" applyBorder="1" applyAlignment="1" applyProtection="1">
      <alignment horizontal="center" vertical="center"/>
      <protection hidden="1"/>
    </xf>
    <xf numFmtId="0" fontId="31" fillId="26" borderId="18" xfId="0" applyFont="1" applyFill="1" applyBorder="1" applyAlignment="1" applyProtection="1">
      <alignment horizontal="center" vertical="center" wrapText="1"/>
      <protection hidden="1"/>
    </xf>
    <xf numFmtId="0" fontId="31" fillId="26" borderId="6" xfId="0" applyFont="1" applyFill="1" applyBorder="1" applyAlignment="1" applyProtection="1">
      <alignment horizontal="center" vertical="center" wrapText="1"/>
      <protection hidden="1"/>
    </xf>
    <xf numFmtId="0" fontId="31" fillId="26" borderId="10" xfId="0" applyFont="1" applyFill="1" applyBorder="1" applyAlignment="1" applyProtection="1">
      <alignment horizontal="center" vertical="center" wrapText="1"/>
      <protection hidden="1"/>
    </xf>
    <xf numFmtId="0" fontId="8" fillId="0" borderId="2" xfId="0" applyFont="1" applyFill="1" applyBorder="1" applyAlignment="1" applyProtection="1">
      <alignment horizontal="center" vertical="center"/>
      <protection hidden="1"/>
    </xf>
    <xf numFmtId="0" fontId="50" fillId="8" borderId="18" xfId="0" applyFont="1" applyFill="1" applyBorder="1" applyAlignment="1" applyProtection="1">
      <alignment horizontal="center" vertical="center"/>
      <protection hidden="1"/>
    </xf>
    <xf numFmtId="0" fontId="42" fillId="8" borderId="19" xfId="0" applyNumberFormat="1" applyFont="1" applyFill="1" applyBorder="1" applyAlignment="1" applyProtection="1">
      <alignment horizontal="center" vertical="center"/>
      <protection hidden="1"/>
    </xf>
    <xf numFmtId="14" fontId="80" fillId="8" borderId="19" xfId="0" applyNumberFormat="1" applyFont="1" applyFill="1" applyBorder="1" applyAlignment="1" applyProtection="1">
      <alignment horizontal="center" vertical="center"/>
      <protection hidden="1"/>
    </xf>
    <xf numFmtId="0" fontId="42" fillId="8" borderId="9" xfId="0" applyNumberFormat="1" applyFont="1" applyFill="1" applyBorder="1" applyAlignment="1" applyProtection="1">
      <alignment horizontal="center" vertical="center"/>
      <protection hidden="1"/>
    </xf>
    <xf numFmtId="0" fontId="50" fillId="8" borderId="18" xfId="0" applyFont="1" applyFill="1" applyBorder="1" applyAlignment="1">
      <alignment horizontal="center" vertical="center"/>
    </xf>
    <xf numFmtId="0" fontId="50" fillId="8" borderId="11" xfId="0" applyFont="1" applyFill="1" applyBorder="1" applyAlignment="1" applyProtection="1">
      <alignment horizontal="center" vertical="center"/>
      <protection hidden="1"/>
    </xf>
    <xf numFmtId="0" fontId="42" fillId="8" borderId="20" xfId="0" applyNumberFormat="1" applyFont="1" applyFill="1" applyBorder="1" applyAlignment="1" applyProtection="1">
      <alignment horizontal="center" vertical="center"/>
      <protection hidden="1"/>
    </xf>
    <xf numFmtId="14" fontId="80" fillId="8" borderId="20" xfId="0" applyNumberFormat="1" applyFont="1" applyFill="1" applyBorder="1" applyAlignment="1" applyProtection="1">
      <alignment horizontal="center" vertical="center"/>
      <protection hidden="1"/>
    </xf>
    <xf numFmtId="0" fontId="50" fillId="8" borderId="11" xfId="0" applyFont="1" applyFill="1" applyBorder="1" applyAlignment="1">
      <alignment horizontal="center" vertical="center"/>
    </xf>
    <xf numFmtId="14" fontId="80" fillId="8" borderId="2" xfId="0" applyNumberFormat="1" applyFont="1" applyFill="1" applyBorder="1" applyAlignment="1" applyProtection="1">
      <alignment horizontal="center" vertical="center"/>
      <protection hidden="1"/>
    </xf>
    <xf numFmtId="0" fontId="42" fillId="8" borderId="2" xfId="0" applyNumberFormat="1" applyFont="1" applyFill="1" applyBorder="1" applyAlignment="1" applyProtection="1">
      <alignment horizontal="center" vertical="center"/>
      <protection hidden="1"/>
    </xf>
    <xf numFmtId="0" fontId="50" fillId="8" borderId="12" xfId="0" applyFont="1" applyFill="1" applyBorder="1" applyAlignment="1" applyProtection="1">
      <alignment horizontal="center" vertical="center"/>
      <protection hidden="1"/>
    </xf>
    <xf numFmtId="0" fontId="42" fillId="8" borderId="17" xfId="0" applyNumberFormat="1" applyFont="1" applyFill="1" applyBorder="1" applyAlignment="1" applyProtection="1">
      <alignment horizontal="center" vertical="center"/>
      <protection hidden="1"/>
    </xf>
    <xf numFmtId="14" fontId="80" fillId="8" borderId="17" xfId="0" applyNumberFormat="1" applyFont="1" applyFill="1" applyBorder="1" applyAlignment="1" applyProtection="1">
      <alignment horizontal="center" vertical="center"/>
      <protection hidden="1"/>
    </xf>
    <xf numFmtId="0" fontId="42" fillId="8" borderId="8" xfId="0" applyNumberFormat="1" applyFont="1" applyFill="1" applyBorder="1" applyAlignment="1" applyProtection="1">
      <alignment horizontal="center" vertical="center"/>
      <protection hidden="1"/>
    </xf>
    <xf numFmtId="0" fontId="50" fillId="8" borderId="12" xfId="0" applyFont="1" applyFill="1" applyBorder="1" applyAlignment="1">
      <alignment horizontal="center" vertical="center"/>
    </xf>
    <xf numFmtId="0" fontId="50" fillId="5" borderId="25" xfId="0" applyFont="1" applyFill="1" applyBorder="1" applyAlignment="1">
      <alignment horizontal="center" vertical="center"/>
    </xf>
    <xf numFmtId="0" fontId="50" fillId="5" borderId="9" xfId="0" applyFont="1" applyFill="1" applyBorder="1" applyAlignment="1">
      <alignment horizontal="center" vertical="center"/>
    </xf>
    <xf numFmtId="0" fontId="50" fillId="5" borderId="16" xfId="0" applyFont="1" applyFill="1" applyBorder="1" applyAlignment="1">
      <alignment horizontal="center" vertical="center"/>
    </xf>
    <xf numFmtId="0" fontId="17" fillId="5" borderId="20" xfId="0" applyFont="1" applyFill="1" applyBorder="1" applyAlignment="1" applyProtection="1">
      <alignment horizontal="center" vertical="center"/>
      <protection hidden="1"/>
    </xf>
    <xf numFmtId="0" fontId="45" fillId="0" borderId="1" xfId="0" applyFont="1" applyBorder="1" applyAlignment="1">
      <alignment horizontal="left" vertical="center"/>
    </xf>
    <xf numFmtId="0" fontId="42" fillId="8" borderId="9" xfId="0" applyNumberFormat="1" applyFont="1" applyFill="1" applyBorder="1" applyAlignment="1" applyProtection="1">
      <alignment horizontal="center" vertical="center" wrapText="1"/>
      <protection hidden="1"/>
    </xf>
    <xf numFmtId="0" fontId="0" fillId="0" borderId="6" xfId="0" applyFont="1" applyBorder="1" applyAlignment="1" applyProtection="1">
      <alignment horizontal="center" vertical="center" wrapText="1"/>
      <protection hidden="1"/>
    </xf>
    <xf numFmtId="0" fontId="89" fillId="0" borderId="36" xfId="0" applyFont="1" applyBorder="1" applyAlignment="1">
      <alignment horizontal="left" vertical="center" wrapText="1"/>
    </xf>
    <xf numFmtId="0" fontId="89" fillId="0" borderId="34" xfId="0" applyFont="1" applyBorder="1" applyAlignment="1">
      <alignment horizontal="left" vertical="center" wrapText="1"/>
    </xf>
    <xf numFmtId="0" fontId="89"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2"/>
      </font>
      <fill>
        <patternFill>
          <bgColor rgb="FFFF0000"/>
        </patternFill>
      </fill>
    </dxf>
    <dxf>
      <fill>
        <patternFill>
          <bgColor rgb="FF92D050"/>
        </patternFill>
      </fill>
    </dxf>
    <dxf>
      <font>
        <b/>
        <i val="0"/>
        <color rgb="FFFF0000"/>
      </font>
    </dxf>
    <dxf>
      <fill>
        <patternFill>
          <bgColor theme="8" tint="0.39994506668294322"/>
        </patternFill>
      </fill>
    </dxf>
    <dxf>
      <font>
        <b/>
        <i val="0"/>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bgColor theme="8" tint="0.39994506668294322"/>
        </patternFill>
      </fill>
    </dxf>
    <dxf>
      <font>
        <b/>
        <i val="0"/>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theme="8" tint="0.39994506668294322"/>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ill>
        <patternFill>
          <bgColor theme="8" tint="0.59996337778862885"/>
        </patternFill>
      </fill>
    </dxf>
    <dxf>
      <font>
        <b/>
        <i val="0"/>
        <color rgb="FFFF0000"/>
      </font>
    </dxf>
    <dxf>
      <fill>
        <patternFill>
          <bgColor rgb="FF92D050"/>
        </patternFill>
      </fill>
    </dxf>
    <dxf>
      <font>
        <b/>
        <i val="0"/>
      </font>
      <fill>
        <patternFill>
          <bgColor theme="8" tint="0.39994506668294322"/>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15239</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15239</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15239</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15239</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15239</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15241</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15241</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15239</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15241</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15239</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15241</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53340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15239</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15241</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15241</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152400</xdr:rowOff>
        </xdr:from>
        <xdr:to>
          <xdr:col>7</xdr:col>
          <xdr:colOff>53340</xdr:colOff>
          <xdr:row>124</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175260</xdr:rowOff>
        </xdr:from>
        <xdr:to>
          <xdr:col>7</xdr:col>
          <xdr:colOff>53340</xdr:colOff>
          <xdr:row>225</xdr:row>
          <xdr:rowOff>53340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15241</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15239</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15241</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15239</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15239</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15241</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15239</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53340</xdr:colOff>
          <xdr:row>221</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15239</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15239</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15239</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15241</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15241</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167640</xdr:rowOff>
        </xdr:from>
        <xdr:to>
          <xdr:col>7</xdr:col>
          <xdr:colOff>53340</xdr:colOff>
          <xdr:row>222</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15239</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15239</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15241</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15241</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167640</xdr:rowOff>
        </xdr:from>
        <xdr:to>
          <xdr:col>7</xdr:col>
          <xdr:colOff>53340</xdr:colOff>
          <xdr:row>166</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15241</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167640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167640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tabSelected="1" zoomScale="90" zoomScaleNormal="90" workbookViewId="0">
      <pane ySplit="14" topLeftCell="A15" activePane="bottomLeft" state="frozen"/>
      <selection activeCell="Z18" sqref="Z18"/>
      <selection pane="bottomLeft" activeCell="I15" sqref="I15:I1048576"/>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20" width="11.19921875" style="3" customWidth="1"/>
    <col min="21" max="22" width="11.19921875" style="3"/>
    <col min="23" max="23" width="11.19921875" style="99" customWidth="1"/>
    <col min="24" max="25" width="13.69921875" style="3" bestFit="1" customWidth="1"/>
    <col min="26" max="16384" width="11.19921875" style="3"/>
  </cols>
  <sheetData>
    <row r="1" spans="1:27" ht="12.6" customHeight="1">
      <c r="A1" s="215">
        <v>45748</v>
      </c>
      <c r="B1" s="136" t="s">
        <v>7355</v>
      </c>
      <c r="C1" s="212" t="s">
        <v>5026</v>
      </c>
      <c r="D1" s="212" t="s">
        <v>4426</v>
      </c>
      <c r="E1" s="260" t="s">
        <v>5018</v>
      </c>
      <c r="F1" s="255" t="s">
        <v>7515</v>
      </c>
      <c r="G1" s="254" t="str" cm="1">
        <f t="array" ref="G1">IFERROR(HYPERLINK("#" &amp; ADDRESS(MIN(IF(ISNUMBER(SEARCH(F1, A15:AA300)), ROW(A15:AA300), 10000000000)), MIN(IF(ISNUMBER(SEARCH(F1, A15:AA300)), COLUMN(A15:AA300), 10000000000))), "搜索"), "未找到")</f>
        <v>搜索</v>
      </c>
      <c r="H1" s="139"/>
      <c r="I1" s="140"/>
      <c r="J1" s="137"/>
      <c r="K1" s="137"/>
      <c r="L1" s="141"/>
      <c r="M1" s="138"/>
      <c r="N1" s="142"/>
      <c r="O1" s="141"/>
      <c r="P1" s="137"/>
      <c r="Q1" s="137"/>
      <c r="R1" s="137"/>
      <c r="S1" s="137"/>
      <c r="W1" s="141"/>
    </row>
    <row r="2" spans="1:27"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W2" s="5"/>
    </row>
    <row r="3" spans="1:27" ht="18.600000000000001" customHeight="1">
      <c r="A3" s="149" t="s">
        <v>5025</v>
      </c>
      <c r="B3" s="218">
        <f t="shared" ref="B3:B9" si="0">SUM(C3:O3)</f>
        <v>212</v>
      </c>
      <c r="C3" s="222">
        <f t="shared" ref="C3:O3" si="1">COUNTIF($D$15:$D$303,C2)</f>
        <v>1</v>
      </c>
      <c r="D3" s="223">
        <f t="shared" si="1"/>
        <v>3</v>
      </c>
      <c r="E3" s="223">
        <f t="shared" si="1"/>
        <v>17</v>
      </c>
      <c r="F3" s="223">
        <f t="shared" si="1"/>
        <v>2</v>
      </c>
      <c r="G3" s="223">
        <f t="shared" si="1"/>
        <v>13</v>
      </c>
      <c r="H3" s="223">
        <f t="shared" si="1"/>
        <v>8</v>
      </c>
      <c r="I3" s="223">
        <f t="shared" si="1"/>
        <v>12</v>
      </c>
      <c r="J3" s="223">
        <f t="shared" si="1"/>
        <v>0</v>
      </c>
      <c r="K3" s="223">
        <f t="shared" si="1"/>
        <v>16</v>
      </c>
      <c r="L3" s="223">
        <f t="shared" si="1"/>
        <v>72</v>
      </c>
      <c r="M3" s="223">
        <f t="shared" si="1"/>
        <v>30</v>
      </c>
      <c r="N3" s="223">
        <f t="shared" si="1"/>
        <v>3</v>
      </c>
      <c r="O3" s="224">
        <f t="shared" si="1"/>
        <v>35</v>
      </c>
      <c r="P3" s="137"/>
      <c r="W3" s="351"/>
    </row>
    <row r="4" spans="1:27" ht="18.600000000000001" customHeight="1">
      <c r="A4" s="217" t="s">
        <v>4422</v>
      </c>
      <c r="B4" s="218">
        <f>SUM(C4:O4)-COUNTIF(O:O,"已維修完工")</f>
        <v>161</v>
      </c>
      <c r="C4" s="251">
        <f t="shared" ref="C4:O4" si="2">COUNTIFS($D$15:$D$303,C2,$Z$15:$Z$303,"STAR")</f>
        <v>1</v>
      </c>
      <c r="D4" s="252">
        <f t="shared" si="2"/>
        <v>1</v>
      </c>
      <c r="E4" s="252">
        <f t="shared" si="2"/>
        <v>11</v>
      </c>
      <c r="F4" s="252">
        <f t="shared" si="2"/>
        <v>1</v>
      </c>
      <c r="G4" s="252">
        <f t="shared" si="2"/>
        <v>8</v>
      </c>
      <c r="H4" s="252">
        <f t="shared" si="2"/>
        <v>5</v>
      </c>
      <c r="I4" s="252">
        <f t="shared" si="2"/>
        <v>11</v>
      </c>
      <c r="J4" s="252">
        <f t="shared" si="2"/>
        <v>0</v>
      </c>
      <c r="K4" s="252">
        <f t="shared" si="2"/>
        <v>11</v>
      </c>
      <c r="L4" s="252">
        <f t="shared" si="2"/>
        <v>63</v>
      </c>
      <c r="M4" s="252">
        <f t="shared" si="2"/>
        <v>21</v>
      </c>
      <c r="N4" s="252">
        <f t="shared" si="2"/>
        <v>2</v>
      </c>
      <c r="O4" s="253">
        <f t="shared" si="2"/>
        <v>26</v>
      </c>
      <c r="P4" s="137"/>
      <c r="Q4" s="150"/>
      <c r="R4" s="150"/>
      <c r="S4" s="150"/>
      <c r="W4" s="351"/>
    </row>
    <row r="5" spans="1:27" s="5" customFormat="1" ht="18.600000000000001" hidden="1" customHeight="1">
      <c r="A5" s="257" t="s">
        <v>4128</v>
      </c>
      <c r="B5" s="153">
        <f t="shared" si="0"/>
        <v>0</v>
      </c>
      <c r="C5" s="156">
        <f t="shared" ref="C5:I5" si="3">COUNTIFS($D$15:$D$303,C2,$F$15:$F$303,"*撤店*")</f>
        <v>0</v>
      </c>
      <c r="D5" s="157">
        <f t="shared" si="3"/>
        <v>0</v>
      </c>
      <c r="E5" s="157">
        <f t="shared" si="3"/>
        <v>0</v>
      </c>
      <c r="F5" s="157">
        <f t="shared" si="3"/>
        <v>0</v>
      </c>
      <c r="G5" s="157">
        <f t="shared" si="3"/>
        <v>0</v>
      </c>
      <c r="H5" s="157">
        <f t="shared" si="3"/>
        <v>0</v>
      </c>
      <c r="I5" s="157">
        <f t="shared" si="3"/>
        <v>0</v>
      </c>
      <c r="J5" s="158"/>
      <c r="K5" s="221">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W5" s="141"/>
    </row>
    <row r="6" spans="1:27" s="5" customFormat="1" ht="18.600000000000001" hidden="1" customHeight="1">
      <c r="A6" s="258" t="s">
        <v>4129</v>
      </c>
      <c r="B6" s="155">
        <f t="shared" si="0"/>
        <v>2</v>
      </c>
      <c r="C6" s="248">
        <f t="shared" ref="C6:O6" si="4">COUNTIFS($D$15:$D$300,C2,$F$15:$F$300,"新開")</f>
        <v>0</v>
      </c>
      <c r="D6" s="249">
        <f t="shared" si="4"/>
        <v>0</v>
      </c>
      <c r="E6" s="249">
        <f t="shared" si="4"/>
        <v>0</v>
      </c>
      <c r="F6" s="249">
        <f t="shared" si="4"/>
        <v>0</v>
      </c>
      <c r="G6" s="249">
        <f t="shared" si="4"/>
        <v>0</v>
      </c>
      <c r="H6" s="249">
        <f t="shared" si="4"/>
        <v>0</v>
      </c>
      <c r="I6" s="249">
        <f t="shared" si="4"/>
        <v>0</v>
      </c>
      <c r="J6" s="249">
        <f t="shared" si="4"/>
        <v>0</v>
      </c>
      <c r="K6" s="249">
        <f t="shared" si="4"/>
        <v>1</v>
      </c>
      <c r="L6" s="249">
        <f t="shared" si="4"/>
        <v>1</v>
      </c>
      <c r="M6" s="249">
        <f t="shared" si="4"/>
        <v>0</v>
      </c>
      <c r="N6" s="249">
        <f t="shared" si="4"/>
        <v>0</v>
      </c>
      <c r="O6" s="250">
        <f t="shared" si="4"/>
        <v>0</v>
      </c>
      <c r="P6" s="141"/>
      <c r="Q6" s="141"/>
      <c r="R6" s="141"/>
      <c r="S6" s="141"/>
      <c r="W6" s="141"/>
    </row>
    <row r="7" spans="1:27" s="5" customFormat="1" ht="18.600000000000001" hidden="1" customHeight="1">
      <c r="A7" s="259" t="s">
        <v>4130</v>
      </c>
      <c r="B7" s="160">
        <f t="shared" si="0"/>
        <v>7</v>
      </c>
      <c r="C7" s="156">
        <f t="shared" ref="C7:I7" si="5">COUNTIFS($G$15:$G$303,"*萊到店*",$D$15:$D$303,C2)</f>
        <v>0</v>
      </c>
      <c r="D7" s="157">
        <f t="shared" si="5"/>
        <v>0</v>
      </c>
      <c r="E7" s="157">
        <f t="shared" si="5"/>
        <v>0</v>
      </c>
      <c r="F7" s="157">
        <f t="shared" si="5"/>
        <v>0</v>
      </c>
      <c r="G7" s="157">
        <f t="shared" si="5"/>
        <v>2</v>
      </c>
      <c r="H7" s="157">
        <f t="shared" si="5"/>
        <v>0</v>
      </c>
      <c r="I7" s="157">
        <f t="shared" si="5"/>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W7" s="141"/>
    </row>
    <row r="8" spans="1:27" ht="18.600000000000001" customHeight="1">
      <c r="A8" s="231" t="s">
        <v>5023</v>
      </c>
      <c r="B8" s="232">
        <f t="shared" si="0"/>
        <v>142</v>
      </c>
      <c r="C8" s="225">
        <f>COUNTIFS($D$15:$D$303,C2,$I$15:$I$303, "&gt;="&amp;A1, $I$15:$I$303, "&lt;"&amp;B1)</f>
        <v>1</v>
      </c>
      <c r="D8" s="226">
        <f>COUNTIFS($D$15:$D$303,D2,$I$15:$I$303, "&gt;="&amp;A1, $I$15:$I$303,"&lt;"&amp;B1)</f>
        <v>3</v>
      </c>
      <c r="E8" s="226">
        <f>COUNTIFS($D$15:$D$303,E2,$I$15:$I$303, "&gt;="&amp;A1, $I$15:$I$303,"&lt;"&amp;B1)</f>
        <v>11</v>
      </c>
      <c r="F8" s="226">
        <f>COUNTIFS($D$15:$D$303,F2,$I$15:$I$303, "&gt;="&amp;A1, $I$15:$I$303,"&lt;"&amp;B1)</f>
        <v>1</v>
      </c>
      <c r="G8" s="226">
        <f>COUNTIFS($D$15:$D$303,G2,$I$15:$I$303, "&gt;="&amp;A1, $I$15:$I$303,"&lt;"&amp;B1)</f>
        <v>8</v>
      </c>
      <c r="H8" s="226">
        <f>COUNTIFS($D$15:$D$303,H2,$I$15:$I$303, "&gt;="&amp;A1, $I$15:$I$303,"&lt;"&amp;B1)</f>
        <v>8</v>
      </c>
      <c r="I8" s="226">
        <f>COUNTIFS($D$15:$D$303,I2,$I$15:$I$303, "&gt;="&amp;A1, $I$15:$I$303,"&lt;"&amp;B1)</f>
        <v>5</v>
      </c>
      <c r="J8" s="226">
        <f>COUNTIFS($D$15:$D$303,J2,$I$15:$I$303, "&gt;="&amp;A1, $I$15:$I$303,"&lt;"&amp;B1)</f>
        <v>0</v>
      </c>
      <c r="K8" s="226">
        <f>COUNTIFS($D$15:$D$303,K2,$I$15:$I$303, "&gt;="&amp;A1, $I$15:$I$303,"&lt;"&amp;B1)</f>
        <v>7</v>
      </c>
      <c r="L8" s="226">
        <f>COUNTIFS($D$15:$D$303,L2,$I$15:$I$303, "&gt;="&amp;A1, $I$15:$I$303,"&lt;"&amp;B1)</f>
        <v>58</v>
      </c>
      <c r="M8" s="226">
        <f>COUNTIFS($D$15:$D$303,M2,$I$15:$I$303, "&gt;="&amp;A1, $I$15:$I$303,"&lt;"&amp;B1)</f>
        <v>22</v>
      </c>
      <c r="N8" s="226">
        <f>COUNTIFS($D$15:$D$303,N2,$I$15:$I$303, "&gt;="&amp;A1, $I$15:$I$303,"&lt;"&amp;B1)</f>
        <v>3</v>
      </c>
      <c r="O8" s="227">
        <f>COUNTIFS($D$15:$D$303,O2,$I$15:$I$303, "&gt;="&amp;A1, $I$15:$I$303,"&lt;"&amp;B1)</f>
        <v>15</v>
      </c>
      <c r="P8" s="137"/>
      <c r="Q8" s="137"/>
      <c r="R8" s="137"/>
      <c r="S8" s="137"/>
      <c r="W8" s="141"/>
    </row>
    <row r="9" spans="1:27" s="5" customFormat="1" ht="18.600000000000001" customHeight="1">
      <c r="A9" s="233" t="s">
        <v>4131</v>
      </c>
      <c r="B9" s="234">
        <f t="shared" si="0"/>
        <v>68</v>
      </c>
      <c r="C9" s="163">
        <f t="shared" ref="C9:O9" si="6">C3-C8-C6-C5</f>
        <v>0</v>
      </c>
      <c r="D9" s="164">
        <f t="shared" si="6"/>
        <v>0</v>
      </c>
      <c r="E9" s="164">
        <f t="shared" si="6"/>
        <v>6</v>
      </c>
      <c r="F9" s="164">
        <f t="shared" si="6"/>
        <v>1</v>
      </c>
      <c r="G9" s="164">
        <f t="shared" si="6"/>
        <v>5</v>
      </c>
      <c r="H9" s="164">
        <f t="shared" si="6"/>
        <v>0</v>
      </c>
      <c r="I9" s="164">
        <f t="shared" si="6"/>
        <v>7</v>
      </c>
      <c r="J9" s="164">
        <f t="shared" si="6"/>
        <v>0</v>
      </c>
      <c r="K9" s="164">
        <f t="shared" si="6"/>
        <v>8</v>
      </c>
      <c r="L9" s="164">
        <f t="shared" si="6"/>
        <v>13</v>
      </c>
      <c r="M9" s="164">
        <f t="shared" si="6"/>
        <v>8</v>
      </c>
      <c r="N9" s="164">
        <f t="shared" si="6"/>
        <v>0</v>
      </c>
      <c r="O9" s="264">
        <f t="shared" si="6"/>
        <v>20</v>
      </c>
      <c r="P9" s="141"/>
      <c r="Q9" s="141"/>
      <c r="R9" s="141"/>
      <c r="S9" s="141"/>
      <c r="W9" s="141"/>
    </row>
    <row r="10" spans="1:27" ht="18.600000000000001" customHeight="1">
      <c r="A10" s="161" t="s">
        <v>4423</v>
      </c>
      <c r="B10" s="162">
        <f t="shared" ref="B10:B11" si="7">SUM(C10:O10)</f>
        <v>80</v>
      </c>
      <c r="C10" s="225">
        <f t="shared" ref="C10:O10" si="8">COUNTIFS($D$15:$D$300,C2,$R$15:$R$300,$D$1)</f>
        <v>1</v>
      </c>
      <c r="D10" s="226">
        <f t="shared" si="8"/>
        <v>0</v>
      </c>
      <c r="E10" s="226">
        <f t="shared" si="8"/>
        <v>7</v>
      </c>
      <c r="F10" s="226">
        <f t="shared" si="8"/>
        <v>1</v>
      </c>
      <c r="G10" s="226">
        <f t="shared" si="8"/>
        <v>3</v>
      </c>
      <c r="H10" s="226">
        <f t="shared" si="8"/>
        <v>5</v>
      </c>
      <c r="I10" s="226">
        <f t="shared" si="8"/>
        <v>2</v>
      </c>
      <c r="J10" s="226">
        <f t="shared" si="8"/>
        <v>0</v>
      </c>
      <c r="K10" s="226">
        <f t="shared" si="8"/>
        <v>0</v>
      </c>
      <c r="L10" s="226">
        <f t="shared" si="8"/>
        <v>35</v>
      </c>
      <c r="M10" s="226">
        <f t="shared" si="8"/>
        <v>13</v>
      </c>
      <c r="N10" s="226">
        <f t="shared" si="8"/>
        <v>2</v>
      </c>
      <c r="O10" s="226">
        <f t="shared" si="8"/>
        <v>11</v>
      </c>
      <c r="P10" s="335"/>
      <c r="Q10" s="335"/>
      <c r="R10" s="334"/>
      <c r="S10" s="334"/>
      <c r="W10" s="141"/>
    </row>
    <row r="11" spans="1:27" s="5" customFormat="1" ht="18.600000000000001" customHeight="1">
      <c r="A11" s="165" t="s">
        <v>4131</v>
      </c>
      <c r="B11" s="162">
        <f t="shared" si="7"/>
        <v>81</v>
      </c>
      <c r="C11" s="228">
        <f t="shared" ref="C11:O11" si="9">C4-C10</f>
        <v>0</v>
      </c>
      <c r="D11" s="229">
        <f t="shared" si="9"/>
        <v>1</v>
      </c>
      <c r="E11" s="229">
        <f t="shared" si="9"/>
        <v>4</v>
      </c>
      <c r="F11" s="229">
        <f t="shared" si="9"/>
        <v>0</v>
      </c>
      <c r="G11" s="229">
        <f t="shared" si="9"/>
        <v>5</v>
      </c>
      <c r="H11" s="229">
        <f t="shared" si="9"/>
        <v>0</v>
      </c>
      <c r="I11" s="229">
        <f t="shared" si="9"/>
        <v>9</v>
      </c>
      <c r="J11" s="229">
        <f t="shared" si="9"/>
        <v>0</v>
      </c>
      <c r="K11" s="229">
        <f t="shared" si="9"/>
        <v>11</v>
      </c>
      <c r="L11" s="229">
        <f t="shared" si="9"/>
        <v>28</v>
      </c>
      <c r="M11" s="229">
        <f t="shared" si="9"/>
        <v>8</v>
      </c>
      <c r="N11" s="229">
        <f t="shared" si="9"/>
        <v>0</v>
      </c>
      <c r="O11" s="230">
        <f t="shared" si="9"/>
        <v>15</v>
      </c>
      <c r="P11" s="141"/>
      <c r="Q11" s="141"/>
      <c r="R11" s="141"/>
      <c r="S11" s="141"/>
      <c r="W11" s="141"/>
    </row>
    <row r="12" spans="1:27" ht="18.600000000000001" customHeight="1">
      <c r="A12" s="166" t="s">
        <v>5024</v>
      </c>
      <c r="B12" s="268">
        <f>B8/B3</f>
        <v>0.66981132075471694</v>
      </c>
      <c r="C12" s="265">
        <f t="shared" ref="C12:O12" si="10">C8/(C3-C6)</f>
        <v>1</v>
      </c>
      <c r="D12" s="266">
        <f t="shared" si="10"/>
        <v>1</v>
      </c>
      <c r="E12" s="266">
        <f t="shared" si="10"/>
        <v>0.6470588235294118</v>
      </c>
      <c r="F12" s="266">
        <f t="shared" si="10"/>
        <v>0.5</v>
      </c>
      <c r="G12" s="266">
        <f t="shared" si="10"/>
        <v>0.61538461538461542</v>
      </c>
      <c r="H12" s="266">
        <f t="shared" si="10"/>
        <v>1</v>
      </c>
      <c r="I12" s="266">
        <f t="shared" si="10"/>
        <v>0.41666666666666669</v>
      </c>
      <c r="J12" s="266" t="e">
        <f t="shared" si="10"/>
        <v>#DIV/0!</v>
      </c>
      <c r="K12" s="266">
        <f t="shared" si="10"/>
        <v>0.46666666666666667</v>
      </c>
      <c r="L12" s="266">
        <f t="shared" si="10"/>
        <v>0.81690140845070425</v>
      </c>
      <c r="M12" s="266">
        <f t="shared" si="10"/>
        <v>0.73333333333333328</v>
      </c>
      <c r="N12" s="266">
        <f t="shared" si="10"/>
        <v>1</v>
      </c>
      <c r="O12" s="267">
        <f t="shared" si="10"/>
        <v>0.42857142857142855</v>
      </c>
      <c r="P12" s="137"/>
      <c r="Q12" s="137"/>
      <c r="R12" s="137"/>
      <c r="S12" s="137"/>
      <c r="W12" s="141"/>
    </row>
    <row r="13" spans="1:27" ht="18.600000000000001" customHeight="1">
      <c r="A13" s="166" t="s">
        <v>4139</v>
      </c>
      <c r="B13" s="268">
        <f t="shared" ref="B13:O13" si="11">B10/B4</f>
        <v>0.49689440993788819</v>
      </c>
      <c r="C13" s="235">
        <f t="shared" si="11"/>
        <v>1</v>
      </c>
      <c r="D13" s="167">
        <f t="shared" si="11"/>
        <v>0</v>
      </c>
      <c r="E13" s="167">
        <f t="shared" si="11"/>
        <v>0.63636363636363635</v>
      </c>
      <c r="F13" s="167">
        <f t="shared" si="11"/>
        <v>1</v>
      </c>
      <c r="G13" s="167">
        <f t="shared" si="11"/>
        <v>0.375</v>
      </c>
      <c r="H13" s="167">
        <f t="shared" si="11"/>
        <v>1</v>
      </c>
      <c r="I13" s="167">
        <f t="shared" si="11"/>
        <v>0.18181818181818182</v>
      </c>
      <c r="J13" s="167" t="e">
        <f t="shared" si="11"/>
        <v>#DIV/0!</v>
      </c>
      <c r="K13" s="167">
        <f t="shared" si="11"/>
        <v>0</v>
      </c>
      <c r="L13" s="167">
        <f t="shared" si="11"/>
        <v>0.55555555555555558</v>
      </c>
      <c r="M13" s="167">
        <f t="shared" si="11"/>
        <v>0.61904761904761907</v>
      </c>
      <c r="N13" s="167">
        <f t="shared" si="11"/>
        <v>1</v>
      </c>
      <c r="O13" s="168">
        <f t="shared" si="11"/>
        <v>0.42307692307692307</v>
      </c>
      <c r="P13" s="137"/>
      <c r="Q13" s="137"/>
      <c r="R13" s="137"/>
      <c r="S13" s="137"/>
      <c r="W13" s="141"/>
    </row>
    <row r="14" spans="1:27" ht="34.799999999999997" customHeight="1">
      <c r="A14" s="169" t="s">
        <v>0</v>
      </c>
      <c r="B14" s="169" t="s">
        <v>1377</v>
      </c>
      <c r="C14" s="169" t="s">
        <v>2</v>
      </c>
      <c r="D14" s="169" t="s">
        <v>3</v>
      </c>
      <c r="E14" s="169" t="s">
        <v>1740</v>
      </c>
      <c r="F14" s="169" t="s">
        <v>1737</v>
      </c>
      <c r="G14" s="169" t="s">
        <v>1739</v>
      </c>
      <c r="H14" s="169" t="s">
        <v>4084</v>
      </c>
      <c r="I14" s="170" t="s">
        <v>5028</v>
      </c>
      <c r="J14" s="171" t="s">
        <v>5169</v>
      </c>
      <c r="K14" s="172" t="s">
        <v>1741</v>
      </c>
      <c r="L14" s="170" t="s">
        <v>4044</v>
      </c>
      <c r="M14" s="337" t="s">
        <v>7290</v>
      </c>
      <c r="N14" s="337" t="s">
        <v>7291</v>
      </c>
      <c r="O14" s="173" t="s">
        <v>1726</v>
      </c>
      <c r="P14" s="173" t="s">
        <v>4056</v>
      </c>
      <c r="Q14" s="348" t="s">
        <v>4437</v>
      </c>
      <c r="R14" s="348" t="s">
        <v>4438</v>
      </c>
      <c r="S14" s="349" t="s">
        <v>4436</v>
      </c>
      <c r="T14" s="350" t="s">
        <v>4420</v>
      </c>
      <c r="U14" s="350" t="s">
        <v>7437</v>
      </c>
      <c r="V14" s="350" t="s">
        <v>7438</v>
      </c>
      <c r="W14" s="350" t="s">
        <v>7291</v>
      </c>
      <c r="X14" s="244" t="s">
        <v>4136</v>
      </c>
      <c r="Y14" s="244" t="s">
        <v>4137</v>
      </c>
      <c r="Z14" s="256" t="s">
        <v>5016</v>
      </c>
      <c r="AA14" s="3">
        <f>COUNTIF(Z:Z,"STAR")</f>
        <v>161</v>
      </c>
    </row>
    <row r="15" spans="1:27" ht="15.6"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68" t="str">
        <f>Q15&amp;IF(R15&lt;&gt;"",$P$2,"")&amp;R15</f>
        <v>EDC+STAR</v>
      </c>
      <c r="N15" s="338" t="str" cm="1">
        <f t="array" ref="N15">IF(AND(
    SUMPRODUCT(
        (IM!$F$2:$F$2000=A15) *
        ISNUMBER(SEARCH("HUB", IM!$AC$2:$AC$2000)) *
        (IM!$X$2:$X$2000&gt;=$A$1) *
        (IM!$X$2:$X$2000&lt;=$B$1)*(W15="HUB")
    ) &gt; 0
), "HUB", "")</f>
        <v/>
      </c>
      <c r="O15" s="371" t="str">
        <f>IF(I15="","未到店",
IF(AND(S15&gt;I15, R15="STAR", NOT(AND(G15&lt;&gt;"萊到店 WebPOS", Q15&lt;&gt;"EDC"))), "完工已補裝",
IF(AND(G15&lt;&gt;"萊到店 WebPOS", Q15&lt;&gt;"EDC"), "EDC異常",
IF(AND(W15="HUB", N15=""), "HUB異常",
IF(OR(AND(Z15="STAR", R15="STAR"), AND(Z15&lt;&gt;"STAR", R15="")), "已完工", "STAR異常")
))))</f>
        <v>已完工</v>
      </c>
      <c r="P15" s="341" t="str">
        <f>(TEXT(I15,"yyyymmdd"))&amp;$S$2&amp;A15&amp;$S$2&amp;B15&amp;$Q$2</f>
        <v>20250401-D070-三重重新店(定保)</v>
      </c>
      <c r="Q15" s="352" t="str" cm="1">
        <f t="array" ref="Q15">IF(AND(SUMPRODUCT((IM!$F$2:$F$2000=A15)*(ISNUMBER(SEARCH("EDC", IM!$AC$2:$AC$2000))))&gt;0), "EDC", "")</f>
        <v>EDC</v>
      </c>
      <c r="R15" s="353" t="str" cm="1">
        <f t="array" ref="R15">IF(AND(SUMPRODUCT((IM!$F$2:$F$2000=A15)*(ISNUMBER(SEARCH("STAR", IM!$AC$2:$AC$2000))))&gt;0), "STAR", "")</f>
        <v>STAR</v>
      </c>
      <c r="S15" s="354" cm="1">
        <f t="array" ref="S15">IFERROR(INDEX(IM!$X$2:$X$650, MATCH(1, (IM!$F$2:$F$650=A15) * (ISNUMBER(SEARCH($D$1, IM!$AC$2:$AC$650))), 0)), "")</f>
        <v>45748.488888888889</v>
      </c>
      <c r="T15" s="355">
        <f>IF(AND(X15&lt;&gt;"", Y15&lt;&gt;""), 2, IF(OR(X15&lt;&gt;"", Y15&lt;&gt;""), 1, 0))</f>
        <v>2</v>
      </c>
      <c r="U15" s="355"/>
      <c r="V15" s="373">
        <f>IF(OR(R15="STAR", T15="", U15=""), T15,
"總數：" &amp; T15 &amp; CHAR(10) &amp;
"已維修：" &amp; U15 &amp; CHAR(10) &amp;
"未更換：" &amp; (T15 - U15))</f>
        <v>2</v>
      </c>
      <c r="W15" s="356" t="str">
        <f>IF(VLOOKUP(A15,'0919門市清單主檔'!B:E,4,FALSE)=0,"",VLOOKUP(A15,'0919門市清單主檔'!B:E,4,FALSE))</f>
        <v/>
      </c>
      <c r="X15" s="242" t="s">
        <v>4171</v>
      </c>
      <c r="Y15" s="243" t="s">
        <v>4172</v>
      </c>
      <c r="Z15" s="246" t="str">
        <f>IF(T15&gt;0,"STAR","")</f>
        <v>STAR</v>
      </c>
    </row>
    <row r="16" spans="1:27" ht="15.6"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IF(I16&gt;0,(TEXT(I16,"yyyymmdd")&amp;$S$2&amp;A16&amp;$S$2&amp;B16&amp;$Q$2),"")</f>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69" t="str">
        <f>Q16&amp;IF(R16&lt;&gt;"",$P$2,"")&amp;R16</f>
        <v>EDC+STAR</v>
      </c>
      <c r="N16" s="339" t="str" cm="1">
        <f t="array" ref="N16">IF(AND(
    SUMPRODUCT(
        (IM!$F$2:$F$2000=A16) *
        ISNUMBER(SEARCH("HUB", IM!$AC$2:$AC$2000)) *
        (IM!$X$2:$X$2000&gt;=$A$1) *
        (IM!$X$2:$X$2000&lt;=$B$1)*(W16="HUB")
    ) &gt; 0
), "HUB", "")</f>
        <v/>
      </c>
      <c r="O16" s="371" t="str">
        <f>IF(I16="","未到店",
IF(AND(S16&gt;I16, R16="STAR", NOT(AND(G16&lt;&gt;"萊到店 WebPOS", Q16&lt;&gt;"EDC"))), "完工已補裝",
IF(AND(G16&lt;&gt;"萊到店 WebPOS", Q16&lt;&gt;"EDC"), "EDC異常",
IF(AND(W16="HUB", N16=""), "HUB異常",
IF(OR(AND(Z16="STAR", R16="STAR"), AND(Z16&lt;&gt;"STAR", R16="")), "已完工", "STAR異常")
))))</f>
        <v>已完工</v>
      </c>
      <c r="P16" s="238" t="str">
        <f>(TEXT(I16,"yyyymmdd"))&amp;$S$2&amp;A16&amp;$S$2&amp;B16&amp;$Q$2</f>
        <v>20250401-3818-板橋漢江店(定保)</v>
      </c>
      <c r="Q16" s="357" t="str" cm="1">
        <f t="array" ref="Q16">IF(AND(SUMPRODUCT((IM!$F$2:$F$2000=A16)*(ISNUMBER(SEARCH("EDC", IM!$AC$2:$AC$2000))))&gt;0), "EDC", "")</f>
        <v>EDC</v>
      </c>
      <c r="R16" s="358" t="str" cm="1">
        <f t="array" ref="R16">IF(AND(SUMPRODUCT((IM!$F$2:$F$2000=A16)*(ISNUMBER(SEARCH("STAR", IM!$AC$2:$AC$2000))))&gt;0), "STAR", "")</f>
        <v>STAR</v>
      </c>
      <c r="S16" s="359" cm="1">
        <f t="array" ref="S16">IFERROR(INDEX(IM!$X$2:$X$650, MATCH(1, (IM!$F$2:$F$650=A16) * (ISNUMBER(SEARCH($D$1, IM!$AC$2:$AC$650))), 0)), "")</f>
        <v>45748.568749999999</v>
      </c>
      <c r="T16" s="355">
        <f>IF(AND(X16&lt;&gt;"", Y16&lt;&gt;""), 2, IF(OR(X16&lt;&gt;"", Y16&lt;&gt;""), 1, 0))</f>
        <v>1</v>
      </c>
      <c r="U16" s="355"/>
      <c r="V16" s="373">
        <f>IF(OR(R16="STAR", T16="", U16=""), T16,
"總數：" &amp; T16 &amp; CHAR(10) &amp;
"已維修：" &amp; U16 &amp; CHAR(10) &amp;
"未更換：" &amp; (T16 - U16))</f>
        <v>1</v>
      </c>
      <c r="W16" s="360" t="str">
        <f>IF(VLOOKUP(A16,'0919門市清單主檔'!B:E,4,FALSE)=0,"",VLOOKUP(A16,'0919門市清單主檔'!B:E,4,FALSE))</f>
        <v/>
      </c>
      <c r="X16" s="245"/>
      <c r="Y16" s="246" t="s">
        <v>4206</v>
      </c>
      <c r="Z16" s="246" t="str">
        <f>IF(T16&gt;0,"STAR","")</f>
        <v>STAR</v>
      </c>
    </row>
    <row r="17" spans="1:26"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IF(I17&gt;0,(TEXT(I17,"yyyymmdd")&amp;$S$2&amp;A17&amp;$S$2&amp;B17&amp;$Q$2),"")</f>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69" t="str">
        <f>Q17&amp;IF(R17&lt;&gt;"",$P$2,"")&amp;R17</f>
        <v>EDC+STAR</v>
      </c>
      <c r="N17" s="339" t="str" cm="1">
        <f t="array" ref="N17">IF(AND(
    SUMPRODUCT(
        (IM!$F$2:$F$2000=A17) *
        ISNUMBER(SEARCH("HUB", IM!$AC$2:$AC$2000)) *
        (IM!$X$2:$X$2000&gt;=$A$1) *
        (IM!$X$2:$X$2000&lt;=$B$1)*(W17="HUB")
    ) &gt; 0
), "HUB", "")</f>
        <v/>
      </c>
      <c r="O17" s="371" t="str">
        <f>IF(I17="","未到店",
IF(AND(S17&gt;I17, R17="STAR", NOT(AND(G17&lt;&gt;"萊到店 WebPOS", Q17&lt;&gt;"EDC"))), "完工已補裝",
IF(AND(G17&lt;&gt;"萊到店 WebPOS", Q17&lt;&gt;"EDC"), "EDC異常",
IF(AND(W17="HUB", N17=""), "HUB異常",
IF(OR(AND(Z17="STAR", R17="STAR"), AND(Z17&lt;&gt;"STAR", R17="")), "已完工", "STAR異常")
))))</f>
        <v>已完工</v>
      </c>
      <c r="P17" s="238" t="str">
        <f>(TEXT(I17,"yyyymmdd"))&amp;$S$2&amp;A17&amp;$S$2&amp;B17&amp;$Q$2</f>
        <v>20250401-3147-北縣板明店(定保)</v>
      </c>
      <c r="Q17" s="357" t="str" cm="1">
        <f t="array" ref="Q17">IF(AND(SUMPRODUCT((IM!$F$2:$F$2000=A17)*(ISNUMBER(SEARCH("EDC", IM!$AC$2:$AC$2000))))&gt;0), "EDC", "")</f>
        <v>EDC</v>
      </c>
      <c r="R17" s="358" t="str" cm="1">
        <f t="array" ref="R17">IF(AND(SUMPRODUCT((IM!$F$2:$F$2000=A17)*(ISNUMBER(SEARCH("STAR", IM!$AC$2:$AC$2000))))&gt;0), "STAR", "")</f>
        <v>STAR</v>
      </c>
      <c r="S17" s="359" cm="1">
        <f t="array" ref="S17">IFERROR(INDEX(IM!$X$2:$X$650, MATCH(1, (IM!$F$2:$F$650=A17) * (ISNUMBER(SEARCH($D$1, IM!$AC$2:$AC$650))), 0)), "")</f>
        <v>45748.603472222225</v>
      </c>
      <c r="T17" s="355">
        <f>IF(AND(X17&lt;&gt;"", Y17&lt;&gt;""), 2, IF(OR(X17&lt;&gt;"", Y17&lt;&gt;""), 1, 0))</f>
        <v>1</v>
      </c>
      <c r="U17" s="355"/>
      <c r="V17" s="373">
        <f>IF(OR(R17="STAR", T17="", U17=""), T17,
"總數：" &amp; T17 &amp; CHAR(10) &amp;
"已維修：" &amp; U17 &amp; CHAR(10) &amp;
"未更換：" &amp; (T17 - U17))</f>
        <v>1</v>
      </c>
      <c r="W17" s="360" t="str">
        <f>IF(VLOOKUP(A17,'0919門市清單主檔'!B:E,4,FALSE)=0,"",VLOOKUP(A17,'0919門市清單主檔'!B:E,4,FALSE))</f>
        <v/>
      </c>
      <c r="X17" s="245"/>
      <c r="Y17" s="246" t="s">
        <v>4246</v>
      </c>
      <c r="Z17" s="246" t="str">
        <f>IF(T17&gt;0,"STAR","")</f>
        <v>STAR</v>
      </c>
    </row>
    <row r="18" spans="1:26"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c r="H18" s="181" t="str">
        <f>IF(I18&gt;0,(TEXT(I18,"yyyymmdd")&amp;$S$2&amp;A18&amp;$S$2&amp;B18&amp;$Q$2),"")</f>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69" t="str">
        <f>Q18&amp;IF(R18&lt;&gt;"",$P$2,"")&amp;R18</f>
        <v>EDC+STAR</v>
      </c>
      <c r="N18" s="339" t="str" cm="1">
        <f t="array" ref="N18">IF(AND(
    SUMPRODUCT(
        (IM!$F$2:$F$2000=A18) *
        ISNUMBER(SEARCH("HUB", IM!$AC$2:$AC$2000)) *
        (IM!$X$2:$X$2000&gt;=$A$1) *
        (IM!$X$2:$X$2000&lt;=$B$1)*(W18="HUB")
    ) &gt; 0
), "HUB", "")</f>
        <v/>
      </c>
      <c r="O18" s="371" t="str">
        <f>IF(I18="","未到店",
IF(AND(S18&gt;I18, R18="STAR", NOT(AND(G18&lt;&gt;"萊到店 WebPOS", Q18&lt;&gt;"EDC"))), "完工已補裝",
IF(AND(G18&lt;&gt;"萊到店 WebPOS", Q18&lt;&gt;"EDC"), "EDC異常",
IF(AND(W18="HUB", N18=""), "HUB異常",
IF(OR(AND(Z18="STAR", R18="STAR"), AND(Z18&lt;&gt;"STAR", R18="")), "已完工", "STAR異常")
))))</f>
        <v>已完工</v>
      </c>
      <c r="P18" s="238" t="str">
        <f>(TEXT(I18,"yyyymmdd"))&amp;$S$2&amp;A18&amp;$S$2&amp;B18&amp;$Q$2</f>
        <v>20250401-4241-三重仁義店(定保)</v>
      </c>
      <c r="Q18" s="357" t="str" cm="1">
        <f t="array" ref="Q18">IF(AND(SUMPRODUCT((IM!$F$2:$F$2000=A18)*(ISNUMBER(SEARCH("EDC", IM!$AC$2:$AC$2000))))&gt;0), "EDC", "")</f>
        <v>EDC</v>
      </c>
      <c r="R18" s="358" t="str" cm="1">
        <f t="array" ref="R18">IF(AND(SUMPRODUCT((IM!$F$2:$F$2000=A18)*(ISNUMBER(SEARCH("STAR", IM!$AC$2:$AC$2000))))&gt;0), "STAR", "")</f>
        <v>STAR</v>
      </c>
      <c r="S18" s="359" cm="1">
        <f t="array" ref="S18">IFERROR(INDEX(IM!$X$2:$X$650, MATCH(1, (IM!$F$2:$F$650=A18) * (ISNUMBER(SEARCH($D$1, IM!$AC$2:$AC$650))), 0)), "")</f>
        <v>45748.661805555559</v>
      </c>
      <c r="T18" s="355">
        <f>IF(AND(X18&lt;&gt;"", Y18&lt;&gt;""), 2, IF(OR(X18&lt;&gt;"", Y18&lt;&gt;""), 1, 0))</f>
        <v>2</v>
      </c>
      <c r="U18" s="355"/>
      <c r="V18" s="373">
        <f>IF(OR(R18="STAR", T18="", U18=""), T18,
"總數：" &amp; T18 &amp; CHAR(10) &amp;
"已維修：" &amp; U18 &amp; CHAR(10) &amp;
"未更換：" &amp; (T18 - U18))</f>
        <v>2</v>
      </c>
      <c r="W18" s="360" t="str">
        <f>IF(VLOOKUP(A18,'0919門市清單主檔'!B:E,4,FALSE)=0,"",VLOOKUP(A18,'0919門市清單主檔'!B:E,4,FALSE))</f>
        <v/>
      </c>
      <c r="X18" s="3" t="s">
        <v>4320</v>
      </c>
      <c r="Y18" s="5" t="s">
        <v>4321</v>
      </c>
      <c r="Z18" s="5" t="str">
        <f>IF(T18&gt;0,"STAR","")</f>
        <v>STAR</v>
      </c>
    </row>
    <row r="19" spans="1:26"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IF(I19&gt;0,(TEXT(I19,"yyyymmdd")&amp;$S$2&amp;A19&amp;$S$2&amp;B19&amp;$Q$2),"")</f>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69" t="str">
        <f>Q19&amp;IF(R19&lt;&gt;"",$P$2,"")&amp;R19</f>
        <v>EDC+STAR</v>
      </c>
      <c r="N19" s="339" t="str" cm="1">
        <f t="array" ref="N19">IF(AND(
    SUMPRODUCT(
        (IM!$F$2:$F$2000=A19) *
        ISNUMBER(SEARCH("HUB", IM!$AC$2:$AC$2000)) *
        (IM!$X$2:$X$2000&gt;=$A$1) *
        (IM!$X$2:$X$2000&lt;=$B$1)*(W19="HUB")
    ) &gt; 0
), "HUB", "")</f>
        <v/>
      </c>
      <c r="O19" s="371" t="str">
        <f>IF(I19="","未到店",
IF(AND(S19&gt;I19, R19="STAR", NOT(AND(G19&lt;&gt;"萊到店 WebPOS", Q19&lt;&gt;"EDC"))), "完工已補裝",
IF(AND(G19&lt;&gt;"萊到店 WebPOS", Q19&lt;&gt;"EDC"), "EDC異常",
IF(AND(W19="HUB", N19=""), "HUB異常",
IF(OR(AND(Z19="STAR", R19="STAR"), AND(Z19&lt;&gt;"STAR", R19="")), "已完工", "STAR異常")
))))</f>
        <v>已完工</v>
      </c>
      <c r="P19" s="238" t="str">
        <f>(TEXT(I19,"yyyymmdd"))&amp;$S$2&amp;A19&amp;$S$2&amp;B19&amp;$Q$2</f>
        <v>20250402-3627-三重重新橋(定保)</v>
      </c>
      <c r="Q19" s="357" t="str" cm="1">
        <f t="array" ref="Q19">IF(AND(SUMPRODUCT((IM!$F$2:$F$2000=A19)*(ISNUMBER(SEARCH("EDC", IM!$AC$2:$AC$2000))))&gt;0), "EDC", "")</f>
        <v>EDC</v>
      </c>
      <c r="R19" s="358" t="str" cm="1">
        <f t="array" ref="R19">IF(AND(SUMPRODUCT((IM!$F$2:$F$2000=A19)*(ISNUMBER(SEARCH("STAR", IM!$AC$2:$AC$2000))))&gt;0), "STAR", "")</f>
        <v>STAR</v>
      </c>
      <c r="S19" s="359" cm="1">
        <f t="array" ref="S19">IFERROR(INDEX(IM!$X$2:$X$650, MATCH(1, (IM!$F$2:$F$650=A19) * (ISNUMBER(SEARCH($D$1, IM!$AC$2:$AC$650))), 0)), "")</f>
        <v>45749.465277777781</v>
      </c>
      <c r="T19" s="355">
        <f>IF(AND(X19&lt;&gt;"", Y19&lt;&gt;""), 2, IF(OR(X19&lt;&gt;"", Y19&lt;&gt;""), 1, 0))</f>
        <v>2</v>
      </c>
      <c r="U19" s="355"/>
      <c r="V19" s="373">
        <f>IF(OR(R19="STAR", T19="", U19=""), T19,
"總數：" &amp; T19 &amp; CHAR(10) &amp;
"已維修：" &amp; U19 &amp; CHAR(10) &amp;
"未更換：" &amp; (T19 - U19))</f>
        <v>2</v>
      </c>
      <c r="W19" s="360" t="str">
        <f>IF(VLOOKUP(A19,'0919門市清單主檔'!B:E,4,FALSE)=0,"",VLOOKUP(A19,'0919門市清單主檔'!B:E,4,FALSE))</f>
        <v/>
      </c>
      <c r="X19" s="3" t="s">
        <v>4169</v>
      </c>
      <c r="Y19" s="5" t="s">
        <v>4170</v>
      </c>
      <c r="Z19" s="5" t="str">
        <f>IF(T19&gt;0,"STAR","")</f>
        <v>STAR</v>
      </c>
    </row>
    <row r="20" spans="1:26"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IF(I20&gt;0,(TEXT(I20,"yyyymmdd")&amp;$S$2&amp;A20&amp;$S$2&amp;B20&amp;$Q$2),"")</f>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69" t="str">
        <f>Q20&amp;IF(R20&lt;&gt;"",$P$2,"")&amp;R20</f>
        <v>EDC+STAR</v>
      </c>
      <c r="N20" s="339" t="str" cm="1">
        <f t="array" ref="N20">IF(AND(
    SUMPRODUCT(
        (IM!$F$2:$F$2000=A20) *
        ISNUMBER(SEARCH("HUB", IM!$AC$2:$AC$2000)) *
        (IM!$X$2:$X$2000&gt;=$A$1) *
        (IM!$X$2:$X$2000&lt;=$B$1)*(W20="HUB")
    ) &gt; 0
), "HUB", "")</f>
        <v/>
      </c>
      <c r="O20" s="371" t="str">
        <f>IF(I20="","未到店",
IF(AND(S20&gt;I20, R20="STAR", NOT(AND(G20&lt;&gt;"萊到店 WebPOS", Q20&lt;&gt;"EDC"))), "完工已補裝",
IF(AND(G20&lt;&gt;"萊到店 WebPOS", Q20&lt;&gt;"EDC"), "EDC異常",
IF(AND(W20="HUB", N20=""), "HUB異常",
IF(OR(AND(Z20="STAR", R20="STAR"), AND(Z20&lt;&gt;"STAR", R20="")), "已完工", "STAR異常")
))))</f>
        <v>已完工</v>
      </c>
      <c r="P20" s="238" t="str">
        <f>(TEXT(I20,"yyyymmdd"))&amp;$S$2&amp;A20&amp;$S$2&amp;B20&amp;$Q$2</f>
        <v>20250402-4084-三重昌隆店(定保)</v>
      </c>
      <c r="Q20" s="357" t="str" cm="1">
        <f t="array" ref="Q20">IF(AND(SUMPRODUCT((IM!$F$2:$F$2000=A20)*(ISNUMBER(SEARCH("EDC", IM!$AC$2:$AC$2000))))&gt;0), "EDC", "")</f>
        <v>EDC</v>
      </c>
      <c r="R20" s="358" t="str" cm="1">
        <f t="array" ref="R20">IF(AND(SUMPRODUCT((IM!$F$2:$F$2000=A20)*(ISNUMBER(SEARCH("STAR", IM!$AC$2:$AC$2000))))&gt;0), "STAR", "")</f>
        <v>STAR</v>
      </c>
      <c r="S20" s="359" cm="1">
        <f t="array" ref="S20">IFERROR(INDEX(IM!$X$2:$X$650, MATCH(1, (IM!$F$2:$F$650=A20) * (ISNUMBER(SEARCH($D$1, IM!$AC$2:$AC$650))), 0)), "")</f>
        <v>45749.504861111112</v>
      </c>
      <c r="T20" s="355">
        <f>IF(AND(X20&lt;&gt;"", Y20&lt;&gt;""), 2, IF(OR(X20&lt;&gt;"", Y20&lt;&gt;""), 1, 0))</f>
        <v>2</v>
      </c>
      <c r="U20" s="355"/>
      <c r="V20" s="373">
        <f>IF(OR(R20="STAR", T20="", U20=""), T20,
"總數：" &amp; T20 &amp; CHAR(10) &amp;
"已維修：" &amp; U20 &amp; CHAR(10) &amp;
"未更換：" &amp; (T20 - U20))</f>
        <v>2</v>
      </c>
      <c r="W20" s="360" t="str">
        <f>IF(VLOOKUP(A20,'0919門市清單主檔'!B:E,4,FALSE)=0,"",VLOOKUP(A20,'0919門市清單主檔'!B:E,4,FALSE))</f>
        <v/>
      </c>
      <c r="X20" s="3" t="s">
        <v>4173</v>
      </c>
      <c r="Y20" s="5" t="s">
        <v>4174</v>
      </c>
      <c r="Z20" s="5" t="str">
        <f>IF(T20&gt;0,"STAR","")</f>
        <v>STAR</v>
      </c>
    </row>
    <row r="21" spans="1:26" ht="15.75" customHeight="1">
      <c r="A21" s="174">
        <v>4260</v>
      </c>
      <c r="B21" s="175" t="str">
        <f>VLOOKUP(A21,'0919門市清單主檔'!B:C,2,FALSE)</f>
        <v>三重高中店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IF(I21&gt;0,(TEXT(I21,"yyyymmdd")&amp;$S$2&amp;A21&amp;$S$2&amp;B21&amp;$Q$2),"")</f>
        <v>20250402-4260-三重高中店(定保)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69" t="str">
        <f>Q21&amp;IF(R21&lt;&gt;"",$P$2,"")&amp;R21</f>
        <v>EDC+STAR</v>
      </c>
      <c r="N21" s="339" t="str" cm="1">
        <f t="array" ref="N21">IF(AND(
    SUMPRODUCT(
        (IM!$F$2:$F$2000=A21) *
        ISNUMBER(SEARCH("HUB", IM!$AC$2:$AC$2000)) *
        (IM!$X$2:$X$2000&gt;=$A$1) *
        (IM!$X$2:$X$2000&lt;=$B$1)*(W21="HUB")
    ) &gt; 0
), "HUB", "")</f>
        <v/>
      </c>
      <c r="O21" s="371" t="str">
        <f>IF(I21="","未到店",
IF(AND(S21&gt;I21, R21="STAR", NOT(AND(G21&lt;&gt;"萊到店 WebPOS", Q21&lt;&gt;"EDC"))), "完工已補裝",
IF(AND(G21&lt;&gt;"萊到店 WebPOS", Q21&lt;&gt;"EDC"), "EDC異常",
IF(AND(W21="HUB", N21=""), "HUB異常",
IF(OR(AND(Z21="STAR", R21="STAR"), AND(Z21&lt;&gt;"STAR", R21="")), "已完工", "STAR異常")
))))</f>
        <v>已完工</v>
      </c>
      <c r="P21" s="238" t="str">
        <f>(TEXT(I21,"yyyymmdd"))&amp;$S$2&amp;A21&amp;$S$2&amp;B21&amp;$Q$2</f>
        <v>20250402-4260-三重高中店(定保)</v>
      </c>
      <c r="Q21" s="357" t="str" cm="1">
        <f t="array" ref="Q21">IF(AND(SUMPRODUCT((IM!$F$2:$F$2000=A21)*(ISNUMBER(SEARCH("EDC", IM!$AC$2:$AC$2000))))&gt;0), "EDC", "")</f>
        <v>EDC</v>
      </c>
      <c r="R21" s="358" t="str" cm="1">
        <f t="array" ref="R21">IF(AND(SUMPRODUCT((IM!$F$2:$F$2000=A21)*(ISNUMBER(SEARCH("STAR", IM!$AC$2:$AC$2000))))&gt;0), "STAR", "")</f>
        <v>STAR</v>
      </c>
      <c r="S21" s="359" cm="1">
        <f t="array" ref="S21">IFERROR(INDEX(IM!$X$2:$X$650, MATCH(1, (IM!$F$2:$F$650=A21) * (ISNUMBER(SEARCH($D$1, IM!$AC$2:$AC$650))), 0)), "")</f>
        <v>45749.620138888888</v>
      </c>
      <c r="T21" s="355">
        <f>IF(AND(X21&lt;&gt;"", Y21&lt;&gt;""), 2, IF(OR(X21&lt;&gt;"", Y21&lt;&gt;""), 1, 0))</f>
        <v>2</v>
      </c>
      <c r="U21" s="355"/>
      <c r="V21" s="373">
        <f>IF(OR(R21="STAR", T21="", U21=""), T21,
"總數：" &amp; T21 &amp; CHAR(10) &amp;
"已維修：" &amp; U21 &amp; CHAR(10) &amp;
"未更換：" &amp; (T21 - U21))</f>
        <v>2</v>
      </c>
      <c r="W21" s="360" t="str">
        <f>IF(VLOOKUP(A21,'0919門市清單主檔'!B:E,4,FALSE)=0,"",VLOOKUP(A21,'0919門市清單主檔'!B:E,4,FALSE))</f>
        <v/>
      </c>
      <c r="X21" s="3" t="s">
        <v>4175</v>
      </c>
      <c r="Y21" s="5" t="s">
        <v>4176</v>
      </c>
      <c r="Z21" s="5" t="str">
        <f>IF(T21&gt;0,"STAR","")</f>
        <v>STAR</v>
      </c>
    </row>
    <row r="22" spans="1:26"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IF(I22&gt;0,(TEXT(I22,"yyyymmdd")&amp;$S$2&amp;A22&amp;$S$2&amp;B22&amp;$Q$2),"")</f>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69" t="str">
        <f>Q22&amp;IF(R22&lt;&gt;"",$P$2,"")&amp;R22</f>
        <v>EDC+STAR</v>
      </c>
      <c r="N22" s="339" t="str" cm="1">
        <f t="array" ref="N22">IF(AND(
    SUMPRODUCT(
        (IM!$F$2:$F$2000=A22) *
        ISNUMBER(SEARCH("HUB", IM!$AC$2:$AC$2000)) *
        (IM!$X$2:$X$2000&gt;=$A$1) *
        (IM!$X$2:$X$2000&lt;=$B$1)*(W22="HUB")
    ) &gt; 0
), "HUB", "")</f>
        <v/>
      </c>
      <c r="O22" s="371" t="str">
        <f>IF(I22="","未到店",
IF(AND(S22&gt;I22, R22="STAR", NOT(AND(G22&lt;&gt;"萊到店 WebPOS", Q22&lt;&gt;"EDC"))), "完工已補裝",
IF(AND(G22&lt;&gt;"萊到店 WebPOS", Q22&lt;&gt;"EDC"), "EDC異常",
IF(AND(W22="HUB", N22=""), "HUB異常",
IF(OR(AND(Z22="STAR", R22="STAR"), AND(Z22&lt;&gt;"STAR", R22="")), "已完工", "STAR異常")
))))</f>
        <v>已完工</v>
      </c>
      <c r="P22" s="238" t="str">
        <f>(TEXT(I22,"yyyymmdd"))&amp;$S$2&amp;A22&amp;$S$2&amp;B22&amp;$Q$2</f>
        <v>20250402-2221-板橋雙十店(定保)</v>
      </c>
      <c r="Q22" s="357" t="str" cm="1">
        <f t="array" ref="Q22">IF(AND(SUMPRODUCT((IM!$F$2:$F$2000=A22)*(ISNUMBER(SEARCH("EDC", IM!$AC$2:$AC$2000))))&gt;0), "EDC", "")</f>
        <v>EDC</v>
      </c>
      <c r="R22" s="358" t="str" cm="1">
        <f t="array" ref="R22">IF(AND(SUMPRODUCT((IM!$F$2:$F$2000=A22)*(ISNUMBER(SEARCH("STAR", IM!$AC$2:$AC$2000))))&gt;0), "STAR", "")</f>
        <v>STAR</v>
      </c>
      <c r="S22" s="359" cm="1">
        <f t="array" ref="S22">IFERROR(INDEX(IM!$X$2:$X$650, MATCH(1, (IM!$F$2:$F$650=A22) * (ISNUMBER(SEARCH($D$1, IM!$AC$2:$AC$650))), 0)), "")</f>
        <v>45749.659722222219</v>
      </c>
      <c r="T22" s="355">
        <f>IF(AND(X22&lt;&gt;"", Y22&lt;&gt;""), 2, IF(OR(X22&lt;&gt;"", Y22&lt;&gt;""), 1, 0))</f>
        <v>1</v>
      </c>
      <c r="U22" s="355"/>
      <c r="V22" s="373">
        <f>IF(OR(R22="STAR", T22="", U22=""), T22,
"總數：" &amp; T22 &amp; CHAR(10) &amp;
"已維修：" &amp; U22 &amp; CHAR(10) &amp;
"未更換：" &amp; (T22 - U22))</f>
        <v>1</v>
      </c>
      <c r="W22" s="360" t="str">
        <f>IF(VLOOKUP(A22,'0919門市清單主檔'!B:E,4,FALSE)=0,"",VLOOKUP(A22,'0919門市清單主檔'!B:E,4,FALSE))</f>
        <v/>
      </c>
      <c r="Y22" s="5" t="s">
        <v>4369</v>
      </c>
      <c r="Z22" s="5" t="str">
        <f>IF(T22&gt;0,"STAR","")</f>
        <v>STAR</v>
      </c>
    </row>
    <row r="23" spans="1:26"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IF(I23&gt;0,(TEXT(I23,"yyyymmdd")&amp;$S$2&amp;A23&amp;$S$2&amp;B23&amp;$Q$2),"")</f>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69" t="str">
        <f>Q23&amp;IF(R23&lt;&gt;"",$P$2,"")&amp;R23</f>
        <v>EDC+STAR</v>
      </c>
      <c r="N23" s="339" t="str" cm="1">
        <f t="array" ref="N23">IF(AND(
    SUMPRODUCT(
        (IM!$F$2:$F$2000=A23) *
        ISNUMBER(SEARCH("HUB", IM!$AC$2:$AC$2000)) *
        (IM!$X$2:$X$2000&gt;=$A$1) *
        (IM!$X$2:$X$2000&lt;=$B$1)*(W23="HUB")
    ) &gt; 0
), "HUB", "")</f>
        <v/>
      </c>
      <c r="O23" s="371" t="str">
        <f>IF(I23="","未到店",
IF(AND(S23&gt;I23, R23="STAR", NOT(AND(G23&lt;&gt;"萊到店 WebPOS", Q23&lt;&gt;"EDC"))), "完工已補裝",
IF(AND(G23&lt;&gt;"萊到店 WebPOS", Q23&lt;&gt;"EDC"), "EDC異常",
IF(AND(W23="HUB", N23=""), "HUB異常",
IF(OR(AND(Z23="STAR", R23="STAR"), AND(Z23&lt;&gt;"STAR", R23="")), "已完工", "STAR異常")
))))</f>
        <v>已完工</v>
      </c>
      <c r="P23" s="238" t="str">
        <f>(TEXT(I23,"yyyymmdd"))&amp;$S$2&amp;A23&amp;$S$2&amp;B23&amp;$Q$2</f>
        <v>20250402-2321-北縣重鑫店(定保)</v>
      </c>
      <c r="Q23" s="357" t="str" cm="1">
        <f t="array" ref="Q23">IF(AND(SUMPRODUCT((IM!$F$2:$F$2000=A23)*(ISNUMBER(SEARCH("EDC", IM!$AC$2:$AC$2000))))&gt;0), "EDC", "")</f>
        <v>EDC</v>
      </c>
      <c r="R23" s="358" t="str" cm="1">
        <f t="array" ref="R23">IF(AND(SUMPRODUCT((IM!$F$2:$F$2000=A23)*(ISNUMBER(SEARCH("STAR", IM!$AC$2:$AC$2000))))&gt;0), "STAR", "")</f>
        <v>STAR</v>
      </c>
      <c r="S23" s="359" cm="1">
        <f t="array" ref="S23">IFERROR(INDEX(IM!$X$2:$X$650, MATCH(1, (IM!$F$2:$F$650=A23) * (ISNUMBER(SEARCH($D$1, IM!$AC$2:$AC$650))), 0)), "")</f>
        <v>45749.670138888891</v>
      </c>
      <c r="T23" s="355">
        <f>IF(AND(X23&lt;&gt;"", Y23&lt;&gt;""), 2, IF(OR(X23&lt;&gt;"", Y23&lt;&gt;""), 1, 0))</f>
        <v>2</v>
      </c>
      <c r="U23" s="355"/>
      <c r="V23" s="373">
        <f>IF(OR(R23="STAR", T23="", U23=""), T23,
"總數：" &amp; T23 &amp; CHAR(10) &amp;
"已維修：" &amp; U23 &amp; CHAR(10) &amp;
"未更換：" &amp; (T23 - U23))</f>
        <v>2</v>
      </c>
      <c r="W23" s="360" t="str">
        <f>IF(VLOOKUP(A23,'0919門市清單主檔'!B:E,4,FALSE)=0,"",VLOOKUP(A23,'0919門市清單主檔'!B:E,4,FALSE))</f>
        <v/>
      </c>
      <c r="X23" s="3" t="s">
        <v>4177</v>
      </c>
      <c r="Y23" s="5" t="s">
        <v>4178</v>
      </c>
      <c r="Z23" s="5" t="str">
        <f>IF(T23&gt;0,"STAR","")</f>
        <v>STAR</v>
      </c>
    </row>
    <row r="24" spans="1:26"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IF(I24&gt;0,(TEXT(I24,"yyyymmdd")&amp;$S$2&amp;A24&amp;$S$2&amp;B24&amp;$Q$2),"")</f>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69" t="str">
        <f>Q24&amp;IF(R24&lt;&gt;"",$P$2,"")&amp;R24</f>
        <v>EDC+STAR</v>
      </c>
      <c r="N24" s="339" t="str" cm="1">
        <f t="array" ref="N24">IF(AND(
    SUMPRODUCT(
        (IM!$F$2:$F$2000=A24) *
        ISNUMBER(SEARCH("HUB", IM!$AC$2:$AC$2000)) *
        (IM!$X$2:$X$2000&gt;=$A$1) *
        (IM!$X$2:$X$2000&lt;=$B$1)*(W24="HUB")
    ) &gt; 0
), "HUB", "")</f>
        <v/>
      </c>
      <c r="O24" s="371" t="str">
        <f>IF(I24="","未到店",
IF(AND(S24&gt;I24, R24="STAR", NOT(AND(G24&lt;&gt;"萊到店 WebPOS", Q24&lt;&gt;"EDC"))), "完工已補裝",
IF(AND(G24&lt;&gt;"萊到店 WebPOS", Q24&lt;&gt;"EDC"), "EDC異常",
IF(AND(W24="HUB", N24=""), "HUB異常",
IF(OR(AND(Z24="STAR", R24="STAR"), AND(Z24&lt;&gt;"STAR", R24="")), "已完工", "STAR異常")
))))</f>
        <v>已完工</v>
      </c>
      <c r="P24" s="238" t="str">
        <f>(TEXT(I24,"yyyymmdd"))&amp;$S$2&amp;A24&amp;$S$2&amp;B24&amp;$Q$2</f>
        <v>20250402-D072-北縣僑福店(定保)</v>
      </c>
      <c r="Q24" s="357" t="str" cm="1">
        <f t="array" ref="Q24">IF(AND(SUMPRODUCT((IM!$F$2:$F$2000=A24)*(ISNUMBER(SEARCH("EDC", IM!$AC$2:$AC$2000))))&gt;0), "EDC", "")</f>
        <v>EDC</v>
      </c>
      <c r="R24" s="358" t="str" cm="1">
        <f t="array" ref="R24">IF(AND(SUMPRODUCT((IM!$F$2:$F$2000=A24)*(ISNUMBER(SEARCH("STAR", IM!$AC$2:$AC$2000))))&gt;0), "STAR", "")</f>
        <v>STAR</v>
      </c>
      <c r="S24" s="359" cm="1">
        <f t="array" ref="S24">IFERROR(INDEX(IM!$X$2:$X$650, MATCH(1, (IM!$F$2:$F$650=A24) * (ISNUMBER(SEARCH($D$1, IM!$AC$2:$AC$650))), 0)), "")</f>
        <v>45749.6875</v>
      </c>
      <c r="T24" s="355">
        <f>IF(AND(X24&lt;&gt;"", Y24&lt;&gt;""), 2, IF(OR(X24&lt;&gt;"", Y24&lt;&gt;""), 1, 0))</f>
        <v>1</v>
      </c>
      <c r="U24" s="355"/>
      <c r="V24" s="373">
        <f>IF(OR(R24="STAR", T24="", U24=""), T24,
"總數：" &amp; T24 &amp; CHAR(10) &amp;
"已維修：" &amp; U24 &amp; CHAR(10) &amp;
"未更換：" &amp; (T24 - U24))</f>
        <v>1</v>
      </c>
      <c r="W24" s="360" t="str">
        <f>IF(VLOOKUP(A24,'0919門市清單主檔'!B:E,4,FALSE)=0,"",VLOOKUP(A24,'0919門市清單主檔'!B:E,4,FALSE))</f>
        <v/>
      </c>
      <c r="X24" s="3" t="s">
        <v>4359</v>
      </c>
      <c r="Y24" s="5"/>
      <c r="Z24" s="5" t="str">
        <f>IF(T24&gt;0,"STAR","")</f>
        <v>STAR</v>
      </c>
    </row>
    <row r="25" spans="1:26"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IF(I25&gt;0,(TEXT(I25,"yyyymmdd")&amp;$S$2&amp;A25&amp;$S$2&amp;B25&amp;$Q$2),"")</f>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69" t="str">
        <f>Q25&amp;IF(R25&lt;&gt;"",$P$2,"")&amp;R25</f>
        <v>EDC+STAR</v>
      </c>
      <c r="N25" s="339" t="str" cm="1">
        <f t="array" ref="N25">IF(AND(
    SUMPRODUCT(
        (IM!$F$2:$F$2000=A25) *
        ISNUMBER(SEARCH("HUB", IM!$AC$2:$AC$2000)) *
        (IM!$X$2:$X$2000&gt;=$A$1) *
        (IM!$X$2:$X$2000&lt;=$B$1)*(W25="HUB")
    ) &gt; 0
), "HUB", "")</f>
        <v/>
      </c>
      <c r="O25" s="371" t="str">
        <f>IF(I25="","未到店",
IF(AND(S25&gt;I25, R25="STAR", NOT(AND(G25&lt;&gt;"萊到店 WebPOS", Q25&lt;&gt;"EDC"))), "完工已補裝",
IF(AND(G25&lt;&gt;"萊到店 WebPOS", Q25&lt;&gt;"EDC"), "EDC異常",
IF(AND(W25="HUB", N25=""), "HUB異常",
IF(OR(AND(Z25="STAR", R25="STAR"), AND(Z25&lt;&gt;"STAR", R25="")), "已完工", "STAR異常")
))))</f>
        <v>已完工</v>
      </c>
      <c r="P25" s="238" t="str">
        <f>(TEXT(I25,"yyyymmdd"))&amp;$S$2&amp;A25&amp;$S$2&amp;B25&amp;$Q$2</f>
        <v>20250407-4155-三重穀保店(定保)</v>
      </c>
      <c r="Q25" s="357" t="str" cm="1">
        <f t="array" ref="Q25">IF(AND(SUMPRODUCT((IM!$F$2:$F$2000=A25)*(ISNUMBER(SEARCH("EDC", IM!$AC$2:$AC$2000))))&gt;0), "EDC", "")</f>
        <v>EDC</v>
      </c>
      <c r="R25" s="358" t="str" cm="1">
        <f t="array" ref="R25">IF(AND(SUMPRODUCT((IM!$F$2:$F$2000=A25)*(ISNUMBER(SEARCH("STAR", IM!$AC$2:$AC$2000))))&gt;0), "STAR", "")</f>
        <v>STAR</v>
      </c>
      <c r="S25" s="359" cm="1">
        <f t="array" ref="S25">IFERROR(INDEX(IM!$X$2:$X$650, MATCH(1, (IM!$F$2:$F$650=A25) * (ISNUMBER(SEARCH($D$1, IM!$AC$2:$AC$650))), 0)), "")</f>
        <v>45754.461111111108</v>
      </c>
      <c r="T25" s="355">
        <f>IF(AND(X25&lt;&gt;"", Y25&lt;&gt;""), 2, IF(OR(X25&lt;&gt;"", Y25&lt;&gt;""), 1, 0))</f>
        <v>1</v>
      </c>
      <c r="U25" s="355"/>
      <c r="V25" s="373">
        <f>IF(OR(R25="STAR", T25="", U25=""), T25,
"總數：" &amp; T25 &amp; CHAR(10) &amp;
"已維修：" &amp; U25 &amp; CHAR(10) &amp;
"未更換：" &amp; (T25 - U25))</f>
        <v>1</v>
      </c>
      <c r="W25" s="360" t="str">
        <f>IF(VLOOKUP(A25,'0919門市清單主檔'!B:E,4,FALSE)=0,"",VLOOKUP(A25,'0919門市清單主檔'!B:E,4,FALSE))</f>
        <v/>
      </c>
      <c r="X25" s="3" t="s">
        <v>4162</v>
      </c>
      <c r="Y25" s="5"/>
      <c r="Z25" s="5" t="str">
        <f>IF(T25&gt;0,"STAR","")</f>
        <v>STAR</v>
      </c>
    </row>
    <row r="26" spans="1:26"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IF(I26&gt;0,(TEXT(I26,"yyyymmdd")&amp;$S$2&amp;A26&amp;$S$2&amp;B26&amp;$Q$2),"")</f>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69" t="str">
        <f>Q26&amp;IF(R26&lt;&gt;"",$P$2,"")&amp;R26</f>
        <v>EDC</v>
      </c>
      <c r="N26" s="339" t="str" cm="1">
        <f t="array" ref="N26">IF(AND(
    SUMPRODUCT(
        (IM!$F$2:$F$2000=A26) *
        ISNUMBER(SEARCH("HUB", IM!$AC$2:$AC$2000)) *
        (IM!$X$2:$X$2000&gt;=$A$1) *
        (IM!$X$2:$X$2000&lt;=$B$1)*(W26="HUB")
    ) &gt; 0
), "HUB", "")</f>
        <v/>
      </c>
      <c r="O26" s="371" t="str">
        <f>IF(I26="","未到店",
IF(AND(S26&gt;I26, R26="STAR", NOT(AND(G26&lt;&gt;"萊到店 WebPOS", Q26&lt;&gt;"EDC"))), "完工已補裝",
IF(AND(G26&lt;&gt;"萊到店 WebPOS", Q26&lt;&gt;"EDC"), "EDC異常",
IF(AND(W26="HUB", N26=""), "HUB異常",
IF(OR(AND(Z26="STAR", R26="STAR"), AND(Z26&lt;&gt;"STAR", R26="")), "已完工", "STAR異常")
))))</f>
        <v>已完工</v>
      </c>
      <c r="P26" s="238" t="str">
        <f>(TEXT(I26,"yyyymmdd"))&amp;$S$2&amp;A26&amp;$S$2&amp;B26&amp;$Q$2</f>
        <v>20250407-4762-新莊巷口店(定保)</v>
      </c>
      <c r="Q26" s="357" t="str" cm="1">
        <f t="array" ref="Q26">IF(AND(SUMPRODUCT((IM!$F$2:$F$2000=A26)*(ISNUMBER(SEARCH("EDC", IM!$AC$2:$AC$2000))))&gt;0), "EDC", "")</f>
        <v>EDC</v>
      </c>
      <c r="R26" s="358" t="str" cm="1">
        <f t="array" ref="R26">IF(AND(SUMPRODUCT((IM!$F$2:$F$2000=A26)*(ISNUMBER(SEARCH("STAR", IM!$AC$2:$AC$2000))))&gt;0), "STAR", "")</f>
        <v/>
      </c>
      <c r="S26" s="359" t="str" cm="1">
        <f t="array" ref="S26">IFERROR(INDEX(IM!$X$2:$X$650, MATCH(1, (IM!$F$2:$F$650=A26) * (ISNUMBER(SEARCH($D$1, IM!$AC$2:$AC$650))), 0)), "")</f>
        <v/>
      </c>
      <c r="T26" s="355">
        <f>IF(AND(X26&lt;&gt;"", Y26&lt;&gt;""), 2, IF(OR(X26&lt;&gt;"", Y26&lt;&gt;""), 1, 0))</f>
        <v>0</v>
      </c>
      <c r="U26" s="355"/>
      <c r="V26" s="373">
        <f>IF(OR(R26="STAR", T26="", U26=""), T26,
"總數：" &amp; T26 &amp; CHAR(10) &amp;
"已維修：" &amp; U26 &amp; CHAR(10) &amp;
"未更換：" &amp; (T26 - U26))</f>
        <v>0</v>
      </c>
      <c r="W26" s="360" t="str">
        <f>IF(VLOOKUP(A26,'0919門市清單主檔'!B:E,4,FALSE)=0,"",VLOOKUP(A26,'0919門市清單主檔'!B:E,4,FALSE))</f>
        <v/>
      </c>
      <c r="Y26" s="5"/>
      <c r="Z26" s="5" t="str">
        <f>IF(T26&gt;0,"STAR","")</f>
        <v/>
      </c>
    </row>
    <row r="27" spans="1:26"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IF(I27&gt;0,(TEXT(I27,"yyyymmdd")&amp;$S$2&amp;A27&amp;$S$2&amp;B27&amp;$Q$2),"")</f>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69" t="str">
        <f>Q27&amp;IF(R27&lt;&gt;"",$P$2,"")&amp;R27</f>
        <v>EDC+STAR</v>
      </c>
      <c r="N27" s="339" t="str" cm="1">
        <f t="array" ref="N27">IF(AND(
    SUMPRODUCT(
        (IM!$F$2:$F$2000=A27) *
        ISNUMBER(SEARCH("HUB", IM!$AC$2:$AC$2000)) *
        (IM!$X$2:$X$2000&gt;=$A$1) *
        (IM!$X$2:$X$2000&lt;=$B$1)*(W27="HUB")
    ) &gt; 0
), "HUB", "")</f>
        <v/>
      </c>
      <c r="O27" s="371" t="str">
        <f>IF(I27="","未到店",
IF(AND(S27&gt;I27, R27="STAR", NOT(AND(G27&lt;&gt;"萊到店 WebPOS", Q27&lt;&gt;"EDC"))), "完工已補裝",
IF(AND(G27&lt;&gt;"萊到店 WebPOS", Q27&lt;&gt;"EDC"), "EDC異常",
IF(AND(W27="HUB", N27=""), "HUB異常",
IF(OR(AND(Z27="STAR", R27="STAR"), AND(Z27&lt;&gt;"STAR", R27="")), "已完工", "STAR異常")
))))</f>
        <v>已完工</v>
      </c>
      <c r="P27" s="238" t="str">
        <f>(TEXT(I27,"yyyymmdd"))&amp;$S$2&amp;A27&amp;$S$2&amp;B27&amp;$Q$2</f>
        <v>20250407-A171-淡水金龍店(定保)</v>
      </c>
      <c r="Q27" s="357" t="str" cm="1">
        <f t="array" ref="Q27">IF(AND(SUMPRODUCT((IM!$F$2:$F$2000=A27)*(ISNUMBER(SEARCH("EDC", IM!$AC$2:$AC$2000))))&gt;0), "EDC", "")</f>
        <v>EDC</v>
      </c>
      <c r="R27" s="358" t="str" cm="1">
        <f t="array" ref="R27">IF(AND(SUMPRODUCT((IM!$F$2:$F$2000=A27)*(ISNUMBER(SEARCH("STAR", IM!$AC$2:$AC$2000))))&gt;0), "STAR", "")</f>
        <v>STAR</v>
      </c>
      <c r="S27" s="359" cm="1">
        <f t="array" ref="S27">IFERROR(INDEX(IM!$X$2:$X$650, MATCH(1, (IM!$F$2:$F$650=A27) * (ISNUMBER(SEARCH($D$1, IM!$AC$2:$AC$650))), 0)), "")</f>
        <v>45754.672222222223</v>
      </c>
      <c r="T27" s="355">
        <f>IF(AND(X27&lt;&gt;"", Y27&lt;&gt;""), 2, IF(OR(X27&lt;&gt;"", Y27&lt;&gt;""), 1, 0))</f>
        <v>2</v>
      </c>
      <c r="U27" s="355"/>
      <c r="V27" s="373">
        <f>IF(OR(R27="STAR", T27="", U27=""), T27,
"總數：" &amp; T27 &amp; CHAR(10) &amp;
"已維修：" &amp; U27 &amp; CHAR(10) &amp;
"未更換：" &amp; (T27 - U27))</f>
        <v>2</v>
      </c>
      <c r="W27" s="360" t="str">
        <f>IF(VLOOKUP(A27,'0919門市清單主檔'!B:E,4,FALSE)=0,"",VLOOKUP(A27,'0919門市清單主檔'!B:E,4,FALSE))</f>
        <v/>
      </c>
      <c r="X27" s="3" t="s">
        <v>4149</v>
      </c>
      <c r="Y27" s="5" t="s">
        <v>4150</v>
      </c>
      <c r="Z27" s="5" t="str">
        <f>IF(T27&gt;0,"STAR","")</f>
        <v>STAR</v>
      </c>
    </row>
    <row r="28" spans="1:26"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IF(I28&gt;0,(TEXT(I28,"yyyymmdd")&amp;$S$2&amp;A28&amp;$S$2&amp;B28&amp;$Q$2),"")</f>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69" t="str">
        <f>Q28&amp;IF(R28&lt;&gt;"",$P$2,"")&amp;R28</f>
        <v>EDC+STAR</v>
      </c>
      <c r="N28" s="339" t="str" cm="1">
        <f t="array" ref="N28">IF(AND(
    SUMPRODUCT(
        (IM!$F$2:$F$2000=A28) *
        ISNUMBER(SEARCH("HUB", IM!$AC$2:$AC$2000)) *
        (IM!$X$2:$X$2000&gt;=$A$1) *
        (IM!$X$2:$X$2000&lt;=$B$1)*(W28="HUB")
    ) &gt; 0
), "HUB", "")</f>
        <v/>
      </c>
      <c r="O28" s="371" t="str">
        <f>IF(I28="","未到店",
IF(AND(S28&gt;I28, R28="STAR", NOT(AND(G28&lt;&gt;"萊到店 WebPOS", Q28&lt;&gt;"EDC"))), "完工已補裝",
IF(AND(G28&lt;&gt;"萊到店 WebPOS", Q28&lt;&gt;"EDC"), "EDC異常",
IF(AND(W28="HUB", N28=""), "HUB異常",
IF(OR(AND(Z28="STAR", R28="STAR"), AND(Z28&lt;&gt;"STAR", R28="")), "已完工", "STAR異常")
))))</f>
        <v>已完工</v>
      </c>
      <c r="P28" s="238" t="str">
        <f>(TEXT(I28,"yyyymmdd"))&amp;$S$2&amp;A28&amp;$S$2&amp;B28&amp;$Q$2</f>
        <v>20250408-4326-林口建安店(定保)</v>
      </c>
      <c r="Q28" s="357" t="str" cm="1">
        <f t="array" ref="Q28">IF(AND(SUMPRODUCT((IM!$F$2:$F$2000=A28)*(ISNUMBER(SEARCH("EDC", IM!$AC$2:$AC$2000))))&gt;0), "EDC", "")</f>
        <v>EDC</v>
      </c>
      <c r="R28" s="358" t="str" cm="1">
        <f t="array" ref="R28">IF(AND(SUMPRODUCT((IM!$F$2:$F$2000=A28)*(ISNUMBER(SEARCH("STAR", IM!$AC$2:$AC$2000))))&gt;0), "STAR", "")</f>
        <v>STAR</v>
      </c>
      <c r="S28" s="359" cm="1">
        <f t="array" ref="S28">IFERROR(INDEX(IM!$X$2:$X$650, MATCH(1, (IM!$F$2:$F$650=A28) * (ISNUMBER(SEARCH($D$1, IM!$AC$2:$AC$650))), 0)), "")</f>
        <v>45755.479166666664</v>
      </c>
      <c r="T28" s="355">
        <f>IF(AND(X28&lt;&gt;"", Y28&lt;&gt;""), 2, IF(OR(X28&lt;&gt;"", Y28&lt;&gt;""), 1, 0))</f>
        <v>2</v>
      </c>
      <c r="U28" s="355"/>
      <c r="V28" s="373">
        <f>IF(OR(R28="STAR", T28="", U28=""), T28,
"總數：" &amp; T28 &amp; CHAR(10) &amp;
"已維修：" &amp; U28 &amp; CHAR(10) &amp;
"未更換：" &amp; (T28 - U28))</f>
        <v>2</v>
      </c>
      <c r="W28" s="360" t="str">
        <f>IF(VLOOKUP(A28,'0919門市清單主檔'!B:E,4,FALSE)=0,"",VLOOKUP(A28,'0919門市清單主檔'!B:E,4,FALSE))</f>
        <v/>
      </c>
      <c r="X28" s="3" t="s">
        <v>4394</v>
      </c>
      <c r="Y28" s="5" t="s">
        <v>4395</v>
      </c>
      <c r="Z28" s="5" t="str">
        <f>IF(T28&gt;0,"STAR","")</f>
        <v>STAR</v>
      </c>
    </row>
    <row r="29" spans="1:26"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IF(I29&gt;0,(TEXT(I29,"yyyymmdd")&amp;$S$2&amp;A29&amp;$S$2&amp;B29&amp;$Q$2),"")</f>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69" t="str">
        <f>Q29&amp;IF(R29&lt;&gt;"",$P$2,"")&amp;R29</f>
        <v>EDC+STAR</v>
      </c>
      <c r="N29" s="339" t="str" cm="1">
        <f t="array" ref="N29">IF(AND(
    SUMPRODUCT(
        (IM!$F$2:$F$2000=A29) *
        ISNUMBER(SEARCH("HUB", IM!$AC$2:$AC$2000)) *
        (IM!$X$2:$X$2000&gt;=$A$1) *
        (IM!$X$2:$X$2000&lt;=$B$1)*(W29="HUB")
    ) &gt; 0
), "HUB", "")</f>
        <v/>
      </c>
      <c r="O29" s="371" t="str">
        <f>IF(I29="","未到店",
IF(AND(S29&gt;I29, R29="STAR", NOT(AND(G29&lt;&gt;"萊到店 WebPOS", Q29&lt;&gt;"EDC"))), "完工已補裝",
IF(AND(G29&lt;&gt;"萊到店 WebPOS", Q29&lt;&gt;"EDC"), "EDC異常",
IF(AND(W29="HUB", N29=""), "HUB異常",
IF(OR(AND(Z29="STAR", R29="STAR"), AND(Z29&lt;&gt;"STAR", R29="")), "已完工", "STAR異常")
))))</f>
        <v>已完工</v>
      </c>
      <c r="P29" s="238" t="str">
        <f>(TEXT(I29,"yyyymmdd"))&amp;$S$2&amp;A29&amp;$S$2&amp;B29&amp;$Q$2</f>
        <v>20250408-2759-三重仁化店(定保)</v>
      </c>
      <c r="Q29" s="357" t="str" cm="1">
        <f t="array" ref="Q29">IF(AND(SUMPRODUCT((IM!$F$2:$F$2000=A29)*(ISNUMBER(SEARCH("EDC", IM!$AC$2:$AC$2000))))&gt;0), "EDC", "")</f>
        <v>EDC</v>
      </c>
      <c r="R29" s="358" t="str" cm="1">
        <f t="array" ref="R29">IF(AND(SUMPRODUCT((IM!$F$2:$F$2000=A29)*(ISNUMBER(SEARCH("STAR", IM!$AC$2:$AC$2000))))&gt;0), "STAR", "")</f>
        <v>STAR</v>
      </c>
      <c r="S29" s="359" cm="1">
        <f t="array" ref="S29">IFERROR(INDEX(IM!$X$2:$X$650, MATCH(1, (IM!$F$2:$F$650=A29) * (ISNUMBER(SEARCH($D$1, IM!$AC$2:$AC$650))), 0)), "")</f>
        <v>45755.508333333331</v>
      </c>
      <c r="T29" s="355">
        <f>IF(AND(X29&lt;&gt;"", Y29&lt;&gt;""), 2, IF(OR(X29&lt;&gt;"", Y29&lt;&gt;""), 1, 0))</f>
        <v>2</v>
      </c>
      <c r="U29" s="355"/>
      <c r="V29" s="373">
        <f>IF(OR(R29="STAR", T29="", U29=""), T29,
"總數：" &amp; T29 &amp; CHAR(10) &amp;
"已維修：" &amp; U29 &amp; CHAR(10) &amp;
"未更換：" &amp; (T29 - U29))</f>
        <v>2</v>
      </c>
      <c r="W29" s="360" t="str">
        <f>IF(VLOOKUP(A29,'0919門市清單主檔'!B:E,4,FALSE)=0,"",VLOOKUP(A29,'0919門市清單主檔'!B:E,4,FALSE))</f>
        <v/>
      </c>
      <c r="X29" s="3" t="s">
        <v>4181</v>
      </c>
      <c r="Y29" s="5" t="s">
        <v>4182</v>
      </c>
      <c r="Z29" s="5" t="str">
        <f>IF(T29&gt;0,"STAR","")</f>
        <v>STAR</v>
      </c>
    </row>
    <row r="30" spans="1:26"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IF(I30&gt;0,(TEXT(I30,"yyyymmdd")&amp;$S$2&amp;A30&amp;$S$2&amp;B30&amp;$Q$2),"")</f>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69" t="str">
        <f>Q30&amp;IF(R30&lt;&gt;"",$P$2,"")&amp;R30</f>
        <v>EDC+STAR</v>
      </c>
      <c r="N30" s="339" t="str" cm="1">
        <f t="array" ref="N30">IF(AND(
    SUMPRODUCT(
        (IM!$F$2:$F$2000=A30) *
        ISNUMBER(SEARCH("HUB", IM!$AC$2:$AC$2000)) *
        (IM!$X$2:$X$2000&gt;=$A$1) *
        (IM!$X$2:$X$2000&lt;=$B$1)*(W30="HUB")
    ) &gt; 0
), "HUB", "")</f>
        <v/>
      </c>
      <c r="O30" s="371" t="str">
        <f>IF(I30="","未到店",
IF(AND(S30&gt;I30, R30="STAR", NOT(AND(G30&lt;&gt;"萊到店 WebPOS", Q30&lt;&gt;"EDC"))), "完工已補裝",
IF(AND(G30&lt;&gt;"萊到店 WebPOS", Q30&lt;&gt;"EDC"), "EDC異常",
IF(AND(W30="HUB", N30=""), "HUB異常",
IF(OR(AND(Z30="STAR", R30="STAR"), AND(Z30&lt;&gt;"STAR", R30="")), "已完工", "STAR異常")
))))</f>
        <v>已完工</v>
      </c>
      <c r="P30" s="238" t="str">
        <f>(TEXT(I30,"yyyymmdd"))&amp;$S$2&amp;A30&amp;$S$2&amp;B30&amp;$Q$2</f>
        <v>20250408-2422-北縣板億店(定保)</v>
      </c>
      <c r="Q30" s="357" t="str" cm="1">
        <f t="array" ref="Q30">IF(AND(SUMPRODUCT((IM!$F$2:$F$2000=A30)*(ISNUMBER(SEARCH("EDC", IM!$AC$2:$AC$2000))))&gt;0), "EDC", "")</f>
        <v>EDC</v>
      </c>
      <c r="R30" s="358" t="str" cm="1">
        <f t="array" ref="R30">IF(AND(SUMPRODUCT((IM!$F$2:$F$2000=A30)*(ISNUMBER(SEARCH("STAR", IM!$AC$2:$AC$2000))))&gt;0), "STAR", "")</f>
        <v>STAR</v>
      </c>
      <c r="S30" s="359" cm="1">
        <f t="array" ref="S30">IFERROR(INDEX(IM!$X$2:$X$650, MATCH(1, (IM!$F$2:$F$650=A30) * (ISNUMBER(SEARCH($D$1, IM!$AC$2:$AC$650))), 0)), "")</f>
        <v>45755.538194444445</v>
      </c>
      <c r="T30" s="355">
        <f>IF(AND(X30&lt;&gt;"", Y30&lt;&gt;""), 2, IF(OR(X30&lt;&gt;"", Y30&lt;&gt;""), 1, 0))</f>
        <v>2</v>
      </c>
      <c r="U30" s="355"/>
      <c r="V30" s="373">
        <f>IF(OR(R30="STAR", T30="", U30=""), T30,
"總數：" &amp; T30 &amp; CHAR(10) &amp;
"已維修：" &amp; U30 &amp; CHAR(10) &amp;
"未更換：" &amp; (T30 - U30))</f>
        <v>2</v>
      </c>
      <c r="W30" s="360" t="str">
        <f>IF(VLOOKUP(A30,'0919門市清單主檔'!B:E,4,FALSE)=0,"",VLOOKUP(A30,'0919門市清單主檔'!B:E,4,FALSE))</f>
        <v/>
      </c>
      <c r="X30" s="3" t="s">
        <v>4382</v>
      </c>
      <c r="Y30" s="5" t="s">
        <v>4383</v>
      </c>
      <c r="Z30" s="5" t="str">
        <f>IF(T30&gt;0,"STAR","")</f>
        <v>STAR</v>
      </c>
    </row>
    <row r="31" spans="1:26"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IF(I31&gt;0,(TEXT(I31,"yyyymmdd")&amp;$S$2&amp;A31&amp;$S$2&amp;B31&amp;$Q$2),"")</f>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69" t="str">
        <f>Q31&amp;IF(R31&lt;&gt;"",$P$2,"")&amp;R31</f>
        <v>EDC</v>
      </c>
      <c r="N31" s="339" t="str" cm="1">
        <f t="array" ref="N31">IF(AND(
    SUMPRODUCT(
        (IM!$F$2:$F$2000=A31) *
        ISNUMBER(SEARCH("HUB", IM!$AC$2:$AC$2000)) *
        (IM!$X$2:$X$2000&gt;=$A$1) *
        (IM!$X$2:$X$2000&lt;=$B$1)*(W31="HUB")
    ) &gt; 0
), "HUB", "")</f>
        <v/>
      </c>
      <c r="O31" s="371" t="str">
        <f>IF(I31="","未到店",
IF(AND(S31&gt;I31, R31="STAR", NOT(AND(G31&lt;&gt;"萊到店 WebPOS", Q31&lt;&gt;"EDC"))), "完工已補裝",
IF(AND(G31&lt;&gt;"萊到店 WebPOS", Q31&lt;&gt;"EDC"), "EDC異常",
IF(AND(W31="HUB", N31=""), "HUB異常",
IF(OR(AND(Z31="STAR", R31="STAR"), AND(Z31&lt;&gt;"STAR", R31="")), "已完工", "STAR異常")
))))</f>
        <v>已完工</v>
      </c>
      <c r="P31" s="238" t="str">
        <f>(TEXT(I31,"yyyymmdd"))&amp;$S$2&amp;A31&amp;$S$2&amp;B31&amp;$Q$2</f>
        <v>20250408-4282-林口建林店(定保)</v>
      </c>
      <c r="Q31" s="357" t="str" cm="1">
        <f t="array" ref="Q31">IF(AND(SUMPRODUCT((IM!$F$2:$F$2000=A31)*(ISNUMBER(SEARCH("EDC", IM!$AC$2:$AC$2000))))&gt;0), "EDC", "")</f>
        <v>EDC</v>
      </c>
      <c r="R31" s="358" t="str" cm="1">
        <f t="array" ref="R31">IF(AND(SUMPRODUCT((IM!$F$2:$F$2000=A31)*(ISNUMBER(SEARCH("STAR", IM!$AC$2:$AC$2000))))&gt;0), "STAR", "")</f>
        <v/>
      </c>
      <c r="S31" s="359" t="str" cm="1">
        <f t="array" ref="S31">IFERROR(INDEX(IM!$X$2:$X$650, MATCH(1, (IM!$F$2:$F$650=A31) * (ISNUMBER(SEARCH($D$1, IM!$AC$2:$AC$650))), 0)), "")</f>
        <v/>
      </c>
      <c r="T31" s="355">
        <f>IF(AND(X31&lt;&gt;"", Y31&lt;&gt;""), 2, IF(OR(X31&lt;&gt;"", Y31&lt;&gt;""), 1, 0))</f>
        <v>0</v>
      </c>
      <c r="U31" s="355"/>
      <c r="V31" s="373">
        <f>IF(OR(R31="STAR", T31="", U31=""), T31,
"總數：" &amp; T31 &amp; CHAR(10) &amp;
"已維修：" &amp; U31 &amp; CHAR(10) &amp;
"未更換：" &amp; (T31 - U31))</f>
        <v>0</v>
      </c>
      <c r="W31" s="360" t="str">
        <f>IF(VLOOKUP(A31,'0919門市清單主檔'!B:E,4,FALSE)=0,"",VLOOKUP(A31,'0919門市清單主檔'!B:E,4,FALSE))</f>
        <v/>
      </c>
      <c r="Y31" s="5"/>
      <c r="Z31" s="5" t="str">
        <f>IF(T31&gt;0,"STAR","")</f>
        <v/>
      </c>
    </row>
    <row r="32" spans="1:26"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IF(I32&gt;0,(TEXT(I32,"yyyymmdd")&amp;$S$2&amp;A32&amp;$S$2&amp;B32&amp;$Q$2),"")</f>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69" t="str">
        <f>Q32&amp;IF(R32&lt;&gt;"",$P$2,"")&amp;R32</f>
        <v>EDC+STAR</v>
      </c>
      <c r="N32" s="339" t="str" cm="1">
        <f t="array" ref="N32">IF(AND(
    SUMPRODUCT(
        (IM!$F$2:$F$2000=A32) *
        ISNUMBER(SEARCH("HUB", IM!$AC$2:$AC$2000)) *
        (IM!$X$2:$X$2000&gt;=$A$1) *
        (IM!$X$2:$X$2000&lt;=$B$1)*(W32="HUB")
    ) &gt; 0
), "HUB", "")</f>
        <v/>
      </c>
      <c r="O32" s="371" t="str">
        <f>IF(I32="","未到店",
IF(AND(S32&gt;I32, R32="STAR", NOT(AND(G32&lt;&gt;"萊到店 WebPOS", Q32&lt;&gt;"EDC"))), "完工已補裝",
IF(AND(G32&lt;&gt;"萊到店 WebPOS", Q32&lt;&gt;"EDC"), "EDC異常",
IF(AND(W32="HUB", N32=""), "HUB異常",
IF(OR(AND(Z32="STAR", R32="STAR"), AND(Z32&lt;&gt;"STAR", R32="")), "已完工", "STAR異常")
))))</f>
        <v>已完工</v>
      </c>
      <c r="P32" s="238" t="str">
        <f>(TEXT(I32,"yyyymmdd"))&amp;$S$2&amp;A32&amp;$S$2&amp;B32&amp;$Q$2</f>
        <v>20250408-4134-三重大同南(定保)</v>
      </c>
      <c r="Q32" s="357" t="str" cm="1">
        <f t="array" ref="Q32">IF(AND(SUMPRODUCT((IM!$F$2:$F$2000=A32)*(ISNUMBER(SEARCH("EDC", IM!$AC$2:$AC$2000))))&gt;0), "EDC", "")</f>
        <v>EDC</v>
      </c>
      <c r="R32" s="358" t="str" cm="1">
        <f t="array" ref="R32">IF(AND(SUMPRODUCT((IM!$F$2:$F$2000=A32)*(ISNUMBER(SEARCH("STAR", IM!$AC$2:$AC$2000))))&gt;0), "STAR", "")</f>
        <v>STAR</v>
      </c>
      <c r="S32" s="359" cm="1">
        <f t="array" ref="S32">IFERROR(INDEX(IM!$X$2:$X$650, MATCH(1, (IM!$F$2:$F$650=A32) * (ISNUMBER(SEARCH($D$1, IM!$AC$2:$AC$650))), 0)), "")</f>
        <v>45755.572916666664</v>
      </c>
      <c r="T32" s="355">
        <f>IF(AND(X32&lt;&gt;"", Y32&lt;&gt;""), 2, IF(OR(X32&lt;&gt;"", Y32&lt;&gt;""), 1, 0))</f>
        <v>2</v>
      </c>
      <c r="U32" s="355"/>
      <c r="V32" s="373">
        <f>IF(OR(R32="STAR", T32="", U32=""), T32,
"總數：" &amp; T32 &amp; CHAR(10) &amp;
"已維修：" &amp; U32 &amp; CHAR(10) &amp;
"未更換：" &amp; (T32 - U32))</f>
        <v>2</v>
      </c>
      <c r="W32" s="360" t="str">
        <f>IF(VLOOKUP(A32,'0919門市清單主檔'!B:E,4,FALSE)=0,"",VLOOKUP(A32,'0919門市清單主檔'!B:E,4,FALSE))</f>
        <v/>
      </c>
      <c r="X32" s="3" t="s">
        <v>4179</v>
      </c>
      <c r="Y32" s="5" t="s">
        <v>4180</v>
      </c>
      <c r="Z32" s="5" t="str">
        <f>IF(T32&gt;0,"STAR","")</f>
        <v>STAR</v>
      </c>
    </row>
    <row r="33" spans="1:26"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IF(I33&gt;0,(TEXT(I33,"yyyymmdd")&amp;$S$2&amp;A33&amp;$S$2&amp;B33&amp;$Q$2),"")</f>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69" t="str">
        <f>Q33&amp;IF(R33&lt;&gt;"",$P$2,"")&amp;R33</f>
        <v>EDC+STAR</v>
      </c>
      <c r="N33" s="339" t="str" cm="1">
        <f t="array" ref="N33">IF(AND(
    SUMPRODUCT(
        (IM!$F$2:$F$2000=A33) *
        ISNUMBER(SEARCH("HUB", IM!$AC$2:$AC$2000)) *
        (IM!$X$2:$X$2000&gt;=$A$1) *
        (IM!$X$2:$X$2000&lt;=$B$1)*(W33="HUB")
    ) &gt; 0
), "HUB", "")</f>
        <v/>
      </c>
      <c r="O33" s="371" t="str">
        <f>IF(I33="","未到店",
IF(AND(S33&gt;I33, R33="STAR", NOT(AND(G33&lt;&gt;"萊到店 WebPOS", Q33&lt;&gt;"EDC"))), "完工已補裝",
IF(AND(G33&lt;&gt;"萊到店 WebPOS", Q33&lt;&gt;"EDC"), "EDC異常",
IF(AND(W33="HUB", N33=""), "HUB異常",
IF(OR(AND(Z33="STAR", R33="STAR"), AND(Z33&lt;&gt;"STAR", R33="")), "已完工", "STAR異常")
))))</f>
        <v>已完工</v>
      </c>
      <c r="P33" s="238" t="str">
        <f>(TEXT(I33,"yyyymmdd"))&amp;$S$2&amp;A33&amp;$S$2&amp;B33&amp;$Q$2</f>
        <v>20250408-2259-三重興華店(定保)</v>
      </c>
      <c r="Q33" s="357" t="str" cm="1">
        <f t="array" ref="Q33">IF(AND(SUMPRODUCT((IM!$F$2:$F$2000=A33)*(ISNUMBER(SEARCH("EDC", IM!$AC$2:$AC$2000))))&gt;0), "EDC", "")</f>
        <v>EDC</v>
      </c>
      <c r="R33" s="358" t="str" cm="1">
        <f t="array" ref="R33">IF(AND(SUMPRODUCT((IM!$F$2:$F$2000=A33)*(ISNUMBER(SEARCH("STAR", IM!$AC$2:$AC$2000))))&gt;0), "STAR", "")</f>
        <v>STAR</v>
      </c>
      <c r="S33" s="359" cm="1">
        <f t="array" ref="S33">IFERROR(INDEX(IM!$X$2:$X$650, MATCH(1, (IM!$F$2:$F$650=A33) * (ISNUMBER(SEARCH($D$1, IM!$AC$2:$AC$650))), 0)), "")</f>
        <v>45755.693749999999</v>
      </c>
      <c r="T33" s="355">
        <f>IF(AND(X33&lt;&gt;"", Y33&lt;&gt;""), 2, IF(OR(X33&lt;&gt;"", Y33&lt;&gt;""), 1, 0))</f>
        <v>2</v>
      </c>
      <c r="U33" s="355"/>
      <c r="V33" s="373">
        <f>IF(OR(R33="STAR", T33="", U33=""), T33,
"總數：" &amp; T33 &amp; CHAR(10) &amp;
"已維修：" &amp; U33 &amp; CHAR(10) &amp;
"未更換：" &amp; (T33 - U33))</f>
        <v>2</v>
      </c>
      <c r="W33" s="360" t="str">
        <f>IF(VLOOKUP(A33,'0919門市清單主檔'!B:E,4,FALSE)=0,"",VLOOKUP(A33,'0919門市清單主檔'!B:E,4,FALSE))</f>
        <v/>
      </c>
      <c r="X33" s="3" t="s">
        <v>4145</v>
      </c>
      <c r="Y33" s="5" t="s">
        <v>4146</v>
      </c>
      <c r="Z33" s="5" t="str">
        <f>IF(T33&gt;0,"STAR","")</f>
        <v>STAR</v>
      </c>
    </row>
    <row r="34" spans="1:26"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IF(I34&gt;0,(TEXT(I34,"yyyymmdd")&amp;$S$2&amp;A34&amp;$S$2&amp;B34&amp;$Q$2),"")</f>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69" t="str">
        <f>Q34&amp;IF(R34&lt;&gt;"",$P$2,"")&amp;R34</f>
        <v>EDC+STAR</v>
      </c>
      <c r="N34" s="339" t="str" cm="1">
        <f t="array" ref="N34">IF(AND(
    SUMPRODUCT(
        (IM!$F$2:$F$2000=A34) *
        ISNUMBER(SEARCH("HUB", IM!$AC$2:$AC$2000)) *
        (IM!$X$2:$X$2000&gt;=$A$1) *
        (IM!$X$2:$X$2000&lt;=$B$1)*(W34="HUB")
    ) &gt; 0
), "HUB", "")</f>
        <v/>
      </c>
      <c r="O34" s="371" t="str">
        <f>IF(I34="","未到店",
IF(AND(S34&gt;I34, R34="STAR", NOT(AND(G34&lt;&gt;"萊到店 WebPOS", Q34&lt;&gt;"EDC"))), "完工已補裝",
IF(AND(G34&lt;&gt;"萊到店 WebPOS", Q34&lt;&gt;"EDC"), "EDC異常",
IF(AND(W34="HUB", N34=""), "HUB異常",
IF(OR(AND(Z34="STAR", R34="STAR"), AND(Z34&lt;&gt;"STAR", R34="")), "已完工", "STAR異常")
))))</f>
        <v>已完工</v>
      </c>
      <c r="P34" s="238" t="str">
        <f>(TEXT(I34,"yyyymmdd"))&amp;$S$2&amp;A34&amp;$S$2&amp;B34&amp;$Q$2</f>
        <v>20250408-2837-北縣重萬店(定保)</v>
      </c>
      <c r="Q34" s="357" t="str" cm="1">
        <f t="array" ref="Q34">IF(AND(SUMPRODUCT((IM!$F$2:$F$2000=A34)*(ISNUMBER(SEARCH("EDC", IM!$AC$2:$AC$2000))))&gt;0), "EDC", "")</f>
        <v>EDC</v>
      </c>
      <c r="R34" s="358" t="str" cm="1">
        <f t="array" ref="R34">IF(AND(SUMPRODUCT((IM!$F$2:$F$2000=A34)*(ISNUMBER(SEARCH("STAR", IM!$AC$2:$AC$2000))))&gt;0), "STAR", "")</f>
        <v>STAR</v>
      </c>
      <c r="S34" s="359" cm="1">
        <f t="array" ref="S34">IFERROR(INDEX(IM!$X$2:$X$650, MATCH(1, (IM!$F$2:$F$650=A34) * (ISNUMBER(SEARCH($D$1, IM!$AC$2:$AC$650))), 0)), "")</f>
        <v>45755.740277777775</v>
      </c>
      <c r="T34" s="355">
        <f>IF(AND(X34&lt;&gt;"", Y34&lt;&gt;""), 2, IF(OR(X34&lt;&gt;"", Y34&lt;&gt;""), 1, 0))</f>
        <v>2</v>
      </c>
      <c r="U34" s="355"/>
      <c r="V34" s="373">
        <f>IF(OR(R34="STAR", T34="", U34=""), T34,
"總數：" &amp; T34 &amp; CHAR(10) &amp;
"已維修：" &amp; U34 &amp; CHAR(10) &amp;
"未更換：" &amp; (T34 - U34))</f>
        <v>2</v>
      </c>
      <c r="W34" s="360" t="str">
        <f>IF(VLOOKUP(A34,'0919門市清單主檔'!B:E,4,FALSE)=0,"",VLOOKUP(A34,'0919門市清單主檔'!B:E,4,FALSE))</f>
        <v/>
      </c>
      <c r="X34" s="3" t="s">
        <v>4147</v>
      </c>
      <c r="Y34" s="5" t="s">
        <v>4148</v>
      </c>
      <c r="Z34" s="5" t="str">
        <f>IF(T34&gt;0,"STAR","")</f>
        <v>STAR</v>
      </c>
    </row>
    <row r="35" spans="1:26"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IF(I35&gt;0,(TEXT(I35,"yyyymmdd")&amp;$S$2&amp;A35&amp;$S$2&amp;B35&amp;$Q$2),"")</f>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69" t="str">
        <f>Q35&amp;IF(R35&lt;&gt;"",$P$2,"")&amp;R35</f>
        <v>EDC+STAR</v>
      </c>
      <c r="N35" s="339" t="str" cm="1">
        <f t="array" ref="N35">IF(AND(
    SUMPRODUCT(
        (IM!$F$2:$F$2000=A35) *
        ISNUMBER(SEARCH("HUB", IM!$AC$2:$AC$2000)) *
        (IM!$X$2:$X$2000&gt;=$A$1) *
        (IM!$X$2:$X$2000&lt;=$B$1)*(W35="HUB")
    ) &gt; 0
), "HUB", "")</f>
        <v/>
      </c>
      <c r="O35" s="371" t="str">
        <f>IF(I35="","未到店",
IF(AND(S35&gt;I35, R35="STAR", NOT(AND(G35&lt;&gt;"萊到店 WebPOS", Q35&lt;&gt;"EDC"))), "完工已補裝",
IF(AND(G35&lt;&gt;"萊到店 WebPOS", Q35&lt;&gt;"EDC"), "EDC異常",
IF(AND(W35="HUB", N35=""), "HUB異常",
IF(OR(AND(Z35="STAR", R35="STAR"), AND(Z35&lt;&gt;"STAR", R35="")), "已完工", "STAR異常")
))))</f>
        <v>已完工</v>
      </c>
      <c r="P35" s="238" t="str">
        <f>(TEXT(I35,"yyyymmdd"))&amp;$S$2&amp;A35&amp;$S$2&amp;B35&amp;$Q$2</f>
        <v>20250409-2362-新莊化成店(定保)</v>
      </c>
      <c r="Q35" s="357" t="str" cm="1">
        <f t="array" ref="Q35">IF(AND(SUMPRODUCT((IM!$F$2:$F$2000=A35)*(ISNUMBER(SEARCH("EDC", IM!$AC$2:$AC$2000))))&gt;0), "EDC", "")</f>
        <v>EDC</v>
      </c>
      <c r="R35" s="358" t="str" cm="1">
        <f t="array" ref="R35">IF(AND(SUMPRODUCT((IM!$F$2:$F$2000=A35)*(ISNUMBER(SEARCH("STAR", IM!$AC$2:$AC$2000))))&gt;0), "STAR", "")</f>
        <v>STAR</v>
      </c>
      <c r="S35" s="359" cm="1">
        <f t="array" ref="S35">IFERROR(INDEX(IM!$X$2:$X$650, MATCH(1, (IM!$F$2:$F$650=A35) * (ISNUMBER(SEARCH($D$1, IM!$AC$2:$AC$650))), 0)), "")</f>
        <v>45756.451388888891</v>
      </c>
      <c r="T35" s="355">
        <f>IF(AND(X35&lt;&gt;"", Y35&lt;&gt;""), 2, IF(OR(X35&lt;&gt;"", Y35&lt;&gt;""), 1, 0))</f>
        <v>2</v>
      </c>
      <c r="U35" s="355"/>
      <c r="V35" s="373">
        <f>IF(OR(R35="STAR", T35="", U35=""), T35,
"總數：" &amp; T35 &amp; CHAR(10) &amp;
"已維修：" &amp; U35 &amp; CHAR(10) &amp;
"未更換：" &amp; (T35 - U35))</f>
        <v>2</v>
      </c>
      <c r="W35" s="360" t="str">
        <f>IF(VLOOKUP(A35,'0919門市清單主檔'!B:E,4,FALSE)=0,"",VLOOKUP(A35,'0919門市清單主檔'!B:E,4,FALSE))</f>
        <v/>
      </c>
      <c r="X35" s="3" t="s">
        <v>4414</v>
      </c>
      <c r="Y35" s="5" t="s">
        <v>4415</v>
      </c>
      <c r="Z35" s="5" t="str">
        <f>IF(T35&gt;0,"STAR","")</f>
        <v>STAR</v>
      </c>
    </row>
    <row r="36" spans="1:26"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IF(I36&gt;0,(TEXT(I36,"yyyymmdd")&amp;$S$2&amp;A36&amp;$S$2&amp;B36&amp;$Q$2),"")</f>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69" t="str">
        <f>Q36&amp;IF(R36&lt;&gt;"",$P$2,"")&amp;R36</f>
        <v>EDC+STAR</v>
      </c>
      <c r="N36" s="339" t="str" cm="1">
        <f t="array" ref="N36">IF(AND(
    SUMPRODUCT(
        (IM!$F$2:$F$2000=A36) *
        ISNUMBER(SEARCH("HUB", IM!$AC$2:$AC$2000)) *
        (IM!$X$2:$X$2000&gt;=$A$1) *
        (IM!$X$2:$X$2000&lt;=$B$1)*(W36="HUB")
    ) &gt; 0
), "HUB", "")</f>
        <v/>
      </c>
      <c r="O36" s="371" t="str">
        <f>IF(I36="","未到店",
IF(AND(S36&gt;I36, R36="STAR", NOT(AND(G36&lt;&gt;"萊到店 WebPOS", Q36&lt;&gt;"EDC"))), "完工已補裝",
IF(AND(G36&lt;&gt;"萊到店 WebPOS", Q36&lt;&gt;"EDC"), "EDC異常",
IF(AND(W36="HUB", N36=""), "HUB異常",
IF(OR(AND(Z36="STAR", R36="STAR"), AND(Z36&lt;&gt;"STAR", R36="")), "已完工", "STAR異常")
))))</f>
        <v>已完工</v>
      </c>
      <c r="P36" s="238" t="str">
        <f>(TEXT(I36,"yyyymmdd"))&amp;$S$2&amp;A36&amp;$S$2&amp;B36&amp;$Q$2</f>
        <v>20250409-3741-三重重新三(定保)</v>
      </c>
      <c r="Q36" s="357" t="str" cm="1">
        <f t="array" ref="Q36">IF(AND(SUMPRODUCT((IM!$F$2:$F$2000=A36)*(ISNUMBER(SEARCH("EDC", IM!$AC$2:$AC$2000))))&gt;0), "EDC", "")</f>
        <v>EDC</v>
      </c>
      <c r="R36" s="358" t="str" cm="1">
        <f t="array" ref="R36">IF(AND(SUMPRODUCT((IM!$F$2:$F$2000=A36)*(ISNUMBER(SEARCH("STAR", IM!$AC$2:$AC$2000))))&gt;0), "STAR", "")</f>
        <v>STAR</v>
      </c>
      <c r="S36" s="359" cm="1">
        <f t="array" ref="S36">IFERROR(INDEX(IM!$X$2:$X$650, MATCH(1, (IM!$F$2:$F$650=A36) * (ISNUMBER(SEARCH($D$1, IM!$AC$2:$AC$650))), 0)), "")</f>
        <v>45756.497916666667</v>
      </c>
      <c r="T36" s="355">
        <f>IF(AND(X36&lt;&gt;"", Y36&lt;&gt;""), 2, IF(OR(X36&lt;&gt;"", Y36&lt;&gt;""), 1, 0))</f>
        <v>2</v>
      </c>
      <c r="U36" s="355"/>
      <c r="V36" s="373">
        <f>IF(OR(R36="STAR", T36="", U36=""), T36,
"總數：" &amp; T36 &amp; CHAR(10) &amp;
"已維修：" &amp; U36 &amp; CHAR(10) &amp;
"未更換：" &amp; (T36 - U36))</f>
        <v>2</v>
      </c>
      <c r="W36" s="360" t="str">
        <f>IF(VLOOKUP(A36,'0919門市清單主檔'!B:E,4,FALSE)=0,"",VLOOKUP(A36,'0919門市清單主檔'!B:E,4,FALSE))</f>
        <v/>
      </c>
      <c r="X36" s="3" t="s">
        <v>4279</v>
      </c>
      <c r="Y36" s="5" t="s">
        <v>4280</v>
      </c>
      <c r="Z36" s="5" t="str">
        <f>IF(T36&gt;0,"STAR","")</f>
        <v>STAR</v>
      </c>
    </row>
    <row r="37" spans="1:26"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IF(I37&gt;0,(TEXT(I37,"yyyymmdd")&amp;$S$2&amp;A37&amp;$S$2&amp;B37&amp;$Q$2),"")</f>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69" t="str">
        <f>Q37&amp;IF(R37&lt;&gt;"",$P$2,"")&amp;R37</f>
        <v>EDC+STAR</v>
      </c>
      <c r="N37" s="339" t="str" cm="1">
        <f t="array" ref="N37">IF(AND(
    SUMPRODUCT(
        (IM!$F$2:$F$2000=A37) *
        ISNUMBER(SEARCH("HUB", IM!$AC$2:$AC$2000)) *
        (IM!$X$2:$X$2000&gt;=$A$1) *
        (IM!$X$2:$X$2000&lt;=$B$1)*(W37="HUB")
    ) &gt; 0
), "HUB", "")</f>
        <v/>
      </c>
      <c r="O37" s="371" t="str">
        <f>IF(I37="","未到店",
IF(AND(S37&gt;I37, R37="STAR", NOT(AND(G37&lt;&gt;"萊到店 WebPOS", Q37&lt;&gt;"EDC"))), "完工已補裝",
IF(AND(G37&lt;&gt;"萊到店 WebPOS", Q37&lt;&gt;"EDC"), "EDC異常",
IF(AND(W37="HUB", N37=""), "HUB異常",
IF(OR(AND(Z37="STAR", R37="STAR"), AND(Z37&lt;&gt;"STAR", R37="")), "已完工", "STAR異常")
))))</f>
        <v>已完工</v>
      </c>
      <c r="P37" s="238" t="str">
        <f>(TEXT(I37,"yyyymmdd"))&amp;$S$2&amp;A37&amp;$S$2&amp;B37&amp;$Q$2</f>
        <v>20250409-2302-北縣重安店(定保)</v>
      </c>
      <c r="Q37" s="357" t="str" cm="1">
        <f t="array" ref="Q37">IF(AND(SUMPRODUCT((IM!$F$2:$F$2000=A37)*(ISNUMBER(SEARCH("EDC", IM!$AC$2:$AC$2000))))&gt;0), "EDC", "")</f>
        <v>EDC</v>
      </c>
      <c r="R37" s="358" t="str" cm="1">
        <f t="array" ref="R37">IF(AND(SUMPRODUCT((IM!$F$2:$F$2000=A37)*(ISNUMBER(SEARCH("STAR", IM!$AC$2:$AC$2000))))&gt;0), "STAR", "")</f>
        <v>STAR</v>
      </c>
      <c r="S37" s="359" cm="1">
        <f t="array" ref="S37">IFERROR(INDEX(IM!$X$2:$X$650, MATCH(1, (IM!$F$2:$F$650=A37) * (ISNUMBER(SEARCH($D$1, IM!$AC$2:$AC$650))), 0)), "")</f>
        <v>45756.560416666667</v>
      </c>
      <c r="T37" s="355">
        <f>IF(AND(X37&lt;&gt;"", Y37&lt;&gt;""), 2, IF(OR(X37&lt;&gt;"", Y37&lt;&gt;""), 1, 0))</f>
        <v>2</v>
      </c>
      <c r="U37" s="355"/>
      <c r="V37" s="373">
        <f>IF(OR(R37="STAR", T37="", U37=""), T37,
"總數：" &amp; T37 &amp; CHAR(10) &amp;
"已維修：" &amp; U37 &amp; CHAR(10) &amp;
"未更換：" &amp; (T37 - U37))</f>
        <v>2</v>
      </c>
      <c r="W37" s="360" t="str">
        <f>IF(VLOOKUP(A37,'0919門市清單主檔'!B:E,4,FALSE)=0,"",VLOOKUP(A37,'0919門市清單主檔'!B:E,4,FALSE))</f>
        <v/>
      </c>
      <c r="X37" s="3" t="s">
        <v>4303</v>
      </c>
      <c r="Y37" s="5" t="s">
        <v>4304</v>
      </c>
      <c r="Z37" s="5" t="str">
        <f>IF(T37&gt;0,"STAR","")</f>
        <v>STAR</v>
      </c>
    </row>
    <row r="38" spans="1:26"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IF(I38&gt;0,(TEXT(I38,"yyyymmdd")&amp;$S$2&amp;A38&amp;$S$2&amp;B38&amp;$Q$2),"")</f>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69" t="str">
        <f>Q38&amp;IF(R38&lt;&gt;"",$P$2,"")&amp;R38</f>
        <v>EDC</v>
      </c>
      <c r="N38" s="339" t="str" cm="1">
        <f t="array" ref="N38">IF(AND(
    SUMPRODUCT(
        (IM!$F$2:$F$2000=A38) *
        ISNUMBER(SEARCH("HUB", IM!$AC$2:$AC$2000)) *
        (IM!$X$2:$X$2000&gt;=$A$1) *
        (IM!$X$2:$X$2000&lt;=$B$1)*(W38="HUB")
    ) &gt; 0
), "HUB", "")</f>
        <v/>
      </c>
      <c r="O38" s="371" t="str">
        <f>IF(I38="","未到店",
IF(AND(S38&gt;I38, R38="STAR", NOT(AND(G38&lt;&gt;"萊到店 WebPOS", Q38&lt;&gt;"EDC"))), "完工已補裝",
IF(AND(G38&lt;&gt;"萊到店 WebPOS", Q38&lt;&gt;"EDC"), "EDC異常",
IF(AND(W38="HUB", N38=""), "HUB異常",
IF(OR(AND(Z38="STAR", R38="STAR"), AND(Z38&lt;&gt;"STAR", R38="")), "已完工", "STAR異常")
))))</f>
        <v>已完工</v>
      </c>
      <c r="P38" s="238" t="str">
        <f>(TEXT(I38,"yyyymmdd"))&amp;$S$2&amp;A38&amp;$S$2&amp;B38&amp;$Q$2</f>
        <v>20250409-3772-三重美溪店(定保)</v>
      </c>
      <c r="Q38" s="357" t="str" cm="1">
        <f t="array" ref="Q38">IF(AND(SUMPRODUCT((IM!$F$2:$F$2000=A38)*(ISNUMBER(SEARCH("EDC", IM!$AC$2:$AC$2000))))&gt;0), "EDC", "")</f>
        <v>EDC</v>
      </c>
      <c r="R38" s="358" t="str" cm="1">
        <f t="array" ref="R38">IF(AND(SUMPRODUCT((IM!$F$2:$F$2000=A38)*(ISNUMBER(SEARCH("STAR", IM!$AC$2:$AC$2000))))&gt;0), "STAR", "")</f>
        <v/>
      </c>
      <c r="S38" s="359" t="str" cm="1">
        <f t="array" ref="S38">IFERROR(INDEX(IM!$X$2:$X$650, MATCH(1, (IM!$F$2:$F$650=A38) * (ISNUMBER(SEARCH($D$1, IM!$AC$2:$AC$650))), 0)), "")</f>
        <v/>
      </c>
      <c r="T38" s="355">
        <f>IF(AND(X38&lt;&gt;"", Y38&lt;&gt;""), 2, IF(OR(X38&lt;&gt;"", Y38&lt;&gt;""), 1, 0))</f>
        <v>0</v>
      </c>
      <c r="U38" s="355"/>
      <c r="V38" s="373">
        <f>IF(OR(R38="STAR", T38="", U38=""), T38,
"總數：" &amp; T38 &amp; CHAR(10) &amp;
"已維修：" &amp; U38 &amp; CHAR(10) &amp;
"未更換：" &amp; (T38 - U38))</f>
        <v>0</v>
      </c>
      <c r="W38" s="360" t="str">
        <f>IF(VLOOKUP(A38,'0919門市清單主檔'!B:E,4,FALSE)=0,"",VLOOKUP(A38,'0919門市清單主檔'!B:E,4,FALSE))</f>
        <v/>
      </c>
      <c r="X38" s="245"/>
      <c r="Y38" s="246"/>
      <c r="Z38" s="246" t="str">
        <f>IF(T38&gt;0,"STAR","")</f>
        <v/>
      </c>
    </row>
    <row r="39" spans="1:26"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IF(I39&gt;0,(TEXT(I39,"yyyymmdd")&amp;$S$2&amp;A39&amp;$S$2&amp;B39&amp;$Q$2),"")</f>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69" t="str">
        <f>Q39&amp;IF(R39&lt;&gt;"",$P$2,"")&amp;R39</f>
        <v>EDC</v>
      </c>
      <c r="N39" s="339" t="str" cm="1">
        <f t="array" ref="N39">IF(AND(
    SUMPRODUCT(
        (IM!$F$2:$F$2000=A39) *
        ISNUMBER(SEARCH("HUB", IM!$AC$2:$AC$2000)) *
        (IM!$X$2:$X$2000&gt;=$A$1) *
        (IM!$X$2:$X$2000&lt;=$B$1)*(W39="HUB")
    ) &gt; 0
), "HUB", "")</f>
        <v>HUB</v>
      </c>
      <c r="O39" s="371" t="str">
        <f>IF(I39="","未到店",
IF(AND(S39&gt;I39, R39="STAR", NOT(AND(G39&lt;&gt;"萊到店 WebPOS", Q39&lt;&gt;"EDC"))), "完工已補裝",
IF(AND(G39&lt;&gt;"萊到店 WebPOS", Q39&lt;&gt;"EDC"), "EDC異常",
IF(AND(W39="HUB", N39=""), "HUB異常",
IF(OR(AND(Z39="STAR", R39="STAR"), AND(Z39&lt;&gt;"STAR", R39="")), "已完工", "STAR異常")
))))</f>
        <v>已完工</v>
      </c>
      <c r="P39" s="238" t="str">
        <f>(TEXT(I39,"yyyymmdd"))&amp;$S$2&amp;A39&amp;$S$2&amp;B39&amp;$Q$2</f>
        <v>20250409-5316-三重五常店(定保)</v>
      </c>
      <c r="Q39" s="357" t="str" cm="1">
        <f t="array" ref="Q39">IF(AND(SUMPRODUCT((IM!$F$2:$F$2000=A39)*(ISNUMBER(SEARCH("EDC", IM!$AC$2:$AC$2000))))&gt;0), "EDC", "")</f>
        <v>EDC</v>
      </c>
      <c r="R39" s="358" t="str" cm="1">
        <f t="array" ref="R39">IF(AND(SUMPRODUCT((IM!$F$2:$F$2000=A39)*(ISNUMBER(SEARCH("STAR", IM!$AC$2:$AC$2000))))&gt;0), "STAR", "")</f>
        <v/>
      </c>
      <c r="S39" s="359" t="str" cm="1">
        <f t="array" ref="S39">IFERROR(INDEX(IM!$X$2:$X$650, MATCH(1, (IM!$F$2:$F$650=A39) * (ISNUMBER(SEARCH($D$1, IM!$AC$2:$AC$650))), 0)), "")</f>
        <v/>
      </c>
      <c r="T39" s="355">
        <f>IF(AND(X39&lt;&gt;"", Y39&lt;&gt;""), 2, IF(OR(X39&lt;&gt;"", Y39&lt;&gt;""), 1, 0))</f>
        <v>0</v>
      </c>
      <c r="U39" s="355"/>
      <c r="V39" s="373">
        <f>IF(OR(R39="STAR", T39="", U39=""), T39,
"總數：" &amp; T39 &amp; CHAR(10) &amp;
"已維修：" &amp; U39 &amp; CHAR(10) &amp;
"未更換：" &amp; (T39 - U39))</f>
        <v>0</v>
      </c>
      <c r="W39" s="360" t="str">
        <f>IF(VLOOKUP(A39,'0919門市清單主檔'!B:E,4,FALSE)=0,"",VLOOKUP(A39,'0919門市清單主檔'!B:E,4,FALSE))</f>
        <v>HUB</v>
      </c>
      <c r="Y39" s="5"/>
      <c r="Z39" s="5" t="str">
        <f>IF(T39&gt;0,"STAR","")</f>
        <v/>
      </c>
    </row>
    <row r="40" spans="1:26"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IF(I40&gt;0,(TEXT(I40,"yyyymmdd")&amp;$S$2&amp;A40&amp;$S$2&amp;B40&amp;$Q$2),"")</f>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69" t="str">
        <f>Q40&amp;IF(R40&lt;&gt;"",$P$2,"")&amp;R40</f>
        <v>EDC</v>
      </c>
      <c r="N40" s="339" t="str" cm="1">
        <f t="array" ref="N40">IF(AND(
    SUMPRODUCT(
        (IM!$F$2:$F$2000=A40) *
        ISNUMBER(SEARCH("HUB", IM!$AC$2:$AC$2000)) *
        (IM!$X$2:$X$2000&gt;=$A$1) *
        (IM!$X$2:$X$2000&lt;=$B$1)*(W40="HUB")
    ) &gt; 0
), "HUB", "")</f>
        <v/>
      </c>
      <c r="O40" s="371" t="str">
        <f>IF(I40="","未到店",
IF(AND(S40&gt;I40, R40="STAR", NOT(AND(G40&lt;&gt;"萊到店 WebPOS", Q40&lt;&gt;"EDC"))), "完工已補裝",
IF(AND(G40&lt;&gt;"萊到店 WebPOS", Q40&lt;&gt;"EDC"), "EDC異常",
IF(AND(W40="HUB", N40=""), "HUB異常",
IF(OR(AND(Z40="STAR", R40="STAR"), AND(Z40&lt;&gt;"STAR", R40="")), "已完工", "STAR異常")
))))</f>
        <v>已完工</v>
      </c>
      <c r="P40" s="238" t="str">
        <f>(TEXT(I40,"yyyymmdd"))&amp;$S$2&amp;A40&amp;$S$2&amp;B40&amp;$Q$2</f>
        <v>20250410-4528-八里鐵塔店(定保)</v>
      </c>
      <c r="Q40" s="357" t="str" cm="1">
        <f t="array" ref="Q40">IF(AND(SUMPRODUCT((IM!$F$2:$F$2000=A40)*(ISNUMBER(SEARCH("EDC", IM!$AC$2:$AC$2000))))&gt;0), "EDC", "")</f>
        <v>EDC</v>
      </c>
      <c r="R40" s="358" t="str" cm="1">
        <f t="array" ref="R40">IF(AND(SUMPRODUCT((IM!$F$2:$F$2000=A40)*(ISNUMBER(SEARCH("STAR", IM!$AC$2:$AC$2000))))&gt;0), "STAR", "")</f>
        <v/>
      </c>
      <c r="S40" s="359" t="str" cm="1">
        <f t="array" ref="S40">IFERROR(INDEX(IM!$X$2:$X$650, MATCH(1, (IM!$F$2:$F$650=A40) * (ISNUMBER(SEARCH($D$1, IM!$AC$2:$AC$650))), 0)), "")</f>
        <v/>
      </c>
      <c r="T40" s="355">
        <f>IF(AND(X40&lt;&gt;"", Y40&lt;&gt;""), 2, IF(OR(X40&lt;&gt;"", Y40&lt;&gt;""), 1, 0))</f>
        <v>0</v>
      </c>
      <c r="U40" s="355"/>
      <c r="V40" s="373">
        <f>IF(OR(R40="STAR", T40="", U40=""), T40,
"總數：" &amp; T40 &amp; CHAR(10) &amp;
"已維修：" &amp; U40 &amp; CHAR(10) &amp;
"未更換：" &amp; (T40 - U40))</f>
        <v>0</v>
      </c>
      <c r="W40" s="360" t="str">
        <f>IF(VLOOKUP(A40,'0919門市清單主檔'!B:E,4,FALSE)=0,"",VLOOKUP(A40,'0919門市清單主檔'!B:E,4,FALSE))</f>
        <v/>
      </c>
      <c r="Y40" s="5"/>
      <c r="Z40" s="5" t="str">
        <f>IF(T40&gt;0,"STAR","")</f>
        <v/>
      </c>
    </row>
    <row r="41" spans="1:26"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IF(I41&gt;0,(TEXT(I41,"yyyymmdd")&amp;$S$2&amp;A41&amp;$S$2&amp;B41&amp;$Q$2),"")</f>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69" t="str">
        <f>Q41&amp;IF(R41&lt;&gt;"",$P$2,"")&amp;R41</f>
        <v>EDC+STAR</v>
      </c>
      <c r="N41" s="339" t="str" cm="1">
        <f t="array" ref="N41">IF(AND(
    SUMPRODUCT(
        (IM!$F$2:$F$2000=A41) *
        ISNUMBER(SEARCH("HUB", IM!$AC$2:$AC$2000)) *
        (IM!$X$2:$X$2000&gt;=$A$1) *
        (IM!$X$2:$X$2000&lt;=$B$1)*(W41="HUB")
    ) &gt; 0
), "HUB", "")</f>
        <v/>
      </c>
      <c r="O41" s="371" t="str">
        <f>IF(I41="","未到店",
IF(AND(S41&gt;I41, R41="STAR", NOT(AND(G41&lt;&gt;"萊到店 WebPOS", Q41&lt;&gt;"EDC"))), "完工已補裝",
IF(AND(G41&lt;&gt;"萊到店 WebPOS", Q41&lt;&gt;"EDC"), "EDC異常",
IF(AND(W41="HUB", N41=""), "HUB異常",
IF(OR(AND(Z41="STAR", R41="STAR"), AND(Z41&lt;&gt;"STAR", R41="")), "已完工", "STAR異常")
))))</f>
        <v>已完工</v>
      </c>
      <c r="P41" s="238" t="str">
        <f>(TEXT(I41,"yyyymmdd"))&amp;$S$2&amp;A41&amp;$S$2&amp;B41&amp;$Q$2</f>
        <v>20250410-3851-北縣輔園店(定保)</v>
      </c>
      <c r="Q41" s="357" t="str" cm="1">
        <f t="array" ref="Q41">IF(AND(SUMPRODUCT((IM!$F$2:$F$2000=A41)*(ISNUMBER(SEARCH("EDC", IM!$AC$2:$AC$2000))))&gt;0), "EDC", "")</f>
        <v>EDC</v>
      </c>
      <c r="R41" s="358" t="str" cm="1">
        <f t="array" ref="R41">IF(AND(SUMPRODUCT((IM!$F$2:$F$2000=A41)*(ISNUMBER(SEARCH("STAR", IM!$AC$2:$AC$2000))))&gt;0), "STAR", "")</f>
        <v>STAR</v>
      </c>
      <c r="S41" s="359" cm="1">
        <f t="array" ref="S41">IFERROR(INDEX(IM!$X$2:$X$650, MATCH(1, (IM!$F$2:$F$650=A41) * (ISNUMBER(SEARCH($D$1, IM!$AC$2:$AC$650))), 0)), "")</f>
        <v>45757.496527777781</v>
      </c>
      <c r="T41" s="355">
        <f>IF(AND(X41&lt;&gt;"", Y41&lt;&gt;""), 2, IF(OR(X41&lt;&gt;"", Y41&lt;&gt;""), 1, 0))</f>
        <v>2</v>
      </c>
      <c r="U41" s="355"/>
      <c r="V41" s="373">
        <f>IF(OR(R41="STAR", T41="", U41=""), T41,
"總數：" &amp; T41 &amp; CHAR(10) &amp;
"已維修：" &amp; U41 &amp; CHAR(10) &amp;
"未更換：" &amp; (T41 - U41))</f>
        <v>2</v>
      </c>
      <c r="W41" s="360" t="str">
        <f>IF(VLOOKUP(A41,'0919門市清單主檔'!B:E,4,FALSE)=0,"",VLOOKUP(A41,'0919門市清單主檔'!B:E,4,FALSE))</f>
        <v/>
      </c>
      <c r="X41" s="3" t="s">
        <v>4408</v>
      </c>
      <c r="Y41" s="5" t="s">
        <v>4409</v>
      </c>
      <c r="Z41" s="5" t="str">
        <f>IF(T41&gt;0,"STAR","")</f>
        <v>STAR</v>
      </c>
    </row>
    <row r="42" spans="1:26"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IF(I42&gt;0,(TEXT(I42,"yyyymmdd")&amp;$S$2&amp;A42&amp;$S$2&amp;B42&amp;$Q$2),"")</f>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69" t="str">
        <f>Q42&amp;IF(R42&lt;&gt;"",$P$2,"")&amp;R42</f>
        <v>EDC+STAR</v>
      </c>
      <c r="N42" s="339" t="str" cm="1">
        <f t="array" ref="N42">IF(AND(
    SUMPRODUCT(
        (IM!$F$2:$F$2000=A42) *
        ISNUMBER(SEARCH("HUB", IM!$AC$2:$AC$2000)) *
        (IM!$X$2:$X$2000&gt;=$A$1) *
        (IM!$X$2:$X$2000&lt;=$B$1)*(W42="HUB")
    ) &gt; 0
), "HUB", "")</f>
        <v/>
      </c>
      <c r="O42" s="371" t="str">
        <f>IF(I42="","未到店",
IF(AND(S42&gt;I42, R42="STAR", NOT(AND(G42&lt;&gt;"萊到店 WebPOS", Q42&lt;&gt;"EDC"))), "完工已補裝",
IF(AND(G42&lt;&gt;"萊到店 WebPOS", Q42&lt;&gt;"EDC"), "EDC異常",
IF(AND(W42="HUB", N42=""), "HUB異常",
IF(OR(AND(Z42="STAR", R42="STAR"), AND(Z42&lt;&gt;"STAR", R42="")), "已完工", "STAR異常")
))))</f>
        <v>已完工</v>
      </c>
      <c r="P42" s="238" t="str">
        <f>(TEXT(I42,"yyyymmdd"))&amp;$S$2&amp;A42&amp;$S$2&amp;B42&amp;$Q$2</f>
        <v>20250410-4259-八里水灣店(定保)</v>
      </c>
      <c r="Q42" s="357" t="str" cm="1">
        <f t="array" ref="Q42">IF(AND(SUMPRODUCT((IM!$F$2:$F$2000=A42)*(ISNUMBER(SEARCH("EDC", IM!$AC$2:$AC$2000))))&gt;0), "EDC", "")</f>
        <v>EDC</v>
      </c>
      <c r="R42" s="358" t="str" cm="1">
        <f t="array" ref="R42">IF(AND(SUMPRODUCT((IM!$F$2:$F$2000=A42)*(ISNUMBER(SEARCH("STAR", IM!$AC$2:$AC$2000))))&gt;0), "STAR", "")</f>
        <v>STAR</v>
      </c>
      <c r="S42" s="359" cm="1">
        <f t="array" ref="S42">IFERROR(INDEX(IM!$X$2:$X$650, MATCH(1, (IM!$F$2:$F$650=A42) * (ISNUMBER(SEARCH($D$1, IM!$AC$2:$AC$650))), 0)), "")</f>
        <v>45757.509027777778</v>
      </c>
      <c r="T42" s="355">
        <f>IF(AND(X42&lt;&gt;"", Y42&lt;&gt;""), 2, IF(OR(X42&lt;&gt;"", Y42&lt;&gt;""), 1, 0))</f>
        <v>2</v>
      </c>
      <c r="U42" s="355"/>
      <c r="V42" s="373">
        <f>IF(OR(R42="STAR", T42="", U42=""), T42,
"總數：" &amp; T42 &amp; CHAR(10) &amp;
"已維修：" &amp; U42 &amp; CHAR(10) &amp;
"未更換：" &amp; (T42 - U42))</f>
        <v>2</v>
      </c>
      <c r="W42" s="360" t="str">
        <f>IF(VLOOKUP(A42,'0919門市清單主檔'!B:E,4,FALSE)=0,"",VLOOKUP(A42,'0919門市清單主檔'!B:E,4,FALSE))</f>
        <v/>
      </c>
      <c r="X42" s="3" t="s">
        <v>4219</v>
      </c>
      <c r="Y42" s="5" t="s">
        <v>4220</v>
      </c>
      <c r="Z42" s="5" t="str">
        <f>IF(T42&gt;0,"STAR","")</f>
        <v>STAR</v>
      </c>
    </row>
    <row r="43" spans="1:26"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IF(I43&gt;0,(TEXT(I43,"yyyymmdd")&amp;$S$2&amp;A43&amp;$S$2&amp;B43&amp;$Q$2),"")</f>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69" t="str">
        <f>Q43&amp;IF(R43&lt;&gt;"",$P$2,"")&amp;R43</f>
        <v>EDC+STAR</v>
      </c>
      <c r="N43" s="339" t="str" cm="1">
        <f t="array" ref="N43">IF(AND(
    SUMPRODUCT(
        (IM!$F$2:$F$2000=A43) *
        ISNUMBER(SEARCH("HUB", IM!$AC$2:$AC$2000)) *
        (IM!$X$2:$X$2000&gt;=$A$1) *
        (IM!$X$2:$X$2000&lt;=$B$1)*(W43="HUB")
    ) &gt; 0
), "HUB", "")</f>
        <v/>
      </c>
      <c r="O43" s="371" t="str">
        <f>IF(I43="","未到店",
IF(AND(S43&gt;I43, R43="STAR", NOT(AND(G43&lt;&gt;"萊到店 WebPOS", Q43&lt;&gt;"EDC"))), "完工已補裝",
IF(AND(G43&lt;&gt;"萊到店 WebPOS", Q43&lt;&gt;"EDC"), "EDC異常",
IF(AND(W43="HUB", N43=""), "HUB異常",
IF(OR(AND(Z43="STAR", R43="STAR"), AND(Z43&lt;&gt;"STAR", R43="")), "已完工", "STAR異常")
))))</f>
        <v>已完工</v>
      </c>
      <c r="P43" s="238" t="str">
        <f>(TEXT(I43,"yyyymmdd"))&amp;$S$2&amp;A43&amp;$S$2&amp;B43&amp;$Q$2</f>
        <v>20250410-2306-八里凱旋門(定保)</v>
      </c>
      <c r="Q43" s="357" t="str" cm="1">
        <f t="array" ref="Q43">IF(AND(SUMPRODUCT((IM!$F$2:$F$2000=A43)*(ISNUMBER(SEARCH("EDC", IM!$AC$2:$AC$2000))))&gt;0), "EDC", "")</f>
        <v>EDC</v>
      </c>
      <c r="R43" s="358" t="str" cm="1">
        <f t="array" ref="R43">IF(AND(SUMPRODUCT((IM!$F$2:$F$2000=A43)*(ISNUMBER(SEARCH("STAR", IM!$AC$2:$AC$2000))))&gt;0), "STAR", "")</f>
        <v>STAR</v>
      </c>
      <c r="S43" s="359" cm="1">
        <f t="array" ref="S43">IFERROR(INDEX(IM!$X$2:$X$650, MATCH(1, (IM!$F$2:$F$650=A43) * (ISNUMBER(SEARCH($D$1, IM!$AC$2:$AC$650))), 0)), "")</f>
        <v>45757.544444444444</v>
      </c>
      <c r="T43" s="355">
        <f>IF(AND(X43&lt;&gt;"", Y43&lt;&gt;""), 2, IF(OR(X43&lt;&gt;"", Y43&lt;&gt;""), 1, 0))</f>
        <v>2</v>
      </c>
      <c r="U43" s="355"/>
      <c r="V43" s="373">
        <f>IF(OR(R43="STAR", T43="", U43=""), T43,
"總數：" &amp; T43 &amp; CHAR(10) &amp;
"已維修：" &amp; U43 &amp; CHAR(10) &amp;
"未更換：" &amp; (T43 - U43))</f>
        <v>2</v>
      </c>
      <c r="W43" s="360" t="str">
        <f>IF(VLOOKUP(A43,'0919門市清單主檔'!B:E,4,FALSE)=0,"",VLOOKUP(A43,'0919門市清單主檔'!B:E,4,FALSE))</f>
        <v/>
      </c>
      <c r="X43" s="3" t="s">
        <v>4221</v>
      </c>
      <c r="Y43" s="5" t="s">
        <v>4222</v>
      </c>
      <c r="Z43" s="5" t="str">
        <f>IF(T43&gt;0,"STAR","")</f>
        <v>STAR</v>
      </c>
    </row>
    <row r="44" spans="1:26"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IF(I44&gt;0,(TEXT(I44,"yyyymmdd")&amp;$S$2&amp;A44&amp;$S$2&amp;B44&amp;$Q$2),"")</f>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69" t="str">
        <f>Q44&amp;IF(R44&lt;&gt;"",$P$2,"")&amp;R44</f>
        <v>EDC</v>
      </c>
      <c r="N44" s="339" t="str" cm="1">
        <f t="array" ref="N44">IF(AND(
    SUMPRODUCT(
        (IM!$F$2:$F$2000=A44) *
        ISNUMBER(SEARCH("HUB", IM!$AC$2:$AC$2000)) *
        (IM!$X$2:$X$2000&gt;=$A$1) *
        (IM!$X$2:$X$2000&lt;=$B$1)*(W44="HUB")
    ) &gt; 0
), "HUB", "")</f>
        <v/>
      </c>
      <c r="O44" s="371" t="str">
        <f>IF(I44="","未到店",
IF(AND(S44&gt;I44, R44="STAR", NOT(AND(G44&lt;&gt;"萊到店 WebPOS", Q44&lt;&gt;"EDC"))), "完工已補裝",
IF(AND(G44&lt;&gt;"萊到店 WebPOS", Q44&lt;&gt;"EDC"), "EDC異常",
IF(AND(W44="HUB", N44=""), "HUB異常",
IF(OR(AND(Z44="STAR", R44="STAR"), AND(Z44&lt;&gt;"STAR", R44="")), "已完工", "STAR異常")
))))</f>
        <v>已完工</v>
      </c>
      <c r="P44" s="238" t="str">
        <f>(TEXT(I44,"yyyymmdd"))&amp;$S$2&amp;A44&amp;$S$2&amp;B44&amp;$Q$2</f>
        <v>20250410-4764-八里大船店(定保)</v>
      </c>
      <c r="Q44" s="357" t="str" cm="1">
        <f t="array" ref="Q44">IF(AND(SUMPRODUCT((IM!$F$2:$F$2000=A44)*(ISNUMBER(SEARCH("EDC", IM!$AC$2:$AC$2000))))&gt;0), "EDC", "")</f>
        <v>EDC</v>
      </c>
      <c r="R44" s="358" t="str" cm="1">
        <f t="array" ref="R44">IF(AND(SUMPRODUCT((IM!$F$2:$F$2000=A44)*(ISNUMBER(SEARCH("STAR", IM!$AC$2:$AC$2000))))&gt;0), "STAR", "")</f>
        <v/>
      </c>
      <c r="S44" s="359" t="str" cm="1">
        <f t="array" ref="S44">IFERROR(INDEX(IM!$X$2:$X$650, MATCH(1, (IM!$F$2:$F$650=A44) * (ISNUMBER(SEARCH($D$1, IM!$AC$2:$AC$650))), 0)), "")</f>
        <v/>
      </c>
      <c r="T44" s="355">
        <f>IF(AND(X44&lt;&gt;"", Y44&lt;&gt;""), 2, IF(OR(X44&lt;&gt;"", Y44&lt;&gt;""), 1, 0))</f>
        <v>0</v>
      </c>
      <c r="U44" s="355"/>
      <c r="V44" s="373">
        <f>IF(OR(R44="STAR", T44="", U44=""), T44,
"總數：" &amp; T44 &amp; CHAR(10) &amp;
"已維修：" &amp; U44 &amp; CHAR(10) &amp;
"未更換：" &amp; (T44 - U44))</f>
        <v>0</v>
      </c>
      <c r="W44" s="360" t="str">
        <f>IF(VLOOKUP(A44,'0919門市清單主檔'!B:E,4,FALSE)=0,"",VLOOKUP(A44,'0919門市清單主檔'!B:E,4,FALSE))</f>
        <v/>
      </c>
      <c r="Y44" s="5"/>
      <c r="Z44" s="5" t="str">
        <f>IF(T44&gt;0,"STAR","")</f>
        <v/>
      </c>
    </row>
    <row r="45" spans="1:26"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IF(I45&gt;0,(TEXT(I45,"yyyymmdd")&amp;$S$2&amp;A45&amp;$S$2&amp;B45&amp;$Q$2),"")</f>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69" t="str">
        <f>Q45&amp;IF(R45&lt;&gt;"",$P$2,"")&amp;R45</f>
        <v>EDC+STAR</v>
      </c>
      <c r="N45" s="339" t="str" cm="1">
        <f t="array" ref="N45">IF(AND(
    SUMPRODUCT(
        (IM!$F$2:$F$2000=A45) *
        ISNUMBER(SEARCH("HUB", IM!$AC$2:$AC$2000)) *
        (IM!$X$2:$X$2000&gt;=$A$1) *
        (IM!$X$2:$X$2000&lt;=$B$1)*(W45="HUB")
    ) &gt; 0
), "HUB", "")</f>
        <v/>
      </c>
      <c r="O45" s="371" t="str">
        <f>IF(I45="","未到店",
IF(AND(S45&gt;I45, R45="STAR", NOT(AND(G45&lt;&gt;"萊到店 WebPOS", Q45&lt;&gt;"EDC"))), "完工已補裝",
IF(AND(G45&lt;&gt;"萊到店 WebPOS", Q45&lt;&gt;"EDC"), "EDC異常",
IF(AND(W45="HUB", N45=""), "HUB異常",
IF(OR(AND(Z45="STAR", R45="STAR"), AND(Z45&lt;&gt;"STAR", R45="")), "已完工", "STAR異常")
))))</f>
        <v>已完工</v>
      </c>
      <c r="P45" s="238" t="str">
        <f>(TEXT(I45,"yyyymmdd"))&amp;$S$2&amp;A45&amp;$S$2&amp;B45&amp;$Q$2</f>
        <v>20250410-2442-北縣商港店(定保)</v>
      </c>
      <c r="Q45" s="357" t="str" cm="1">
        <f t="array" ref="Q45">IF(AND(SUMPRODUCT((IM!$F$2:$F$2000=A45)*(ISNUMBER(SEARCH("EDC", IM!$AC$2:$AC$2000))))&gt;0), "EDC", "")</f>
        <v>EDC</v>
      </c>
      <c r="R45" s="358" t="str" cm="1">
        <f t="array" ref="R45">IF(AND(SUMPRODUCT((IM!$F$2:$F$2000=A45)*(ISNUMBER(SEARCH("STAR", IM!$AC$2:$AC$2000))))&gt;0), "STAR", "")</f>
        <v>STAR</v>
      </c>
      <c r="S45" s="359" cm="1">
        <f t="array" ref="S45">IFERROR(INDEX(IM!$X$2:$X$650, MATCH(1, (IM!$F$2:$F$650=A45) * (ISNUMBER(SEARCH($D$1, IM!$AC$2:$AC$650))), 0)), "")</f>
        <v>45757.661805555559</v>
      </c>
      <c r="T45" s="355">
        <f>IF(AND(X45&lt;&gt;"", Y45&lt;&gt;""), 2, IF(OR(X45&lt;&gt;"", Y45&lt;&gt;""), 1, 0))</f>
        <v>2</v>
      </c>
      <c r="U45" s="355"/>
      <c r="V45" s="373">
        <f>IF(OR(R45="STAR", T45="", U45=""), T45,
"總數：" &amp; T45 &amp; CHAR(10) &amp;
"已維修：" &amp; U45 &amp; CHAR(10) &amp;
"未更換：" &amp; (T45 - U45))</f>
        <v>2</v>
      </c>
      <c r="W45" s="360" t="str">
        <f>IF(VLOOKUP(A45,'0919門市清單主檔'!B:E,4,FALSE)=0,"",VLOOKUP(A45,'0919門市清單主檔'!B:E,4,FALSE))</f>
        <v/>
      </c>
      <c r="X45" s="3" t="s">
        <v>4223</v>
      </c>
      <c r="Y45" s="5" t="s">
        <v>4224</v>
      </c>
      <c r="Z45" s="5" t="str">
        <f>IF(T45&gt;0,"STAR","")</f>
        <v>STAR</v>
      </c>
    </row>
    <row r="46" spans="1:26"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IF(I46&gt;0,(TEXT(I46,"yyyymmdd")&amp;$S$2&amp;A46&amp;$S$2&amp;B46&amp;$Q$2),"")</f>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69" t="str">
        <f>Q46&amp;IF(R46&lt;&gt;"",$P$2,"")&amp;R46</f>
        <v>EDC</v>
      </c>
      <c r="N46" s="339" t="str" cm="1">
        <f t="array" ref="N46">IF(AND(
    SUMPRODUCT(
        (IM!$F$2:$F$2000=A46) *
        ISNUMBER(SEARCH("HUB", IM!$AC$2:$AC$2000)) *
        (IM!$X$2:$X$2000&gt;=$A$1) *
        (IM!$X$2:$X$2000&lt;=$B$1)*(W46="HUB")
    ) &gt; 0
), "HUB", "")</f>
        <v/>
      </c>
      <c r="O46" s="371" t="str">
        <f>IF(I46="","未到店",
IF(AND(S46&gt;I46, R46="STAR", NOT(AND(G46&lt;&gt;"萊到店 WebPOS", Q46&lt;&gt;"EDC"))), "完工已補裝",
IF(AND(G46&lt;&gt;"萊到店 WebPOS", Q46&lt;&gt;"EDC"), "EDC異常",
IF(AND(W46="HUB", N46=""), "HUB異常",
IF(OR(AND(Z46="STAR", R46="STAR"), AND(Z46&lt;&gt;"STAR", R46="")), "已完工", "STAR異常")
))))</f>
        <v>已完工</v>
      </c>
      <c r="P46" s="238" t="str">
        <f>(TEXT(I46,"yyyymmdd"))&amp;$S$2&amp;A46&amp;$S$2&amp;B46&amp;$Q$2</f>
        <v>20250410-5074-八里福德新村(定保)</v>
      </c>
      <c r="Q46" s="357" t="str" cm="1">
        <f t="array" ref="Q46">IF(AND(SUMPRODUCT((IM!$F$2:$F$2000=A46)*(ISNUMBER(SEARCH("EDC", IM!$AC$2:$AC$2000))))&gt;0), "EDC", "")</f>
        <v>EDC</v>
      </c>
      <c r="R46" s="358" t="str" cm="1">
        <f t="array" ref="R46">IF(AND(SUMPRODUCT((IM!$F$2:$F$2000=A46)*(ISNUMBER(SEARCH("STAR", IM!$AC$2:$AC$2000))))&gt;0), "STAR", "")</f>
        <v/>
      </c>
      <c r="S46" s="359" t="str" cm="1">
        <f t="array" ref="S46">IFERROR(INDEX(IM!$X$2:$X$650, MATCH(1, (IM!$F$2:$F$650=A46) * (ISNUMBER(SEARCH($D$1, IM!$AC$2:$AC$650))), 0)), "")</f>
        <v/>
      </c>
      <c r="T46" s="355">
        <f>IF(AND(X46&lt;&gt;"", Y46&lt;&gt;""), 2, IF(OR(X46&lt;&gt;"", Y46&lt;&gt;""), 1, 0))</f>
        <v>0</v>
      </c>
      <c r="U46" s="355"/>
      <c r="V46" s="373">
        <f>IF(OR(R46="STAR", T46="", U46=""), T46,
"總數：" &amp; T46 &amp; CHAR(10) &amp;
"已維修：" &amp; U46 &amp; CHAR(10) &amp;
"未更換：" &amp; (T46 - U46))</f>
        <v>0</v>
      </c>
      <c r="W46" s="360" t="str">
        <f>IF(VLOOKUP(A46,'0919門市清單主檔'!B:E,4,FALSE)=0,"",VLOOKUP(A46,'0919門市清單主檔'!B:E,4,FALSE))</f>
        <v/>
      </c>
      <c r="Y46" s="5"/>
      <c r="Z46" s="5" t="str">
        <f>IF(T46&gt;0,"STAR","")</f>
        <v/>
      </c>
    </row>
    <row r="47" spans="1:26"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IF(I47&gt;0,(TEXT(I47,"yyyymmdd")&amp;$S$2&amp;A47&amp;$S$2&amp;B47&amp;$Q$2),"")</f>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69" t="str">
        <f>Q47&amp;IF(R47&lt;&gt;"",$P$2,"")&amp;R47</f>
        <v>EDC+STAR</v>
      </c>
      <c r="N47" s="339" t="str" cm="1">
        <f t="array" ref="N47">IF(AND(
    SUMPRODUCT(
        (IM!$F$2:$F$2000=A47) *
        ISNUMBER(SEARCH("HUB", IM!$AC$2:$AC$2000)) *
        (IM!$X$2:$X$2000&gt;=$A$1) *
        (IM!$X$2:$X$2000&lt;=$B$1)*(W47="HUB")
    ) &gt; 0
), "HUB", "")</f>
        <v/>
      </c>
      <c r="O47" s="371" t="str">
        <f>IF(I47="","未到店",
IF(AND(S47&gt;I47, R47="STAR", NOT(AND(G47&lt;&gt;"萊到店 WebPOS", Q47&lt;&gt;"EDC"))), "完工已補裝",
IF(AND(G47&lt;&gt;"萊到店 WebPOS", Q47&lt;&gt;"EDC"), "EDC異常",
IF(AND(W47="HUB", N47=""), "HUB異常",
IF(OR(AND(Z47="STAR", R47="STAR"), AND(Z47&lt;&gt;"STAR", R47="")), "已完工", "STAR異常")
))))</f>
        <v>已完工</v>
      </c>
      <c r="P47" s="238" t="str">
        <f>(TEXT(I47,"yyyymmdd"))&amp;$S$2&amp;A47&amp;$S$2&amp;B47&amp;$Q$2</f>
        <v>20250410-4243-八里聖心店(定保)</v>
      </c>
      <c r="Q47" s="357" t="str" cm="1">
        <f t="array" ref="Q47">IF(AND(SUMPRODUCT((IM!$F$2:$F$2000=A47)*(ISNUMBER(SEARCH("EDC", IM!$AC$2:$AC$2000))))&gt;0), "EDC", "")</f>
        <v>EDC</v>
      </c>
      <c r="R47" s="358" t="str" cm="1">
        <f t="array" ref="R47">IF(AND(SUMPRODUCT((IM!$F$2:$F$2000=A47)*(ISNUMBER(SEARCH("STAR", IM!$AC$2:$AC$2000))))&gt;0), "STAR", "")</f>
        <v>STAR</v>
      </c>
      <c r="S47" s="359" cm="1">
        <f t="array" ref="S47">IFERROR(INDEX(IM!$X$2:$X$650, MATCH(1, (IM!$F$2:$F$650=A47) * (ISNUMBER(SEARCH($D$1, IM!$AC$2:$AC$650))), 0)), "")</f>
        <v>45757.727777777778</v>
      </c>
      <c r="T47" s="355">
        <f>IF(AND(X47&lt;&gt;"", Y47&lt;&gt;""), 2, IF(OR(X47&lt;&gt;"", Y47&lt;&gt;""), 1, 0))</f>
        <v>2</v>
      </c>
      <c r="U47" s="355"/>
      <c r="V47" s="373">
        <f>IF(OR(R47="STAR", T47="", U47=""), T47,
"總數：" &amp; T47 &amp; CHAR(10) &amp;
"已維修：" &amp; U47 &amp; CHAR(10) &amp;
"未更換：" &amp; (T47 - U47))</f>
        <v>2</v>
      </c>
      <c r="W47" s="360" t="str">
        <f>IF(VLOOKUP(A47,'0919門市清單主檔'!B:E,4,FALSE)=0,"",VLOOKUP(A47,'0919門市清單主檔'!B:E,4,FALSE))</f>
        <v/>
      </c>
      <c r="X47" s="3" t="s">
        <v>4271</v>
      </c>
      <c r="Y47" s="5" t="s">
        <v>4272</v>
      </c>
      <c r="Z47" s="5" t="str">
        <f>IF(T47&gt;0,"STAR","")</f>
        <v>STAR</v>
      </c>
    </row>
    <row r="48" spans="1:26"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IF(I48&gt;0,(TEXT(I48,"yyyymmdd")&amp;$S$2&amp;A48&amp;$S$2&amp;B48&amp;$Q$2),"")</f>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69" t="str">
        <f>Q48&amp;IF(R48&lt;&gt;"",$P$2,"")&amp;R48</f>
        <v>EDC+STAR</v>
      </c>
      <c r="N48" s="339" t="str" cm="1">
        <f t="array" ref="N48">IF(AND(
    SUMPRODUCT(
        (IM!$F$2:$F$2000=A48) *
        ISNUMBER(SEARCH("HUB", IM!$AC$2:$AC$2000)) *
        (IM!$X$2:$X$2000&gt;=$A$1) *
        (IM!$X$2:$X$2000&lt;=$B$1)*(W48="HUB")
    ) &gt; 0
), "HUB", "")</f>
        <v/>
      </c>
      <c r="O48" s="371" t="str">
        <f>IF(I48="","未到店",
IF(AND(S48&gt;I48, R48="STAR", NOT(AND(G48&lt;&gt;"萊到店 WebPOS", Q48&lt;&gt;"EDC"))), "完工已補裝",
IF(AND(G48&lt;&gt;"萊到店 WebPOS", Q48&lt;&gt;"EDC"), "EDC異常",
IF(AND(W48="HUB", N48=""), "HUB異常",
IF(OR(AND(Z48="STAR", R48="STAR"), AND(Z48&lt;&gt;"STAR", R48="")), "已完工", "STAR異常")
))))</f>
        <v>已完工</v>
      </c>
      <c r="P48" s="238" t="str">
        <f>(TEXT(I48,"yyyymmdd"))&amp;$S$2&amp;A48&amp;$S$2&amp;B48&amp;$Q$2</f>
        <v>20250410-3458-八里龍米店(定保)</v>
      </c>
      <c r="Q48" s="357" t="str" cm="1">
        <f t="array" ref="Q48">IF(AND(SUMPRODUCT((IM!$F$2:$F$2000=A48)*(ISNUMBER(SEARCH("EDC", IM!$AC$2:$AC$2000))))&gt;0), "EDC", "")</f>
        <v>EDC</v>
      </c>
      <c r="R48" s="358" t="str" cm="1">
        <f t="array" ref="R48">IF(AND(SUMPRODUCT((IM!$F$2:$F$2000=A48)*(ISNUMBER(SEARCH("STAR", IM!$AC$2:$AC$2000))))&gt;0), "STAR", "")</f>
        <v>STAR</v>
      </c>
      <c r="S48" s="359" cm="1">
        <f t="array" ref="S48">IFERROR(INDEX(IM!$X$2:$X$650, MATCH(1, (IM!$F$2:$F$650=A48) * (ISNUMBER(SEARCH($D$1, IM!$AC$2:$AC$650))), 0)), "")</f>
        <v>45757.754166666666</v>
      </c>
      <c r="T48" s="355">
        <f>IF(AND(X48&lt;&gt;"", Y48&lt;&gt;""), 2, IF(OR(X48&lt;&gt;"", Y48&lt;&gt;""), 1, 0))</f>
        <v>1</v>
      </c>
      <c r="U48" s="355"/>
      <c r="V48" s="373">
        <f>IF(OR(R48="STAR", T48="", U48=""), T48,
"總數：" &amp; T48 &amp; CHAR(10) &amp;
"已維修：" &amp; U48 &amp; CHAR(10) &amp;
"未更換：" &amp; (T48 - U48))</f>
        <v>1</v>
      </c>
      <c r="W48" s="360" t="str">
        <f>IF(VLOOKUP(A48,'0919門市清單主檔'!B:E,4,FALSE)=0,"",VLOOKUP(A48,'0919門市清單主檔'!B:E,4,FALSE))</f>
        <v/>
      </c>
      <c r="Y48" s="5" t="s">
        <v>4273</v>
      </c>
      <c r="Z48" s="5" t="str">
        <f>IF(T48&gt;0,"STAR","")</f>
        <v>STAR</v>
      </c>
    </row>
    <row r="49" spans="1:26"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IF(I49&gt;0,(TEXT(I49,"yyyymmdd")&amp;$S$2&amp;A49&amp;$S$2&amp;B49&amp;$Q$2),"")</f>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69" t="str">
        <f>Q49&amp;IF(R49&lt;&gt;"",$P$2,"")&amp;R49</f>
        <v>EDC+STAR</v>
      </c>
      <c r="N49" s="339" t="str" cm="1">
        <f t="array" ref="N49">IF(AND(
    SUMPRODUCT(
        (IM!$F$2:$F$2000=A49) *
        ISNUMBER(SEARCH("HUB", IM!$AC$2:$AC$2000)) *
        (IM!$X$2:$X$2000&gt;=$A$1) *
        (IM!$X$2:$X$2000&lt;=$B$1)*(W49="HUB")
    ) &gt; 0
), "HUB", "")</f>
        <v/>
      </c>
      <c r="O49" s="371" t="str">
        <f>IF(I49="","未到店",
IF(AND(S49&gt;I49, R49="STAR", NOT(AND(G49&lt;&gt;"萊到店 WebPOS", Q49&lt;&gt;"EDC"))), "完工已補裝",
IF(AND(G49&lt;&gt;"萊到店 WebPOS", Q49&lt;&gt;"EDC"), "EDC異常",
IF(AND(W49="HUB", N49=""), "HUB異常",
IF(OR(AND(Z49="STAR", R49="STAR"), AND(Z49&lt;&gt;"STAR", R49="")), "已完工", "STAR異常")
))))</f>
        <v>已完工</v>
      </c>
      <c r="P49" s="238" t="str">
        <f>(TEXT(I49,"yyyymmdd"))&amp;$S$2&amp;A49&amp;$S$2&amp;B49&amp;$Q$2</f>
        <v>20250411-4656-泰山新民店(定保)</v>
      </c>
      <c r="Q49" s="357" t="str" cm="1">
        <f t="array" ref="Q49">IF(AND(SUMPRODUCT((IM!$F$2:$F$2000=A49)*(ISNUMBER(SEARCH("EDC", IM!$AC$2:$AC$2000))))&gt;0), "EDC", "")</f>
        <v>EDC</v>
      </c>
      <c r="R49" s="358" t="str" cm="1">
        <f t="array" ref="R49">IF(AND(SUMPRODUCT((IM!$F$2:$F$2000=A49)*(ISNUMBER(SEARCH("STAR", IM!$AC$2:$AC$2000))))&gt;0), "STAR", "")</f>
        <v>STAR</v>
      </c>
      <c r="S49" s="359" cm="1">
        <f t="array" ref="S49">IFERROR(INDEX(IM!$X$2:$X$650, MATCH(1, (IM!$F$2:$F$650=A49) * (ISNUMBER(SEARCH($D$1, IM!$AC$2:$AC$650))), 0)), "")</f>
        <v>45758.451388888891</v>
      </c>
      <c r="T49" s="355">
        <f>IF(AND(X49&lt;&gt;"", Y49&lt;&gt;""), 2, IF(OR(X49&lt;&gt;"", Y49&lt;&gt;""), 1, 0))</f>
        <v>2</v>
      </c>
      <c r="U49" s="355"/>
      <c r="V49" s="373">
        <f>IF(OR(R49="STAR", T49="", U49=""), T49,
"總數：" &amp; T49 &amp; CHAR(10) &amp;
"已維修：" &amp; U49 &amp; CHAR(10) &amp;
"未更換：" &amp; (T49 - U49))</f>
        <v>2</v>
      </c>
      <c r="W49" s="360" t="str">
        <f>IF(VLOOKUP(A49,'0919門市清單主檔'!B:E,4,FALSE)=0,"",VLOOKUP(A49,'0919門市清單主檔'!B:E,4,FALSE))</f>
        <v/>
      </c>
      <c r="X49" s="3" t="s">
        <v>4228</v>
      </c>
      <c r="Y49" s="5" t="s">
        <v>4229</v>
      </c>
      <c r="Z49" s="5" t="str">
        <f>IF(T49&gt;0,"STAR","")</f>
        <v>STAR</v>
      </c>
    </row>
    <row r="50" spans="1:26"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IF(I50&gt;0,(TEXT(I50,"yyyymmdd")&amp;$S$2&amp;A50&amp;$S$2&amp;B50&amp;$Q$2),"")</f>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69" t="str">
        <f>Q50&amp;IF(R50&lt;&gt;"",$P$2,"")&amp;R50</f>
        <v>EDC+STAR</v>
      </c>
      <c r="N50" s="339" t="str" cm="1">
        <f t="array" ref="N50">IF(AND(
    SUMPRODUCT(
        (IM!$F$2:$F$2000=A50) *
        ISNUMBER(SEARCH("HUB", IM!$AC$2:$AC$2000)) *
        (IM!$X$2:$X$2000&gt;=$A$1) *
        (IM!$X$2:$X$2000&lt;=$B$1)*(W50="HUB")
    ) &gt; 0
), "HUB", "")</f>
        <v/>
      </c>
      <c r="O50" s="371" t="str">
        <f>IF(I50="","未到店",
IF(AND(S50&gt;I50, R50="STAR", NOT(AND(G50&lt;&gt;"萊到店 WebPOS", Q50&lt;&gt;"EDC"))), "完工已補裝",
IF(AND(G50&lt;&gt;"萊到店 WebPOS", Q50&lt;&gt;"EDC"), "EDC異常",
IF(AND(W50="HUB", N50=""), "HUB異常",
IF(OR(AND(Z50="STAR", R50="STAR"), AND(Z50&lt;&gt;"STAR", R50="")), "已完工", "STAR異常")
))))</f>
        <v>已完工</v>
      </c>
      <c r="P50" s="238" t="str">
        <f>(TEXT(I50,"yyyymmdd"))&amp;$S$2&amp;A50&amp;$S$2&amp;B50&amp;$Q$2</f>
        <v>20250411-3606-北縣泰富店(定保)</v>
      </c>
      <c r="Q50" s="357" t="str" cm="1">
        <f t="array" ref="Q50">IF(AND(SUMPRODUCT((IM!$F$2:$F$2000=A50)*(ISNUMBER(SEARCH("EDC", IM!$AC$2:$AC$2000))))&gt;0), "EDC", "")</f>
        <v>EDC</v>
      </c>
      <c r="R50" s="358" t="str" cm="1">
        <f t="array" ref="R50">IF(AND(SUMPRODUCT((IM!$F$2:$F$2000=A50)*(ISNUMBER(SEARCH("STAR", IM!$AC$2:$AC$2000))))&gt;0), "STAR", "")</f>
        <v>STAR</v>
      </c>
      <c r="S50" s="359" cm="1">
        <f t="array" ref="S50">IFERROR(INDEX(IM!$X$2:$X$650, MATCH(1, (IM!$F$2:$F$650=A50) * (ISNUMBER(SEARCH($D$1, IM!$AC$2:$AC$650))), 0)), "")</f>
        <v>45758.493055555555</v>
      </c>
      <c r="T50" s="355">
        <f>IF(AND(X50&lt;&gt;"", Y50&lt;&gt;""), 2, IF(OR(X50&lt;&gt;"", Y50&lt;&gt;""), 1, 0))</f>
        <v>2</v>
      </c>
      <c r="U50" s="355"/>
      <c r="V50" s="373">
        <f>IF(OR(R50="STAR", T50="", U50=""), T50,
"總數：" &amp; T50 &amp; CHAR(10) &amp;
"已維修：" &amp; U50 &amp; CHAR(10) &amp;
"未更換：" &amp; (T50 - U50))</f>
        <v>2</v>
      </c>
      <c r="W50" s="360" t="str">
        <f>IF(VLOOKUP(A50,'0919門市清單主檔'!B:E,4,FALSE)=0,"",VLOOKUP(A50,'0919門市清單主檔'!B:E,4,FALSE))</f>
        <v/>
      </c>
      <c r="X50" s="3" t="s">
        <v>4230</v>
      </c>
      <c r="Y50" s="5" t="s">
        <v>4231</v>
      </c>
      <c r="Z50" s="5" t="str">
        <f>IF(T50&gt;0,"STAR","")</f>
        <v>STAR</v>
      </c>
    </row>
    <row r="51" spans="1:26"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IF(I51&gt;0,(TEXT(I51,"yyyymmdd")&amp;$S$2&amp;A51&amp;$S$2&amp;B51&amp;$Q$2),"")</f>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69" t="str">
        <f>Q51&amp;IF(R51&lt;&gt;"",$P$2,"")&amp;R51</f>
        <v>EDC+STAR</v>
      </c>
      <c r="N51" s="339" t="str" cm="1">
        <f t="array" ref="N51">IF(AND(
    SUMPRODUCT(
        (IM!$F$2:$F$2000=A51) *
        ISNUMBER(SEARCH("HUB", IM!$AC$2:$AC$2000)) *
        (IM!$X$2:$X$2000&gt;=$A$1) *
        (IM!$X$2:$X$2000&lt;=$B$1)*(W51="HUB")
    ) &gt; 0
), "HUB", "")</f>
        <v/>
      </c>
      <c r="O51" s="371" t="str">
        <f>IF(I51="","未到店",
IF(AND(S51&gt;I51, R51="STAR", NOT(AND(G51&lt;&gt;"萊到店 WebPOS", Q51&lt;&gt;"EDC"))), "完工已補裝",
IF(AND(G51&lt;&gt;"萊到店 WebPOS", Q51&lt;&gt;"EDC"), "EDC異常",
IF(AND(W51="HUB", N51=""), "HUB異常",
IF(OR(AND(Z51="STAR", R51="STAR"), AND(Z51&lt;&gt;"STAR", R51="")), "已完工", "STAR異常")
))))</f>
        <v>已完工</v>
      </c>
      <c r="P51" s="238" t="str">
        <f>(TEXT(I51,"yyyymmdd"))&amp;$S$2&amp;A51&amp;$S$2&amp;B51&amp;$Q$2</f>
        <v>20250411-D024-三重三民店(定保)</v>
      </c>
      <c r="Q51" s="357" t="str" cm="1">
        <f t="array" ref="Q51">IF(AND(SUMPRODUCT((IM!$F$2:$F$2000=A51)*(ISNUMBER(SEARCH("EDC", IM!$AC$2:$AC$2000))))&gt;0), "EDC", "")</f>
        <v>EDC</v>
      </c>
      <c r="R51" s="358" t="str" cm="1">
        <f t="array" ref="R51">IF(AND(SUMPRODUCT((IM!$F$2:$F$2000=A51)*(ISNUMBER(SEARCH("STAR", IM!$AC$2:$AC$2000))))&gt;0), "STAR", "")</f>
        <v>STAR</v>
      </c>
      <c r="S51" s="359" cm="1">
        <f t="array" ref="S51">IFERROR(INDEX(IM!$X$2:$X$650, MATCH(1, (IM!$F$2:$F$650=A51) * (ISNUMBER(SEARCH($D$1, IM!$AC$2:$AC$650))), 0)), "")</f>
        <v>45758.502083333333</v>
      </c>
      <c r="T51" s="355">
        <f>IF(AND(X51&lt;&gt;"", Y51&lt;&gt;""), 2, IF(OR(X51&lt;&gt;"", Y51&lt;&gt;""), 1, 0))</f>
        <v>2</v>
      </c>
      <c r="U51" s="355"/>
      <c r="V51" s="373">
        <f>IF(OR(R51="STAR", T51="", U51=""), T51,
"總數：" &amp; T51 &amp; CHAR(10) &amp;
"已維修：" &amp; U51 &amp; CHAR(10) &amp;
"未更換：" &amp; (T51 - U51))</f>
        <v>2</v>
      </c>
      <c r="W51" s="360" t="str">
        <f>IF(VLOOKUP(A51,'0919門市清單主檔'!B:E,4,FALSE)=0,"",VLOOKUP(A51,'0919門市清單主檔'!B:E,4,FALSE))</f>
        <v/>
      </c>
      <c r="X51" s="3" t="s">
        <v>4198</v>
      </c>
      <c r="Y51" s="5" t="s">
        <v>4199</v>
      </c>
      <c r="Z51" s="5" t="str">
        <f>IF(T51&gt;0,"STAR","")</f>
        <v>STAR</v>
      </c>
    </row>
    <row r="52" spans="1:26"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IF(I52&gt;0,(TEXT(I52,"yyyymmdd")&amp;$S$2&amp;A52&amp;$S$2&amp;B52&amp;$Q$2),"")</f>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69" t="str">
        <f>Q52&amp;IF(R52&lt;&gt;"",$P$2,"")&amp;R52</f>
        <v>EDC+STAR</v>
      </c>
      <c r="N52" s="339" t="str" cm="1">
        <f t="array" ref="N52">IF(AND(
    SUMPRODUCT(
        (IM!$F$2:$F$2000=A52) *
        ISNUMBER(SEARCH("HUB", IM!$AC$2:$AC$2000)) *
        (IM!$X$2:$X$2000&gt;=$A$1) *
        (IM!$X$2:$X$2000&lt;=$B$1)*(W52="HUB")
    ) &gt; 0
), "HUB", "")</f>
        <v/>
      </c>
      <c r="O52" s="371" t="str">
        <f>IF(I52="","未到店",
IF(AND(S52&gt;I52, R52="STAR", NOT(AND(G52&lt;&gt;"萊到店 WebPOS", Q52&lt;&gt;"EDC"))), "完工已補裝",
IF(AND(G52&lt;&gt;"萊到店 WebPOS", Q52&lt;&gt;"EDC"), "EDC異常",
IF(AND(W52="HUB", N52=""), "HUB異常",
IF(OR(AND(Z52="STAR", R52="STAR"), AND(Z52&lt;&gt;"STAR", R52="")), "已完工", "STAR異常")
))))</f>
        <v>已完工</v>
      </c>
      <c r="P52" s="238" t="str">
        <f>(TEXT(I52,"yyyymmdd"))&amp;$S$2&amp;A52&amp;$S$2&amp;B52&amp;$Q$2</f>
        <v>20250411-3676-三重田心店(定保)</v>
      </c>
      <c r="Q52" s="357" t="str" cm="1">
        <f t="array" ref="Q52">IF(AND(SUMPRODUCT((IM!$F$2:$F$2000=A52)*(ISNUMBER(SEARCH("EDC", IM!$AC$2:$AC$2000))))&gt;0), "EDC", "")</f>
        <v>EDC</v>
      </c>
      <c r="R52" s="358" t="str" cm="1">
        <f t="array" ref="R52">IF(AND(SUMPRODUCT((IM!$F$2:$F$2000=A52)*(ISNUMBER(SEARCH("STAR", IM!$AC$2:$AC$2000))))&gt;0), "STAR", "")</f>
        <v>STAR</v>
      </c>
      <c r="S52" s="359" cm="1">
        <f t="array" ref="S52">IFERROR(INDEX(IM!$X$2:$X$650, MATCH(1, (IM!$F$2:$F$650=A52) * (ISNUMBER(SEARCH($D$1, IM!$AC$2:$AC$650))), 0)), "")</f>
        <v>45758.548611111109</v>
      </c>
      <c r="T52" s="355">
        <f>IF(AND(X52&lt;&gt;"", Y52&lt;&gt;""), 2, IF(OR(X52&lt;&gt;"", Y52&lt;&gt;""), 1, 0))</f>
        <v>2</v>
      </c>
      <c r="U52" s="355"/>
      <c r="V52" s="373">
        <f>IF(OR(R52="STAR", T52="", U52=""), T52,
"總數：" &amp; T52 &amp; CHAR(10) &amp;
"已維修：" &amp; U52 &amp; CHAR(10) &amp;
"未更換：" &amp; (T52 - U52))</f>
        <v>2</v>
      </c>
      <c r="W52" s="360" t="str">
        <f>IF(VLOOKUP(A52,'0919門市清單主檔'!B:E,4,FALSE)=0,"",VLOOKUP(A52,'0919門市清單主檔'!B:E,4,FALSE))</f>
        <v/>
      </c>
      <c r="X52" s="3" t="s">
        <v>4200</v>
      </c>
      <c r="Y52" s="5" t="s">
        <v>4201</v>
      </c>
      <c r="Z52" s="5" t="str">
        <f>IF(T52&gt;0,"STAR","")</f>
        <v>STAR</v>
      </c>
    </row>
    <row r="53" spans="1:26"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IF(I53&gt;0,(TEXT(I53,"yyyymmdd")&amp;$S$2&amp;A53&amp;$S$2&amp;B53&amp;$Q$2),"")</f>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69" t="str">
        <f>Q53&amp;IF(R53&lt;&gt;"",$P$2,"")&amp;R53</f>
        <v>EDC+STAR</v>
      </c>
      <c r="N53" s="339" t="str" cm="1">
        <f t="array" ref="N53">IF(AND(
    SUMPRODUCT(
        (IM!$F$2:$F$2000=A53) *
        ISNUMBER(SEARCH("HUB", IM!$AC$2:$AC$2000)) *
        (IM!$X$2:$X$2000&gt;=$A$1) *
        (IM!$X$2:$X$2000&lt;=$B$1)*(W53="HUB")
    ) &gt; 0
), "HUB", "")</f>
        <v/>
      </c>
      <c r="O53" s="371" t="str">
        <f>IF(I53="","未到店",
IF(AND(S53&gt;I53, R53="STAR", NOT(AND(G53&lt;&gt;"萊到店 WebPOS", Q53&lt;&gt;"EDC"))), "完工已補裝",
IF(AND(G53&lt;&gt;"萊到店 WebPOS", Q53&lt;&gt;"EDC"), "EDC異常",
IF(AND(W53="HUB", N53=""), "HUB異常",
IF(OR(AND(Z53="STAR", R53="STAR"), AND(Z53&lt;&gt;"STAR", R53="")), "已完工", "STAR異常")
))))</f>
        <v>已完工</v>
      </c>
      <c r="P53" s="238" t="str">
        <f>(TEXT(I53,"yyyymmdd"))&amp;$S$2&amp;A53&amp;$S$2&amp;B53&amp;$Q$2</f>
        <v>20250411-3752-板橋豫章店(定保)</v>
      </c>
      <c r="Q53" s="357" t="str" cm="1">
        <f t="array" ref="Q53">IF(AND(SUMPRODUCT((IM!$F$2:$F$2000=A53)*(ISNUMBER(SEARCH("EDC", IM!$AC$2:$AC$2000))))&gt;0), "EDC", "")</f>
        <v>EDC</v>
      </c>
      <c r="R53" s="358" t="str" cm="1">
        <f t="array" ref="R53">IF(AND(SUMPRODUCT((IM!$F$2:$F$2000=A53)*(ISNUMBER(SEARCH("STAR", IM!$AC$2:$AC$2000))))&gt;0), "STAR", "")</f>
        <v>STAR</v>
      </c>
      <c r="S53" s="359" cm="1">
        <f t="array" ref="S53">IFERROR(INDEX(IM!$X$2:$X$650, MATCH(1, (IM!$F$2:$F$650=A53) * (ISNUMBER(SEARCH($D$1, IM!$AC$2:$AC$650))), 0)), "")</f>
        <v>45758.645833333336</v>
      </c>
      <c r="T53" s="355">
        <f>IF(AND(X53&lt;&gt;"", Y53&lt;&gt;""), 2, IF(OR(X53&lt;&gt;"", Y53&lt;&gt;""), 1, 0))</f>
        <v>2</v>
      </c>
      <c r="U53" s="355"/>
      <c r="V53" s="373">
        <f>IF(OR(R53="STAR", T53="", U53=""), T53,
"總數：" &amp; T53 &amp; CHAR(10) &amp;
"已維修：" &amp; U53 &amp; CHAR(10) &amp;
"未更換：" &amp; (T53 - U53))</f>
        <v>2</v>
      </c>
      <c r="W53" s="360" t="str">
        <f>IF(VLOOKUP(A53,'0919門市清單主檔'!B:E,4,FALSE)=0,"",VLOOKUP(A53,'0919門市清單主檔'!B:E,4,FALSE))</f>
        <v/>
      </c>
      <c r="X53" s="3" t="s">
        <v>4384</v>
      </c>
      <c r="Y53" s="5" t="s">
        <v>4385</v>
      </c>
      <c r="Z53" s="5" t="str">
        <f>IF(T53&gt;0,"STAR","")</f>
        <v>STAR</v>
      </c>
    </row>
    <row r="54" spans="1:26"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IF(I54&gt;0,(TEXT(I54,"yyyymmdd")&amp;$S$2&amp;A54&amp;$S$2&amp;B54&amp;$Q$2),"")</f>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69" t="str">
        <f>Q54&amp;IF(R54&lt;&gt;"",$P$2,"")&amp;R54</f>
        <v>EDC</v>
      </c>
      <c r="N54" s="339" t="str" cm="1">
        <f t="array" ref="N54">IF(AND(
    SUMPRODUCT(
        (IM!$F$2:$F$2000=A54) *
        ISNUMBER(SEARCH("HUB", IM!$AC$2:$AC$2000)) *
        (IM!$X$2:$X$2000&gt;=$A$1) *
        (IM!$X$2:$X$2000&lt;=$B$1)*(W54="HUB")
    ) &gt; 0
), "HUB", "")</f>
        <v/>
      </c>
      <c r="O54" s="371" t="str">
        <f>IF(I54="","未到店",
IF(AND(S54&gt;I54, R54="STAR", NOT(AND(G54&lt;&gt;"萊到店 WebPOS", Q54&lt;&gt;"EDC"))), "完工已補裝",
IF(AND(G54&lt;&gt;"萊到店 WebPOS", Q54&lt;&gt;"EDC"), "EDC異常",
IF(AND(W54="HUB", N54=""), "HUB異常",
IF(OR(AND(Z54="STAR", R54="STAR"), AND(Z54&lt;&gt;"STAR", R54="")), "已完工", "STAR異常")
))))</f>
        <v>已完工</v>
      </c>
      <c r="P54" s="238" t="str">
        <f>(TEXT(I54,"yyyymmdd"))&amp;$S$2&amp;A54&amp;$S$2&amp;B54&amp;$Q$2</f>
        <v>20250411-3977-板橋玉川店(定保)</v>
      </c>
      <c r="Q54" s="357" t="str" cm="1">
        <f t="array" ref="Q54">IF(AND(SUMPRODUCT((IM!$F$2:$F$2000=A54)*(ISNUMBER(SEARCH("EDC", IM!$AC$2:$AC$2000))))&gt;0), "EDC", "")</f>
        <v>EDC</v>
      </c>
      <c r="R54" s="358" t="str" cm="1">
        <f t="array" ref="R54">IF(AND(SUMPRODUCT((IM!$F$2:$F$2000=A54)*(ISNUMBER(SEARCH("STAR", IM!$AC$2:$AC$2000))))&gt;0), "STAR", "")</f>
        <v/>
      </c>
      <c r="S54" s="359" t="str" cm="1">
        <f t="array" ref="S54">IFERROR(INDEX(IM!$X$2:$X$650, MATCH(1, (IM!$F$2:$F$650=A54) * (ISNUMBER(SEARCH($D$1, IM!$AC$2:$AC$650))), 0)), "")</f>
        <v/>
      </c>
      <c r="T54" s="355">
        <f>IF(AND(X54&lt;&gt;"", Y54&lt;&gt;""), 2, IF(OR(X54&lt;&gt;"", Y54&lt;&gt;""), 1, 0))</f>
        <v>0</v>
      </c>
      <c r="U54" s="355"/>
      <c r="V54" s="373">
        <f>IF(OR(R54="STAR", T54="", U54=""), T54,
"總數：" &amp; T54 &amp; CHAR(10) &amp;
"已維修：" &amp; U54 &amp; CHAR(10) &amp;
"未更換：" &amp; (T54 - U54))</f>
        <v>0</v>
      </c>
      <c r="W54" s="360" t="str">
        <f>IF(VLOOKUP(A54,'0919門市清單主檔'!B:E,4,FALSE)=0,"",VLOOKUP(A54,'0919門市清單主檔'!B:E,4,FALSE))</f>
        <v/>
      </c>
      <c r="Y54" s="5"/>
      <c r="Z54" s="5" t="str">
        <f>IF(T54&gt;0,"STAR","")</f>
        <v/>
      </c>
    </row>
    <row r="55" spans="1:26"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IF(I55&gt;0,(TEXT(I55,"yyyymmdd")&amp;$S$2&amp;A55&amp;$S$2&amp;B55&amp;$Q$2),"")</f>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69" t="str">
        <f>Q55&amp;IF(R55&lt;&gt;"",$P$2,"")&amp;R55</f>
        <v>EDC+STAR</v>
      </c>
      <c r="N55" s="339" t="str" cm="1">
        <f t="array" ref="N55">IF(AND(
    SUMPRODUCT(
        (IM!$F$2:$F$2000=A55) *
        ISNUMBER(SEARCH("HUB", IM!$AC$2:$AC$2000)) *
        (IM!$X$2:$X$2000&gt;=$A$1) *
        (IM!$X$2:$X$2000&lt;=$B$1)*(W55="HUB")
    ) &gt; 0
), "HUB", "")</f>
        <v/>
      </c>
      <c r="O55" s="371" t="str">
        <f>IF(I55="","未到店",
IF(AND(S55&gt;I55, R55="STAR", NOT(AND(G55&lt;&gt;"萊到店 WebPOS", Q55&lt;&gt;"EDC"))), "完工已補裝",
IF(AND(G55&lt;&gt;"萊到店 WebPOS", Q55&lt;&gt;"EDC"), "EDC異常",
IF(AND(W55="HUB", N55=""), "HUB異常",
IF(OR(AND(Z55="STAR", R55="STAR"), AND(Z55&lt;&gt;"STAR", R55="")), "已完工", "STAR異常")
))))</f>
        <v>已完工</v>
      </c>
      <c r="P55" s="238" t="str">
        <f>(TEXT(I55,"yyyymmdd"))&amp;$S$2&amp;A55&amp;$S$2&amp;B55&amp;$Q$2</f>
        <v>20250414-4005-新莊雙鳳店(定保)</v>
      </c>
      <c r="Q55" s="357" t="str" cm="1">
        <f t="array" ref="Q55">IF(AND(SUMPRODUCT((IM!$F$2:$F$2000=A55)*(ISNUMBER(SEARCH("EDC", IM!$AC$2:$AC$2000))))&gt;0), "EDC", "")</f>
        <v>EDC</v>
      </c>
      <c r="R55" s="358" t="str" cm="1">
        <f t="array" ref="R55">IF(AND(SUMPRODUCT((IM!$F$2:$F$2000=A55)*(ISNUMBER(SEARCH("STAR", IM!$AC$2:$AC$2000))))&gt;0), "STAR", "")</f>
        <v>STAR</v>
      </c>
      <c r="S55" s="359" cm="1">
        <f t="array" ref="S55">IFERROR(INDEX(IM!$X$2:$X$650, MATCH(1, (IM!$F$2:$F$650=A55) * (ISNUMBER(SEARCH($D$1, IM!$AC$2:$AC$650))), 0)), "")</f>
        <v>45761.479166666664</v>
      </c>
      <c r="T55" s="355">
        <f>IF(AND(X55&lt;&gt;"", Y55&lt;&gt;""), 2, IF(OR(X55&lt;&gt;"", Y55&lt;&gt;""), 1, 0))</f>
        <v>2</v>
      </c>
      <c r="U55" s="355"/>
      <c r="V55" s="373">
        <f>IF(OR(R55="STAR", T55="", U55=""), T55,
"總數：" &amp; T55 &amp; CHAR(10) &amp;
"已維修：" &amp; U55 &amp; CHAR(10) &amp;
"未更換：" &amp; (T55 - U55))</f>
        <v>2</v>
      </c>
      <c r="W55" s="360" t="str">
        <f>IF(VLOOKUP(A55,'0919門市清單主檔'!B:E,4,FALSE)=0,"",VLOOKUP(A55,'0919門市清單主檔'!B:E,4,FALSE))</f>
        <v/>
      </c>
      <c r="X55" s="3" t="s">
        <v>4226</v>
      </c>
      <c r="Y55" s="5" t="s">
        <v>4227</v>
      </c>
      <c r="Z55" s="5" t="str">
        <f>IF(T55&gt;0,"STAR","")</f>
        <v>STAR</v>
      </c>
    </row>
    <row r="56" spans="1:26"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IF(I56&gt;0,(TEXT(I56,"yyyymmdd")&amp;$S$2&amp;A56&amp;$S$2&amp;B56&amp;$Q$2),"")</f>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69" t="str">
        <f>Q56&amp;IF(R56&lt;&gt;"",$P$2,"")&amp;R56</f>
        <v>EDC+STAR</v>
      </c>
      <c r="N56" s="339" t="str" cm="1">
        <f t="array" ref="N56">IF(AND(
    SUMPRODUCT(
        (IM!$F$2:$F$2000=A56) *
        ISNUMBER(SEARCH("HUB", IM!$AC$2:$AC$2000)) *
        (IM!$X$2:$X$2000&gt;=$A$1) *
        (IM!$X$2:$X$2000&lt;=$B$1)*(W56="HUB")
    ) &gt; 0
), "HUB", "")</f>
        <v/>
      </c>
      <c r="O56" s="371" t="str">
        <f>IF(I56="","未到店",
IF(AND(S56&gt;I56, R56="STAR", NOT(AND(G56&lt;&gt;"萊到店 WebPOS", Q56&lt;&gt;"EDC"))), "完工已補裝",
IF(AND(G56&lt;&gt;"萊到店 WebPOS", Q56&lt;&gt;"EDC"), "EDC異常",
IF(AND(W56="HUB", N56=""), "HUB異常",
IF(OR(AND(Z56="STAR", R56="STAR"), AND(Z56&lt;&gt;"STAR", R56="")), "已完工", "STAR異常")
))))</f>
        <v>已完工</v>
      </c>
      <c r="P56" s="238" t="str">
        <f>(TEXT(I56,"yyyymmdd"))&amp;$S$2&amp;A56&amp;$S$2&amp;B56&amp;$Q$2</f>
        <v>20250414-D649-北縣中陽店(定保)</v>
      </c>
      <c r="Q56" s="357" t="str" cm="1">
        <f t="array" ref="Q56">IF(AND(SUMPRODUCT((IM!$F$2:$F$2000=A56)*(ISNUMBER(SEARCH("EDC", IM!$AC$2:$AC$2000))))&gt;0), "EDC", "")</f>
        <v>EDC</v>
      </c>
      <c r="R56" s="358" t="str" cm="1">
        <f t="array" ref="R56">IF(AND(SUMPRODUCT((IM!$F$2:$F$2000=A56)*(ISNUMBER(SEARCH("STAR", IM!$AC$2:$AC$2000))))&gt;0), "STAR", "")</f>
        <v>STAR</v>
      </c>
      <c r="S56" s="359" cm="1">
        <f t="array" ref="S56">IFERROR(INDEX(IM!$X$2:$X$650, MATCH(1, (IM!$F$2:$F$650=A56) * (ISNUMBER(SEARCH($D$1, IM!$AC$2:$AC$650))), 0)), "")</f>
        <v>45761.48333333333</v>
      </c>
      <c r="T56" s="355">
        <f>IF(AND(X56&lt;&gt;"", Y56&lt;&gt;""), 2, IF(OR(X56&lt;&gt;"", Y56&lt;&gt;""), 1, 0))</f>
        <v>2</v>
      </c>
      <c r="U56" s="355"/>
      <c r="V56" s="373">
        <f>IF(OR(R56="STAR", T56="", U56=""), T56,
"總數：" &amp; T56 &amp; CHAR(10) &amp;
"已維修：" &amp; U56 &amp; CHAR(10) &amp;
"未更換：" &amp; (T56 - U56))</f>
        <v>2</v>
      </c>
      <c r="W56" s="360" t="str">
        <f>IF(VLOOKUP(A56,'0919門市清單主檔'!B:E,4,FALSE)=0,"",VLOOKUP(A56,'0919門市清單主檔'!B:E,4,FALSE))</f>
        <v/>
      </c>
      <c r="X56" s="3" t="s">
        <v>4186</v>
      </c>
      <c r="Y56" s="5" t="s">
        <v>4187</v>
      </c>
      <c r="Z56" s="5" t="str">
        <f>IF(T56&gt;0,"STAR","")</f>
        <v>STAR</v>
      </c>
    </row>
    <row r="57" spans="1:26"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IF(I57&gt;0,(TEXT(I57,"yyyymmdd")&amp;$S$2&amp;A57&amp;$S$2&amp;B57&amp;$Q$2),"")</f>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69" t="str">
        <f>Q57&amp;IF(R57&lt;&gt;"",$P$2,"")&amp;R57</f>
        <v>EDC+STAR</v>
      </c>
      <c r="N57" s="339" t="str" cm="1">
        <f t="array" ref="N57">IF(AND(
    SUMPRODUCT(
        (IM!$F$2:$F$2000=A57) *
        ISNUMBER(SEARCH("HUB", IM!$AC$2:$AC$2000)) *
        (IM!$X$2:$X$2000&gt;=$A$1) *
        (IM!$X$2:$X$2000&lt;=$B$1)*(W57="HUB")
    ) &gt; 0
), "HUB", "")</f>
        <v/>
      </c>
      <c r="O57" s="371" t="str">
        <f>IF(I57="","未到店",
IF(AND(S57&gt;I57, R57="STAR", NOT(AND(G57&lt;&gt;"萊到店 WebPOS", Q57&lt;&gt;"EDC"))), "完工已補裝",
IF(AND(G57&lt;&gt;"萊到店 WebPOS", Q57&lt;&gt;"EDC"), "EDC異常",
IF(AND(W57="HUB", N57=""), "HUB異常",
IF(OR(AND(Z57="STAR", R57="STAR"), AND(Z57&lt;&gt;"STAR", R57="")), "已完工", "STAR異常")
))))</f>
        <v>已完工</v>
      </c>
      <c r="P57" s="238" t="str">
        <f>(TEXT(I57,"yyyymmdd"))&amp;$S$2&amp;A57&amp;$S$2&amp;B57&amp;$Q$2</f>
        <v>20250414-2014-三重中陽二店(定保)</v>
      </c>
      <c r="Q57" s="357" t="str" cm="1">
        <f t="array" ref="Q57">IF(AND(SUMPRODUCT((IM!$F$2:$F$2000=A57)*(ISNUMBER(SEARCH("EDC", IM!$AC$2:$AC$2000))))&gt;0), "EDC", "")</f>
        <v>EDC</v>
      </c>
      <c r="R57" s="358" t="str" cm="1">
        <f t="array" ref="R57">IF(AND(SUMPRODUCT((IM!$F$2:$F$2000=A57)*(ISNUMBER(SEARCH("STAR", IM!$AC$2:$AC$2000))))&gt;0), "STAR", "")</f>
        <v>STAR</v>
      </c>
      <c r="S57" s="359" cm="1">
        <f t="array" ref="S57">IFERROR(INDEX(IM!$X$2:$X$650, MATCH(1, (IM!$F$2:$F$650=A57) * (ISNUMBER(SEARCH($D$1, IM!$AC$2:$AC$650))), 0)), "")</f>
        <v>45761.527083333334</v>
      </c>
      <c r="T57" s="355">
        <f>IF(AND(X57&lt;&gt;"", Y57&lt;&gt;""), 2, IF(OR(X57&lt;&gt;"", Y57&lt;&gt;""), 1, 0))</f>
        <v>2</v>
      </c>
      <c r="U57" s="355"/>
      <c r="V57" s="373">
        <f>IF(OR(R57="STAR", T57="", U57=""), T57,
"總數：" &amp; T57 &amp; CHAR(10) &amp;
"已維修：" &amp; U57 &amp; CHAR(10) &amp;
"未更換：" &amp; (T57 - U57))</f>
        <v>2</v>
      </c>
      <c r="W57" s="360" t="str">
        <f>IF(VLOOKUP(A57,'0919門市清單主檔'!B:E,4,FALSE)=0,"",VLOOKUP(A57,'0919門市清單主檔'!B:E,4,FALSE))</f>
        <v/>
      </c>
      <c r="X57" s="3" t="s">
        <v>4167</v>
      </c>
      <c r="Y57" s="5" t="s">
        <v>4166</v>
      </c>
      <c r="Z57" s="5" t="str">
        <f>IF(T57&gt;0,"STAR","")</f>
        <v>STAR</v>
      </c>
    </row>
    <row r="58" spans="1:26"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IF(I58&gt;0,(TEXT(I58,"yyyymmdd")&amp;$S$2&amp;A58&amp;$S$2&amp;B58&amp;$Q$2),"")</f>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69" t="str">
        <f>Q58&amp;IF(R58&lt;&gt;"",$P$2,"")&amp;R58</f>
        <v>EDC</v>
      </c>
      <c r="N58" s="339" t="str" cm="1">
        <f t="array" ref="N58">IF(AND(
    SUMPRODUCT(
        (IM!$F$2:$F$2000=A58) *
        ISNUMBER(SEARCH("HUB", IM!$AC$2:$AC$2000)) *
        (IM!$X$2:$X$2000&gt;=$A$1) *
        (IM!$X$2:$X$2000&lt;=$B$1)*(W58="HUB")
    ) &gt; 0
), "HUB", "")</f>
        <v/>
      </c>
      <c r="O58" s="371" t="str">
        <f>IF(I58="","未到店",
IF(AND(S58&gt;I58, R58="STAR", NOT(AND(G58&lt;&gt;"萊到店 WebPOS", Q58&lt;&gt;"EDC"))), "完工已補裝",
IF(AND(G58&lt;&gt;"萊到店 WebPOS", Q58&lt;&gt;"EDC"), "EDC異常",
IF(AND(W58="HUB", N58=""), "HUB異常",
IF(OR(AND(Z58="STAR", R58="STAR"), AND(Z58&lt;&gt;"STAR", R58="")), "已完工", "STAR異常")
))))</f>
        <v>已完工</v>
      </c>
      <c r="P58" s="238" t="str">
        <f>(TEXT(I58,"yyyymmdd"))&amp;$S$2&amp;A58&amp;$S$2&amp;B58&amp;$Q$2</f>
        <v>20250414-5003-五股更寮店(定保)</v>
      </c>
      <c r="Q58" s="357" t="str" cm="1">
        <f t="array" ref="Q58">IF(AND(SUMPRODUCT((IM!$F$2:$F$2000=A58)*(ISNUMBER(SEARCH("EDC", IM!$AC$2:$AC$2000))))&gt;0), "EDC", "")</f>
        <v>EDC</v>
      </c>
      <c r="R58" s="358" t="str" cm="1">
        <f t="array" ref="R58">IF(AND(SUMPRODUCT((IM!$F$2:$F$2000=A58)*(ISNUMBER(SEARCH("STAR", IM!$AC$2:$AC$2000))))&gt;0), "STAR", "")</f>
        <v/>
      </c>
      <c r="S58" s="359" t="str" cm="1">
        <f t="array" ref="S58">IFERROR(INDEX(IM!$X$2:$X$650, MATCH(1, (IM!$F$2:$F$650=A58) * (ISNUMBER(SEARCH($D$1, IM!$AC$2:$AC$650))), 0)), "")</f>
        <v/>
      </c>
      <c r="T58" s="355">
        <f>IF(AND(X58&lt;&gt;"", Y58&lt;&gt;""), 2, IF(OR(X58&lt;&gt;"", Y58&lt;&gt;""), 1, 0))</f>
        <v>0</v>
      </c>
      <c r="U58" s="355"/>
      <c r="V58" s="373">
        <f>IF(OR(R58="STAR", T58="", U58=""), T58,
"總數：" &amp; T58 &amp; CHAR(10) &amp;
"已維修：" &amp; U58 &amp; CHAR(10) &amp;
"未更換：" &amp; (T58 - U58))</f>
        <v>0</v>
      </c>
      <c r="W58" s="360" t="str">
        <f>IF(VLOOKUP(A58,'0919門市清單主檔'!B:E,4,FALSE)=0,"",VLOOKUP(A58,'0919門市清單主檔'!B:E,4,FALSE))</f>
        <v/>
      </c>
      <c r="Y58" s="5"/>
      <c r="Z58" s="5" t="str">
        <f>IF(T58&gt;0,"STAR","")</f>
        <v/>
      </c>
    </row>
    <row r="59" spans="1:26"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IF(I59&gt;0,(TEXT(I59,"yyyymmdd")&amp;$S$2&amp;A59&amp;$S$2&amp;B59&amp;$Q$2),"")</f>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69" t="str">
        <f>Q59&amp;IF(R59&lt;&gt;"",$P$2,"")&amp;R59</f>
        <v>EDC+STAR</v>
      </c>
      <c r="N59" s="339" t="str" cm="1">
        <f t="array" ref="N59">IF(AND(
    SUMPRODUCT(
        (IM!$F$2:$F$2000=A59) *
        ISNUMBER(SEARCH("HUB", IM!$AC$2:$AC$2000)) *
        (IM!$X$2:$X$2000&gt;=$A$1) *
        (IM!$X$2:$X$2000&lt;=$B$1)*(W59="HUB")
    ) &gt; 0
), "HUB", "")</f>
        <v/>
      </c>
      <c r="O59" s="371" t="str">
        <f>IF(I59="","未到店",
IF(AND(S59&gt;I59, R59="STAR", NOT(AND(G59&lt;&gt;"萊到店 WebPOS", Q59&lt;&gt;"EDC"))), "完工已補裝",
IF(AND(G59&lt;&gt;"萊到店 WebPOS", Q59&lt;&gt;"EDC"), "EDC異常",
IF(AND(W59="HUB", N59=""), "HUB異常",
IF(OR(AND(Z59="STAR", R59="STAR"), AND(Z59&lt;&gt;"STAR", R59="")), "已完工", "STAR異常")
))))</f>
        <v>已完工</v>
      </c>
      <c r="P59" s="238" t="str">
        <f>(TEXT(I59,"yyyymmdd"))&amp;$S$2&amp;A59&amp;$S$2&amp;B59&amp;$Q$2</f>
        <v>20250414-3227-五股四維店(定保)</v>
      </c>
      <c r="Q59" s="357" t="str" cm="1">
        <f t="array" ref="Q59">IF(AND(SUMPRODUCT((IM!$F$2:$F$2000=A59)*(ISNUMBER(SEARCH("EDC", IM!$AC$2:$AC$2000))))&gt;0), "EDC", "")</f>
        <v>EDC</v>
      </c>
      <c r="R59" s="358" t="str" cm="1">
        <f t="array" ref="R59">IF(AND(SUMPRODUCT((IM!$F$2:$F$2000=A59)*(ISNUMBER(SEARCH("STAR", IM!$AC$2:$AC$2000))))&gt;0), "STAR", "")</f>
        <v>STAR</v>
      </c>
      <c r="S59" s="359" cm="1">
        <f t="array" ref="S59">IFERROR(INDEX(IM!$X$2:$X$650, MATCH(1, (IM!$F$2:$F$650=A59) * (ISNUMBER(SEARCH($D$1, IM!$AC$2:$AC$650))), 0)), "")</f>
        <v>45761.645833333336</v>
      </c>
      <c r="T59" s="355">
        <f>IF(AND(X59&lt;&gt;"", Y59&lt;&gt;""), 2, IF(OR(X59&lt;&gt;"", Y59&lt;&gt;""), 1, 0))</f>
        <v>1</v>
      </c>
      <c r="U59" s="355"/>
      <c r="V59" s="373">
        <f>IF(OR(R59="STAR", T59="", U59=""), T59,
"總數：" &amp; T59 &amp; CHAR(10) &amp;
"已維修：" &amp; U59 &amp; CHAR(10) &amp;
"未更換：" &amp; (T59 - U59))</f>
        <v>1</v>
      </c>
      <c r="W59" s="360" t="str">
        <f>IF(VLOOKUP(A59,'0919門市清單主檔'!B:E,4,FALSE)=0,"",VLOOKUP(A59,'0919門市清單主檔'!B:E,4,FALSE))</f>
        <v/>
      </c>
      <c r="Y59" s="5" t="s">
        <v>4225</v>
      </c>
      <c r="Z59" s="5" t="str">
        <f>IF(T59&gt;0,"STAR","")</f>
        <v>STAR</v>
      </c>
    </row>
    <row r="60" spans="1:26"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IF(I60&gt;0,(TEXT(I60,"yyyymmdd")&amp;$S$2&amp;A60&amp;$S$2&amp;B60&amp;$Q$2),"")</f>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69" t="str">
        <f>Q60&amp;IF(R60&lt;&gt;"",$P$2,"")&amp;R60</f>
        <v>EDC+STAR</v>
      </c>
      <c r="N60" s="339" t="str" cm="1">
        <f t="array" ref="N60">IF(AND(
    SUMPRODUCT(
        (IM!$F$2:$F$2000=A60) *
        ISNUMBER(SEARCH("HUB", IM!$AC$2:$AC$2000)) *
        (IM!$X$2:$X$2000&gt;=$A$1) *
        (IM!$X$2:$X$2000&lt;=$B$1)*(W60="HUB")
    ) &gt; 0
), "HUB", "")</f>
        <v/>
      </c>
      <c r="O60" s="371" t="str">
        <f>IF(I60="","未到店",
IF(AND(S60&gt;I60, R60="STAR", NOT(AND(G60&lt;&gt;"萊到店 WebPOS", Q60&lt;&gt;"EDC"))), "完工已補裝",
IF(AND(G60&lt;&gt;"萊到店 WebPOS", Q60&lt;&gt;"EDC"), "EDC異常",
IF(AND(W60="HUB", N60=""), "HUB異常",
IF(OR(AND(Z60="STAR", R60="STAR"), AND(Z60&lt;&gt;"STAR", R60="")), "已完工", "STAR異常")
))))</f>
        <v>已完工</v>
      </c>
      <c r="P60" s="238" t="str">
        <f>(TEXT(I60,"yyyymmdd"))&amp;$S$2&amp;A60&amp;$S$2&amp;B60&amp;$Q$2</f>
        <v>20250415-3983-三重星光店(定保)</v>
      </c>
      <c r="Q60" s="357" t="str" cm="1">
        <f t="array" ref="Q60">IF(AND(SUMPRODUCT((IM!$F$2:$F$2000=A60)*(ISNUMBER(SEARCH("EDC", IM!$AC$2:$AC$2000))))&gt;0), "EDC", "")</f>
        <v>EDC</v>
      </c>
      <c r="R60" s="358" t="str" cm="1">
        <f t="array" ref="R60">IF(AND(SUMPRODUCT((IM!$F$2:$F$2000=A60)*(ISNUMBER(SEARCH("STAR", IM!$AC$2:$AC$2000))))&gt;0), "STAR", "")</f>
        <v>STAR</v>
      </c>
      <c r="S60" s="359" cm="1">
        <f t="array" ref="S60">IFERROR(INDEX(IM!$X$2:$X$650, MATCH(1, (IM!$F$2:$F$650=A60) * (ISNUMBER(SEARCH($D$1, IM!$AC$2:$AC$650))), 0)), "")</f>
        <v>45762.490972222222</v>
      </c>
      <c r="T60" s="355">
        <f>IF(AND(X60&lt;&gt;"", Y60&lt;&gt;""), 2, IF(OR(X60&lt;&gt;"", Y60&lt;&gt;""), 1, 0))</f>
        <v>1</v>
      </c>
      <c r="U60" s="355"/>
      <c r="V60" s="373">
        <f>IF(OR(R60="STAR", T60="", U60=""), T60,
"總數：" &amp; T60 &amp; CHAR(10) &amp;
"已維修：" &amp; U60 &amp; CHAR(10) &amp;
"未更換：" &amp; (T60 - U60))</f>
        <v>1</v>
      </c>
      <c r="W60" s="360" t="str">
        <f>IF(VLOOKUP(A60,'0919門市清單主檔'!B:E,4,FALSE)=0,"",VLOOKUP(A60,'0919門市清單主檔'!B:E,4,FALSE))</f>
        <v/>
      </c>
      <c r="X60" s="3" t="s">
        <v>4185</v>
      </c>
      <c r="Y60" s="5"/>
      <c r="Z60" s="5" t="str">
        <f>IF(T60&gt;0,"STAR","")</f>
        <v>STAR</v>
      </c>
    </row>
    <row r="61" spans="1:26"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IF(I61&gt;0,(TEXT(I61,"yyyymmdd")&amp;$S$2&amp;A61&amp;$S$2&amp;B61&amp;$Q$2),"")</f>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69" t="str">
        <f>Q61&amp;IF(R61&lt;&gt;"",$P$2,"")&amp;R61</f>
        <v>EDC+STAR</v>
      </c>
      <c r="N61" s="339" t="str" cm="1">
        <f t="array" ref="N61">IF(AND(
    SUMPRODUCT(
        (IM!$F$2:$F$2000=A61) *
        ISNUMBER(SEARCH("HUB", IM!$AC$2:$AC$2000)) *
        (IM!$X$2:$X$2000&gt;=$A$1) *
        (IM!$X$2:$X$2000&lt;=$B$1)*(W61="HUB")
    ) &gt; 0
), "HUB", "")</f>
        <v/>
      </c>
      <c r="O61" s="371" t="str">
        <f>IF(I61="","未到店",
IF(AND(S61&gt;I61, R61="STAR", NOT(AND(G61&lt;&gt;"萊到店 WebPOS", Q61&lt;&gt;"EDC"))), "完工已補裝",
IF(AND(G61&lt;&gt;"萊到店 WebPOS", Q61&lt;&gt;"EDC"), "EDC異常",
IF(AND(W61="HUB", N61=""), "HUB異常",
IF(OR(AND(Z61="STAR", R61="STAR"), AND(Z61&lt;&gt;"STAR", R61="")), "已完工", "STAR異常")
))))</f>
        <v>已完工</v>
      </c>
      <c r="P61" s="238" t="str">
        <f>(TEXT(I61,"yyyymmdd"))&amp;$S$2&amp;A61&amp;$S$2&amp;B61&amp;$Q$2</f>
        <v>20250415-D174-新莊裕民店(定保)</v>
      </c>
      <c r="Q61" s="357" t="str" cm="1">
        <f t="array" ref="Q61">IF(AND(SUMPRODUCT((IM!$F$2:$F$2000=A61)*(ISNUMBER(SEARCH("EDC", IM!$AC$2:$AC$2000))))&gt;0), "EDC", "")</f>
        <v>EDC</v>
      </c>
      <c r="R61" s="358" t="str" cm="1">
        <f t="array" ref="R61">IF(AND(SUMPRODUCT((IM!$F$2:$F$2000=A61)*(ISNUMBER(SEARCH("STAR", IM!$AC$2:$AC$2000))))&gt;0), "STAR", "")</f>
        <v>STAR</v>
      </c>
      <c r="S61" s="359" cm="1">
        <f t="array" ref="S61">IFERROR(INDEX(IM!$X$2:$X$650, MATCH(1, (IM!$F$2:$F$650=A61) * (ISNUMBER(SEARCH($D$1, IM!$AC$2:$AC$650))), 0)), "")</f>
        <v>45762.541666666664</v>
      </c>
      <c r="T61" s="355">
        <f>IF(AND(X61&lt;&gt;"", Y61&lt;&gt;""), 2, IF(OR(X61&lt;&gt;"", Y61&lt;&gt;""), 1, 0))</f>
        <v>1</v>
      </c>
      <c r="U61" s="355"/>
      <c r="V61" s="373">
        <f>IF(OR(R61="STAR", T61="", U61=""), T61,
"總數：" &amp; T61 &amp; CHAR(10) &amp;
"已維修：" &amp; U61 &amp; CHAR(10) &amp;
"未更換：" &amp; (T61 - U61))</f>
        <v>1</v>
      </c>
      <c r="W61" s="360" t="str">
        <f>IF(VLOOKUP(A61,'0919門市清單主檔'!B:E,4,FALSE)=0,"",VLOOKUP(A61,'0919門市清單主檔'!B:E,4,FALSE))</f>
        <v/>
      </c>
      <c r="X61" s="3" t="s">
        <v>4151</v>
      </c>
      <c r="Y61" s="5"/>
      <c r="Z61" s="5" t="str">
        <f>IF(T61&gt;0,"STAR","")</f>
        <v>STAR</v>
      </c>
    </row>
    <row r="62" spans="1:26"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IF(I62&gt;0,(TEXT(I62,"yyyymmdd")&amp;$S$2&amp;A62&amp;$S$2&amp;B62&amp;$Q$2),"")</f>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69" t="str">
        <f>Q62&amp;IF(R62&lt;&gt;"",$P$2,"")&amp;R62</f>
        <v>EDC+STAR</v>
      </c>
      <c r="N62" s="339" t="str" cm="1">
        <f t="array" ref="N62">IF(AND(
    SUMPRODUCT(
        (IM!$F$2:$F$2000=A62) *
        ISNUMBER(SEARCH("HUB", IM!$AC$2:$AC$2000)) *
        (IM!$X$2:$X$2000&gt;=$A$1) *
        (IM!$X$2:$X$2000&lt;=$B$1)*(W62="HUB")
    ) &gt; 0
), "HUB", "")</f>
        <v/>
      </c>
      <c r="O62" s="371" t="str">
        <f>IF(I62="","未到店",
IF(AND(S62&gt;I62, R62="STAR", NOT(AND(G62&lt;&gt;"萊到店 WebPOS", Q62&lt;&gt;"EDC"))), "完工已補裝",
IF(AND(G62&lt;&gt;"萊到店 WebPOS", Q62&lt;&gt;"EDC"), "EDC異常",
IF(AND(W62="HUB", N62=""), "HUB異常",
IF(OR(AND(Z62="STAR", R62="STAR"), AND(Z62&lt;&gt;"STAR", R62="")), "已完工", "STAR異常")
))))</f>
        <v>已完工</v>
      </c>
      <c r="P62" s="238" t="str">
        <f>(TEXT(I62,"yyyymmdd"))&amp;$S$2&amp;A62&amp;$S$2&amp;B62&amp;$Q$2</f>
        <v>20250415-4804-三重國隆店(定保)</v>
      </c>
      <c r="Q62" s="357" t="str" cm="1">
        <f t="array" ref="Q62">IF(AND(SUMPRODUCT((IM!$F$2:$F$2000=A62)*(ISNUMBER(SEARCH("EDC", IM!$AC$2:$AC$2000))))&gt;0), "EDC", "")</f>
        <v>EDC</v>
      </c>
      <c r="R62" s="358" t="str" cm="1">
        <f t="array" ref="R62">IF(AND(SUMPRODUCT((IM!$F$2:$F$2000=A62)*(ISNUMBER(SEARCH("STAR", IM!$AC$2:$AC$2000))))&gt;0), "STAR", "")</f>
        <v>STAR</v>
      </c>
      <c r="S62" s="359" cm="1">
        <f t="array" ref="S62">IFERROR(INDEX(IM!$X$2:$X$650, MATCH(1, (IM!$F$2:$F$650=A62) * (ISNUMBER(SEARCH($D$1, IM!$AC$2:$AC$650))), 0)), "")</f>
        <v>45762.557638888888</v>
      </c>
      <c r="T62" s="355">
        <f>IF(AND(X62&lt;&gt;"", Y62&lt;&gt;""), 2, IF(OR(X62&lt;&gt;"", Y62&lt;&gt;""), 1, 0))</f>
        <v>2</v>
      </c>
      <c r="U62" s="355"/>
      <c r="V62" s="373">
        <f>IF(OR(R62="STAR", T62="", U62=""), T62,
"總數：" &amp; T62 &amp; CHAR(10) &amp;
"已維修：" &amp; U62 &amp; CHAR(10) &amp;
"未更換：" &amp; (T62 - U62))</f>
        <v>2</v>
      </c>
      <c r="W62" s="360" t="str">
        <f>IF(VLOOKUP(A62,'0919門市清單主檔'!B:E,4,FALSE)=0,"",VLOOKUP(A62,'0919門市清單主檔'!B:E,4,FALSE))</f>
        <v/>
      </c>
      <c r="X62" s="3" t="s">
        <v>4188</v>
      </c>
      <c r="Y62" s="5" t="s">
        <v>4189</v>
      </c>
      <c r="Z62" s="5" t="str">
        <f>IF(T62&gt;0,"STAR","")</f>
        <v>STAR</v>
      </c>
    </row>
    <row r="63" spans="1:26"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IF(I63&gt;0,(TEXT(I63,"yyyymmdd")&amp;$S$2&amp;A63&amp;$S$2&amp;B63&amp;$Q$2),"")</f>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69" t="str">
        <f>Q63&amp;IF(R63&lt;&gt;"",$P$2,"")&amp;R63</f>
        <v>EDC+STAR</v>
      </c>
      <c r="N63" s="339" t="str" cm="1">
        <f t="array" ref="N63">IF(AND(
    SUMPRODUCT(
        (IM!$F$2:$F$2000=A63) *
        ISNUMBER(SEARCH("HUB", IM!$AC$2:$AC$2000)) *
        (IM!$X$2:$X$2000&gt;=$A$1) *
        (IM!$X$2:$X$2000&lt;=$B$1)*(W63="HUB")
    ) &gt; 0
), "HUB", "")</f>
        <v/>
      </c>
      <c r="O63" s="371" t="str">
        <f>IF(I63="","未到店",
IF(AND(S63&gt;I63, R63="STAR", NOT(AND(G63&lt;&gt;"萊到店 WebPOS", Q63&lt;&gt;"EDC"))), "完工已補裝",
IF(AND(G63&lt;&gt;"萊到店 WebPOS", Q63&lt;&gt;"EDC"), "EDC異常",
IF(AND(W63="HUB", N63=""), "HUB異常",
IF(OR(AND(Z63="STAR", R63="STAR"), AND(Z63&lt;&gt;"STAR", R63="")), "已完工", "STAR異常")
))))</f>
        <v>已完工</v>
      </c>
      <c r="P63" s="238" t="str">
        <f>(TEXT(I63,"yyyymmdd"))&amp;$S$2&amp;A63&amp;$S$2&amp;B63&amp;$Q$2</f>
        <v>20250415-D148-新莊福營店(定保)</v>
      </c>
      <c r="Q63" s="357" t="str" cm="1">
        <f t="array" ref="Q63">IF(AND(SUMPRODUCT((IM!$F$2:$F$2000=A63)*(ISNUMBER(SEARCH("EDC", IM!$AC$2:$AC$2000))))&gt;0), "EDC", "")</f>
        <v>EDC</v>
      </c>
      <c r="R63" s="358" t="str" cm="1">
        <f t="array" ref="R63">IF(AND(SUMPRODUCT((IM!$F$2:$F$2000=A63)*(ISNUMBER(SEARCH("STAR", IM!$AC$2:$AC$2000))))&gt;0), "STAR", "")</f>
        <v>STAR</v>
      </c>
      <c r="S63" s="359" cm="1">
        <f t="array" ref="S63">IFERROR(INDEX(IM!$X$2:$X$650, MATCH(1, (IM!$F$2:$F$650=A63) * (ISNUMBER(SEARCH($D$1, IM!$AC$2:$AC$650))), 0)), "")</f>
        <v>45762.576388888891</v>
      </c>
      <c r="T63" s="355">
        <f>IF(AND(X63&lt;&gt;"", Y63&lt;&gt;""), 2, IF(OR(X63&lt;&gt;"", Y63&lt;&gt;""), 1, 0))</f>
        <v>2</v>
      </c>
      <c r="U63" s="355"/>
      <c r="V63" s="373">
        <f>IF(OR(R63="STAR", T63="", U63=""), T63,
"總數：" &amp; T63 &amp; CHAR(10) &amp;
"已維修：" &amp; U63 &amp; CHAR(10) &amp;
"未更換：" &amp; (T63 - U63))</f>
        <v>2</v>
      </c>
      <c r="W63" s="360" t="str">
        <f>IF(VLOOKUP(A63,'0919門市清單主檔'!B:E,4,FALSE)=0,"",VLOOKUP(A63,'0919門市清單主檔'!B:E,4,FALSE))</f>
        <v/>
      </c>
      <c r="X63" s="3" t="s">
        <v>4183</v>
      </c>
      <c r="Y63" s="5" t="s">
        <v>4184</v>
      </c>
      <c r="Z63" s="5" t="str">
        <f>IF(T63&gt;0,"STAR","")</f>
        <v>STAR</v>
      </c>
    </row>
    <row r="64" spans="1:26"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IF(I64&gt;0,(TEXT(I64,"yyyymmdd")&amp;$S$2&amp;A64&amp;$S$2&amp;B64&amp;$Q$2),"")</f>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69" t="str">
        <f>Q64&amp;IF(R64&lt;&gt;"",$P$2,"")&amp;R64</f>
        <v/>
      </c>
      <c r="N64" s="339" t="str" cm="1">
        <f t="array" ref="N64">IF(AND(
    SUMPRODUCT(
        (IM!$F$2:$F$2000=A64) *
        ISNUMBER(SEARCH("HUB", IM!$AC$2:$AC$2000)) *
        (IM!$X$2:$X$2000&gt;=$A$1) *
        (IM!$X$2:$X$2000&lt;=$B$1)*(W64="HUB")
    ) &gt; 0
), "HUB", "")</f>
        <v/>
      </c>
      <c r="O64" s="371" t="str">
        <f>IF(I64="","未到店",
IF(AND(S64&gt;I64, R64="STAR", NOT(AND(G64&lt;&gt;"萊到店 WebPOS", Q64&lt;&gt;"EDC"))), "完工已補裝",
IF(AND(G64&lt;&gt;"萊到店 WebPOS", Q64&lt;&gt;"EDC"), "EDC異常",
IF(AND(W64="HUB", N64=""), "HUB異常",
IF(OR(AND(Z64="STAR", R64="STAR"), AND(Z64&lt;&gt;"STAR", R64="")), "已完工", "STAR異常")
))))</f>
        <v>已完工</v>
      </c>
      <c r="P64" s="238" t="str">
        <f>(TEXT(I64,"yyyymmdd"))&amp;$S$2&amp;A64&amp;$S$2&amp;B64&amp;$Q$2</f>
        <v>20250415-L562-田倉民安店(定保)</v>
      </c>
      <c r="Q64" s="357" t="str" cm="1">
        <f t="array" ref="Q64">IF(AND(SUMPRODUCT((IM!$F$2:$F$2000=A64)*(ISNUMBER(SEARCH("EDC", IM!$AC$2:$AC$2000))))&gt;0), "EDC", "")</f>
        <v/>
      </c>
      <c r="R64" s="358" t="str" cm="1">
        <f t="array" ref="R64">IF(AND(SUMPRODUCT((IM!$F$2:$F$2000=A64)*(ISNUMBER(SEARCH("STAR", IM!$AC$2:$AC$2000))))&gt;0), "STAR", "")</f>
        <v/>
      </c>
      <c r="S64" s="359" t="str" cm="1">
        <f t="array" ref="S64">IFERROR(INDEX(IM!$X$2:$X$650, MATCH(1, (IM!$F$2:$F$650=A64) * (ISNUMBER(SEARCH($D$1, IM!$AC$2:$AC$650))), 0)), "")</f>
        <v/>
      </c>
      <c r="T64" s="355">
        <f>IF(AND(X64&lt;&gt;"", Y64&lt;&gt;""), 2, IF(OR(X64&lt;&gt;"", Y64&lt;&gt;""), 1, 0))</f>
        <v>0</v>
      </c>
      <c r="U64" s="355"/>
      <c r="V64" s="373">
        <f>IF(OR(R64="STAR", T64="", U64=""), T64,
"總數：" &amp; T64 &amp; CHAR(10) &amp;
"已維修：" &amp; U64 &amp; CHAR(10) &amp;
"未更換：" &amp; (T64 - U64))</f>
        <v>0</v>
      </c>
      <c r="W64" s="360" t="str">
        <f>IF(VLOOKUP(A64,'0919門市清單主檔'!B:E,4,FALSE)=0,"",VLOOKUP(A64,'0919門市清單主檔'!B:E,4,FALSE))</f>
        <v/>
      </c>
      <c r="Y64" s="5"/>
      <c r="Z64" s="5" t="str">
        <f>IF(T64&gt;0,"STAR","")</f>
        <v/>
      </c>
    </row>
    <row r="65" spans="1:26"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IF(I65&gt;0,(TEXT(I65,"yyyymmdd")&amp;$S$2&amp;A65&amp;$S$2&amp;B65&amp;$Q$2),"")</f>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69" t="str">
        <f>Q65&amp;IF(R65&lt;&gt;"",$P$2,"")&amp;R65</f>
        <v>EDC+STAR</v>
      </c>
      <c r="N65" s="339" t="str" cm="1">
        <f t="array" ref="N65">IF(AND(
    SUMPRODUCT(
        (IM!$F$2:$F$2000=A65) *
        ISNUMBER(SEARCH("HUB", IM!$AC$2:$AC$2000)) *
        (IM!$X$2:$X$2000&gt;=$A$1) *
        (IM!$X$2:$X$2000&lt;=$B$1)*(W65="HUB")
    ) &gt; 0
), "HUB", "")</f>
        <v/>
      </c>
      <c r="O65" s="371" t="str">
        <f>IF(I65="","未到店",
IF(AND(S65&gt;I65, R65="STAR", NOT(AND(G65&lt;&gt;"萊到店 WebPOS", Q65&lt;&gt;"EDC"))), "完工已補裝",
IF(AND(G65&lt;&gt;"萊到店 WebPOS", Q65&lt;&gt;"EDC"), "EDC異常",
IF(AND(W65="HUB", N65=""), "HUB異常",
IF(OR(AND(Z65="STAR", R65="STAR"), AND(Z65&lt;&gt;"STAR", R65="")), "已完工", "STAR異常")
))))</f>
        <v>已完工</v>
      </c>
      <c r="P65" s="238" t="str">
        <f>(TEXT(I65,"yyyymmdd"))&amp;$S$2&amp;A65&amp;$S$2&amp;B65&amp;$Q$2</f>
        <v>20250415-4046-板橋福康店(定保)</v>
      </c>
      <c r="Q65" s="357" t="str" cm="1">
        <f t="array" ref="Q65">IF(AND(SUMPRODUCT((IM!$F$2:$F$2000=A65)*(ISNUMBER(SEARCH("EDC", IM!$AC$2:$AC$2000))))&gt;0), "EDC", "")</f>
        <v>EDC</v>
      </c>
      <c r="R65" s="358" t="str" cm="1">
        <f t="array" ref="R65">IF(AND(SUMPRODUCT((IM!$F$2:$F$2000=A65)*(ISNUMBER(SEARCH("STAR", IM!$AC$2:$AC$2000))))&gt;0), "STAR", "")</f>
        <v>STAR</v>
      </c>
      <c r="S65" s="359" cm="1">
        <f t="array" ref="S65">IFERROR(INDEX(IM!$X$2:$X$650, MATCH(1, (IM!$F$2:$F$650=A65) * (ISNUMBER(SEARCH($D$1, IM!$AC$2:$AC$650))), 0)), "")</f>
        <v>45762.621527777781</v>
      </c>
      <c r="T65" s="355">
        <f>IF(AND(X65&lt;&gt;"", Y65&lt;&gt;""), 2, IF(OR(X65&lt;&gt;"", Y65&lt;&gt;""), 1, 0))</f>
        <v>2</v>
      </c>
      <c r="U65" s="355"/>
      <c r="V65" s="373">
        <f>IF(OR(R65="STAR", T65="", U65=""), T65,
"總數：" &amp; T65 &amp; CHAR(10) &amp;
"已維修：" &amp; U65 &amp; CHAR(10) &amp;
"未更換：" &amp; (T65 - U65))</f>
        <v>2</v>
      </c>
      <c r="W65" s="360" t="str">
        <f>IF(VLOOKUP(A65,'0919門市清單主檔'!B:E,4,FALSE)=0,"",VLOOKUP(A65,'0919門市清單主檔'!B:E,4,FALSE))</f>
        <v/>
      </c>
      <c r="X65" s="3" t="s">
        <v>4376</v>
      </c>
      <c r="Y65" s="5" t="s">
        <v>4377</v>
      </c>
      <c r="Z65" s="5" t="str">
        <f>IF(T65&gt;0,"STAR","")</f>
        <v>STAR</v>
      </c>
    </row>
    <row r="66" spans="1:26"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IF(I66&gt;0,(TEXT(I66,"yyyymmdd")&amp;$S$2&amp;A66&amp;$S$2&amp;B66&amp;$Q$2),"")</f>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69" t="str">
        <f>Q66&amp;IF(R66&lt;&gt;"",$P$2,"")&amp;R66</f>
        <v>EDC+STAR</v>
      </c>
      <c r="N66" s="339" t="str" cm="1">
        <f t="array" ref="N66">IF(AND(
    SUMPRODUCT(
        (IM!$F$2:$F$2000=A66) *
        ISNUMBER(SEARCH("HUB", IM!$AC$2:$AC$2000)) *
        (IM!$X$2:$X$2000&gt;=$A$1) *
        (IM!$X$2:$X$2000&lt;=$B$1)*(W66="HUB")
    ) &gt; 0
), "HUB", "")</f>
        <v/>
      </c>
      <c r="O66" s="371" t="str">
        <f>IF(I66="","未到店",
IF(AND(S66&gt;I66, R66="STAR", NOT(AND(G66&lt;&gt;"萊到店 WebPOS", Q66&lt;&gt;"EDC"))), "完工已補裝",
IF(AND(G66&lt;&gt;"萊到店 WebPOS", Q66&lt;&gt;"EDC"), "EDC異常",
IF(AND(W66="HUB", N66=""), "HUB異常",
IF(OR(AND(Z66="STAR", R66="STAR"), AND(Z66&lt;&gt;"STAR", R66="")), "已完工", "STAR異常")
))))</f>
        <v>已完工</v>
      </c>
      <c r="P66" s="238" t="str">
        <f>(TEXT(I66,"yyyymmdd"))&amp;$S$2&amp;A66&amp;$S$2&amp;B66&amp;$Q$2</f>
        <v>20250415-4184-三重今大店(定保)</v>
      </c>
      <c r="Q66" s="357" t="str" cm="1">
        <f t="array" ref="Q66">IF(AND(SUMPRODUCT((IM!$F$2:$F$2000=A66)*(ISNUMBER(SEARCH("EDC", IM!$AC$2:$AC$2000))))&gt;0), "EDC", "")</f>
        <v>EDC</v>
      </c>
      <c r="R66" s="358" t="str" cm="1">
        <f t="array" ref="R66">IF(AND(SUMPRODUCT((IM!$F$2:$F$2000=A66)*(ISNUMBER(SEARCH("STAR", IM!$AC$2:$AC$2000))))&gt;0), "STAR", "")</f>
        <v>STAR</v>
      </c>
      <c r="S66" s="359" cm="1">
        <f t="array" ref="S66">IFERROR(INDEX(IM!$X$2:$X$650, MATCH(1, (IM!$F$2:$F$650=A66) * (ISNUMBER(SEARCH($D$1, IM!$AC$2:$AC$650))), 0)), "")</f>
        <v>45762.629166666666</v>
      </c>
      <c r="T66" s="355">
        <f>IF(AND(X66&lt;&gt;"", Y66&lt;&gt;""), 2, IF(OR(X66&lt;&gt;"", Y66&lt;&gt;""), 1, 0))</f>
        <v>1</v>
      </c>
      <c r="U66" s="355"/>
      <c r="V66" s="373">
        <f>IF(OR(R66="STAR", T66="", U66=""), T66,
"總數：" &amp; T66 &amp; CHAR(10) &amp;
"已維修：" &amp; U66 &amp; CHAR(10) &amp;
"未更換：" &amp; (T66 - U66))</f>
        <v>1</v>
      </c>
      <c r="W66" s="360" t="str">
        <f>IF(VLOOKUP(A66,'0919門市清單主檔'!B:E,4,FALSE)=0,"",VLOOKUP(A66,'0919門市清單主檔'!B:E,4,FALSE))</f>
        <v/>
      </c>
      <c r="X66" s="3" t="s">
        <v>4190</v>
      </c>
      <c r="Y66" s="5"/>
      <c r="Z66" s="5" t="str">
        <f>IF(T66&gt;0,"STAR","")</f>
        <v>STAR</v>
      </c>
    </row>
    <row r="67" spans="1:26"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IF(I67&gt;0,(TEXT(I67,"yyyymmdd")&amp;$S$2&amp;A67&amp;$S$2&amp;B67&amp;$Q$2),"")</f>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69" t="str">
        <f>Q67&amp;IF(R67&lt;&gt;"",$P$2,"")&amp;R67</f>
        <v>+STAR</v>
      </c>
      <c r="N67" s="339" t="str" cm="1">
        <f t="array" ref="N67">IF(AND(
    SUMPRODUCT(
        (IM!$F$2:$F$2000=A67) *
        ISNUMBER(SEARCH("HUB", IM!$AC$2:$AC$2000)) *
        (IM!$X$2:$X$2000&gt;=$A$1) *
        (IM!$X$2:$X$2000&lt;=$B$1)*(W67="HUB")
    ) &gt; 0
), "HUB", "")</f>
        <v/>
      </c>
      <c r="O67" s="371" t="str">
        <f>IF(I67="","未到店",
IF(AND(S67&gt;I67, R67="STAR", NOT(AND(G67&lt;&gt;"萊到店 WebPOS", Q67&lt;&gt;"EDC"))), "完工已補裝",
IF(AND(G67&lt;&gt;"萊到店 WebPOS", Q67&lt;&gt;"EDC"), "EDC異常",
IF(AND(W67="HUB", N67=""), "HUB異常",
IF(OR(AND(Z67="STAR", R67="STAR"), AND(Z67&lt;&gt;"STAR", R67="")), "已完工", "STAR異常")
))))</f>
        <v>已完工</v>
      </c>
      <c r="P67" s="238" t="str">
        <f>(TEXT(I67,"yyyymmdd"))&amp;$S$2&amp;A67&amp;$S$2&amp;B67&amp;$Q$2</f>
        <v>20250415-L535-田倉新樹店(定保)</v>
      </c>
      <c r="Q67" s="357" t="str" cm="1">
        <f t="array" ref="Q67">IF(AND(SUMPRODUCT((IM!$F$2:$F$2000=A67)*(ISNUMBER(SEARCH("EDC", IM!$AC$2:$AC$2000))))&gt;0), "EDC", "")</f>
        <v/>
      </c>
      <c r="R67" s="358" t="str" cm="1">
        <f t="array" ref="R67">IF(AND(SUMPRODUCT((IM!$F$2:$F$2000=A67)*(ISNUMBER(SEARCH("STAR", IM!$AC$2:$AC$2000))))&gt;0), "STAR", "")</f>
        <v>STAR</v>
      </c>
      <c r="S67" s="359" cm="1">
        <f t="array" ref="S67">IFERROR(INDEX(IM!$X$2:$X$650, MATCH(1, (IM!$F$2:$F$650=A67) * (ISNUMBER(SEARCH($D$1, IM!$AC$2:$AC$650))), 0)), "")</f>
        <v>45762.65625</v>
      </c>
      <c r="T67" s="355">
        <f>IF(AND(X67&lt;&gt;"", Y67&lt;&gt;""), 2, IF(OR(X67&lt;&gt;"", Y67&lt;&gt;""), 1, 0))</f>
        <v>1</v>
      </c>
      <c r="U67" s="355"/>
      <c r="V67" s="373">
        <f>IF(OR(R67="STAR", T67="", U67=""), T67,
"總數：" &amp; T67 &amp; CHAR(10) &amp;
"已維修：" &amp; U67 &amp; CHAR(10) &amp;
"未更換：" &amp; (T67 - U67))</f>
        <v>1</v>
      </c>
      <c r="W67" s="360" t="str">
        <f>IF(VLOOKUP(A67,'0919門市清單主檔'!B:E,4,FALSE)=0,"",VLOOKUP(A67,'0919門市清單主檔'!B:E,4,FALSE))</f>
        <v/>
      </c>
      <c r="X67" s="3" t="s">
        <v>4258</v>
      </c>
      <c r="Y67" s="5"/>
      <c r="Z67" s="5" t="str">
        <f>IF(T67&gt;0,"STAR","")</f>
        <v>STAR</v>
      </c>
    </row>
    <row r="68" spans="1:26"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IF(I68&gt;0,(TEXT(I68,"yyyymmdd")&amp;$S$2&amp;A68&amp;$S$2&amp;B68&amp;$Q$2),"")</f>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69" t="str">
        <f>Q68&amp;IF(R68&lt;&gt;"",$P$2,"")&amp;R68</f>
        <v>EDC+STAR</v>
      </c>
      <c r="N68" s="339" t="str" cm="1">
        <f t="array" ref="N68">IF(AND(
    SUMPRODUCT(
        (IM!$F$2:$F$2000=A68) *
        ISNUMBER(SEARCH("HUB", IM!$AC$2:$AC$2000)) *
        (IM!$X$2:$X$2000&gt;=$A$1) *
        (IM!$X$2:$X$2000&lt;=$B$1)*(W68="HUB")
    ) &gt; 0
), "HUB", "")</f>
        <v/>
      </c>
      <c r="O68" s="371" t="str">
        <f>IF(I68="","未到店",
IF(AND(S68&gt;I68, R68="STAR", NOT(AND(G68&lt;&gt;"萊到店 WebPOS", Q68&lt;&gt;"EDC"))), "完工已補裝",
IF(AND(G68&lt;&gt;"萊到店 WebPOS", Q68&lt;&gt;"EDC"), "EDC異常",
IF(AND(W68="HUB", N68=""), "HUB異常",
IF(OR(AND(Z68="STAR", R68="STAR"), AND(Z68&lt;&gt;"STAR", R68="")), "已完工", "STAR異常")
))))</f>
        <v>已完工</v>
      </c>
      <c r="P68" s="238" t="str">
        <f>(TEXT(I68,"yyyymmdd"))&amp;$S$2&amp;A68&amp;$S$2&amp;B68&amp;$Q$2</f>
        <v>20250416-4917-板橋翠華店(定保)</v>
      </c>
      <c r="Q68" s="357" t="str" cm="1">
        <f t="array" ref="Q68">IF(AND(SUMPRODUCT((IM!$F$2:$F$2000=A68)*(ISNUMBER(SEARCH("EDC", IM!$AC$2:$AC$2000))))&gt;0), "EDC", "")</f>
        <v>EDC</v>
      </c>
      <c r="R68" s="358" t="str" cm="1">
        <f t="array" ref="R68">IF(AND(SUMPRODUCT((IM!$F$2:$F$2000=A68)*(ISNUMBER(SEARCH("STAR", IM!$AC$2:$AC$2000))))&gt;0), "STAR", "")</f>
        <v>STAR</v>
      </c>
      <c r="S68" s="359" cm="1">
        <f t="array" ref="S68">IFERROR(INDEX(IM!$X$2:$X$650, MATCH(1, (IM!$F$2:$F$650=A68) * (ISNUMBER(SEARCH($D$1, IM!$AC$2:$AC$650))), 0)), "")</f>
        <v>45763.510416666664</v>
      </c>
      <c r="T68" s="355">
        <f>IF(AND(X68&lt;&gt;"", Y68&lt;&gt;""), 2, IF(OR(X68&lt;&gt;"", Y68&lt;&gt;""), 1, 0))</f>
        <v>1</v>
      </c>
      <c r="U68" s="355"/>
      <c r="V68" s="373">
        <f>IF(OR(R68="STAR", T68="", U68=""), T68,
"總數：" &amp; T68 &amp; CHAR(10) &amp;
"已維修：" &amp; U68 &amp; CHAR(10) &amp;
"未更換：" &amp; (T68 - U68))</f>
        <v>1</v>
      </c>
      <c r="W68" s="360" t="str">
        <f>IF(VLOOKUP(A68,'0919門市清單主檔'!B:E,4,FALSE)=0,"",VLOOKUP(A68,'0919門市清單主檔'!B:E,4,FALSE))</f>
        <v/>
      </c>
      <c r="X68" s="245"/>
      <c r="Y68" s="246" t="s">
        <v>4368</v>
      </c>
      <c r="Z68" s="5" t="str">
        <f>IF(T68&gt;0,"STAR","")</f>
        <v>STAR</v>
      </c>
    </row>
    <row r="69" spans="1:26"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IF(I69&gt;0,(TEXT(I69,"yyyymmdd")&amp;$S$2&amp;A69&amp;$S$2&amp;B69&amp;$Q$2),"")</f>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69" t="str">
        <f>Q69&amp;IF(R69&lt;&gt;"",$P$2,"")&amp;R69</f>
        <v>EDC+STAR</v>
      </c>
      <c r="N69" s="339" t="str" cm="1">
        <f t="array" ref="N69">IF(AND(
    SUMPRODUCT(
        (IM!$F$2:$F$2000=A69) *
        ISNUMBER(SEARCH("HUB", IM!$AC$2:$AC$2000)) *
        (IM!$X$2:$X$2000&gt;=$A$1) *
        (IM!$X$2:$X$2000&lt;=$B$1)*(W69="HUB")
    ) &gt; 0
), "HUB", "")</f>
        <v/>
      </c>
      <c r="O69" s="371" t="str">
        <f>IF(I69="","未到店",
IF(AND(S69&gt;I69, R69="STAR", NOT(AND(G69&lt;&gt;"萊到店 WebPOS", Q69&lt;&gt;"EDC"))), "完工已補裝",
IF(AND(G69&lt;&gt;"萊到店 WebPOS", Q69&lt;&gt;"EDC"), "EDC異常",
IF(AND(W69="HUB", N69=""), "HUB異常",
IF(OR(AND(Z69="STAR", R69="STAR"), AND(Z69&lt;&gt;"STAR", R69="")), "已完工", "STAR異常")
))))</f>
        <v>已完工</v>
      </c>
      <c r="P69" s="238" t="str">
        <f>(TEXT(I69,"yyyymmdd"))&amp;$S$2&amp;A69&amp;$S$2&amp;B69&amp;$Q$2</f>
        <v>20250416-4539-三重自信店(定保)</v>
      </c>
      <c r="Q69" s="357" t="str" cm="1">
        <f t="array" ref="Q69">IF(AND(SUMPRODUCT((IM!$F$2:$F$2000=A69)*(ISNUMBER(SEARCH("EDC", IM!$AC$2:$AC$2000))))&gt;0), "EDC", "")</f>
        <v>EDC</v>
      </c>
      <c r="R69" s="358" t="str" cm="1">
        <f t="array" ref="R69">IF(AND(SUMPRODUCT((IM!$F$2:$F$2000=A69)*(ISNUMBER(SEARCH("STAR", IM!$AC$2:$AC$2000))))&gt;0), "STAR", "")</f>
        <v>STAR</v>
      </c>
      <c r="S69" s="359" cm="1">
        <f t="array" ref="S69">IFERROR(INDEX(IM!$X$2:$X$650, MATCH(1, (IM!$F$2:$F$650=A69) * (ISNUMBER(SEARCH($D$1, IM!$AC$2:$AC$650))), 0)), "")</f>
        <v>45763.635416666664</v>
      </c>
      <c r="T69" s="355">
        <f>IF(AND(X69&lt;&gt;"", Y69&lt;&gt;""), 2, IF(OR(X69&lt;&gt;"", Y69&lt;&gt;""), 1, 0))</f>
        <v>2</v>
      </c>
      <c r="U69" s="355"/>
      <c r="V69" s="373">
        <f>IF(OR(R69="STAR", T69="", U69=""), T69,
"總數：" &amp; T69 &amp; CHAR(10) &amp;
"已維修：" &amp; U69 &amp; CHAR(10) &amp;
"未更換：" &amp; (T69 - U69))</f>
        <v>2</v>
      </c>
      <c r="W69" s="360" t="str">
        <f>IF(VLOOKUP(A69,'0919門市清單主檔'!B:E,4,FALSE)=0,"",VLOOKUP(A69,'0919門市清單主檔'!B:E,4,FALSE))</f>
        <v/>
      </c>
      <c r="X69" s="3" t="s">
        <v>4194</v>
      </c>
      <c r="Y69" s="5" t="s">
        <v>4195</v>
      </c>
      <c r="Z69" s="5" t="str">
        <f>IF(T69&gt;0,"STAR","")</f>
        <v>STAR</v>
      </c>
    </row>
    <row r="70" spans="1:26"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IF(I70&gt;0,(TEXT(I70,"yyyymmdd")&amp;$S$2&amp;A70&amp;$S$2&amp;B70&amp;$Q$2),"")</f>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69" t="str">
        <f>Q70&amp;IF(R70&lt;&gt;"",$P$2,"")&amp;R70</f>
        <v>EDC+STAR</v>
      </c>
      <c r="N70" s="339" t="str" cm="1">
        <f t="array" ref="N70">IF(AND(
    SUMPRODUCT(
        (IM!$F$2:$F$2000=A70) *
        ISNUMBER(SEARCH("HUB", IM!$AC$2:$AC$2000)) *
        (IM!$X$2:$X$2000&gt;=$A$1) *
        (IM!$X$2:$X$2000&lt;=$B$1)*(W70="HUB")
    ) &gt; 0
), "HUB", "")</f>
        <v/>
      </c>
      <c r="O70" s="371" t="str">
        <f>IF(I70="","未到店",
IF(AND(S70&gt;I70, R70="STAR", NOT(AND(G70&lt;&gt;"萊到店 WebPOS", Q70&lt;&gt;"EDC"))), "完工已補裝",
IF(AND(G70&lt;&gt;"萊到店 WebPOS", Q70&lt;&gt;"EDC"), "EDC異常",
IF(AND(W70="HUB", N70=""), "HUB異常",
IF(OR(AND(Z70="STAR", R70="STAR"), AND(Z70&lt;&gt;"STAR", R70="")), "已完工", "STAR異常")
))))</f>
        <v>已完工</v>
      </c>
      <c r="P70" s="238" t="str">
        <f>(TEXT(I70,"yyyymmdd"))&amp;$S$2&amp;A70&amp;$S$2&amp;B70&amp;$Q$2</f>
        <v>20250416-2543-三重大仁店(定保)</v>
      </c>
      <c r="Q70" s="357" t="str" cm="1">
        <f t="array" ref="Q70">IF(AND(SUMPRODUCT((IM!$F$2:$F$2000=A70)*(ISNUMBER(SEARCH("EDC", IM!$AC$2:$AC$2000))))&gt;0), "EDC", "")</f>
        <v>EDC</v>
      </c>
      <c r="R70" s="358" t="str" cm="1">
        <f t="array" ref="R70">IF(AND(SUMPRODUCT((IM!$F$2:$F$2000=A70)*(ISNUMBER(SEARCH("STAR", IM!$AC$2:$AC$2000))))&gt;0), "STAR", "")</f>
        <v>STAR</v>
      </c>
      <c r="S70" s="359" cm="1">
        <f t="array" ref="S70">IFERROR(INDEX(IM!$X$2:$X$650, MATCH(1, (IM!$F$2:$F$650=A70) * (ISNUMBER(SEARCH($D$1, IM!$AC$2:$AC$650))), 0)), "")</f>
        <v>45763.681250000001</v>
      </c>
      <c r="T70" s="355">
        <f>IF(AND(X70&lt;&gt;"", Y70&lt;&gt;""), 2, IF(OR(X70&lt;&gt;"", Y70&lt;&gt;""), 1, 0))</f>
        <v>2</v>
      </c>
      <c r="U70" s="355"/>
      <c r="V70" s="373">
        <f>IF(OR(R70="STAR", T70="", U70=""), T70,
"總數：" &amp; T70 &amp; CHAR(10) &amp;
"已維修：" &amp; U70 &amp; CHAR(10) &amp;
"未更換：" &amp; (T70 - U70))</f>
        <v>2</v>
      </c>
      <c r="W70" s="360" t="str">
        <f>IF(VLOOKUP(A70,'0919門市清單主檔'!B:E,4,FALSE)=0,"",VLOOKUP(A70,'0919門市清單主檔'!B:E,4,FALSE))</f>
        <v/>
      </c>
      <c r="X70" s="3" t="s">
        <v>4191</v>
      </c>
      <c r="Y70" s="5" t="s">
        <v>4192</v>
      </c>
      <c r="Z70" s="5" t="str">
        <f>IF(T70&gt;0,"STAR","")</f>
        <v>STAR</v>
      </c>
    </row>
    <row r="71" spans="1:26"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IF(I71&gt;0,(TEXT(I71,"yyyymmdd")&amp;$S$2&amp;A71&amp;$S$2&amp;B71&amp;$Q$2),"")</f>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69" t="str">
        <f>Q71&amp;IF(R71&lt;&gt;"",$P$2,"")&amp;R71</f>
        <v>EDC+STAR</v>
      </c>
      <c r="N71" s="339" t="str" cm="1">
        <f t="array" ref="N71">IF(AND(
    SUMPRODUCT(
        (IM!$F$2:$F$2000=A71) *
        ISNUMBER(SEARCH("HUB", IM!$AC$2:$AC$2000)) *
        (IM!$X$2:$X$2000&gt;=$A$1) *
        (IM!$X$2:$X$2000&lt;=$B$1)*(W71="HUB")
    ) &gt; 0
), "HUB", "")</f>
        <v/>
      </c>
      <c r="O71" s="371" t="str">
        <f>IF(I71="","未到店",
IF(AND(S71&gt;I71, R71="STAR", NOT(AND(G71&lt;&gt;"萊到店 WebPOS", Q71&lt;&gt;"EDC"))), "完工已補裝",
IF(AND(G71&lt;&gt;"萊到店 WebPOS", Q71&lt;&gt;"EDC"), "EDC異常",
IF(AND(W71="HUB", N71=""), "HUB異常",
IF(OR(AND(Z71="STAR", R71="STAR"), AND(Z71&lt;&gt;"STAR", R71="")), "已完工", "STAR異常")
))))</f>
        <v>已完工</v>
      </c>
      <c r="P71" s="238" t="str">
        <f>(TEXT(I71,"yyyymmdd"))&amp;$S$2&amp;A71&amp;$S$2&amp;B71&amp;$Q$2</f>
        <v>20250417-4083-三重中央南(定保)</v>
      </c>
      <c r="Q71" s="357" t="str" cm="1">
        <f t="array" ref="Q71">IF(AND(SUMPRODUCT((IM!$F$2:$F$2000=A71)*(ISNUMBER(SEARCH("EDC", IM!$AC$2:$AC$2000))))&gt;0), "EDC", "")</f>
        <v>EDC</v>
      </c>
      <c r="R71" s="358" t="str" cm="1">
        <f t="array" ref="R71">IF(AND(SUMPRODUCT((IM!$F$2:$F$2000=A71)*(ISNUMBER(SEARCH("STAR", IM!$AC$2:$AC$2000))))&gt;0), "STAR", "")</f>
        <v>STAR</v>
      </c>
      <c r="S71" s="359" cm="1">
        <f t="array" ref="S71">IFERROR(INDEX(IM!$X$2:$X$650, MATCH(1, (IM!$F$2:$F$650=A71) * (ISNUMBER(SEARCH($D$1, IM!$AC$2:$AC$650))), 0)), "")</f>
        <v>45764.495833333334</v>
      </c>
      <c r="T71" s="355">
        <f>IF(AND(X71&lt;&gt;"", Y71&lt;&gt;""), 2, IF(OR(X71&lt;&gt;"", Y71&lt;&gt;""), 1, 0))</f>
        <v>2</v>
      </c>
      <c r="U71" s="355"/>
      <c r="V71" s="373">
        <f>IF(OR(R71="STAR", T71="", U71=""), T71,
"總數：" &amp; T71 &amp; CHAR(10) &amp;
"已維修：" &amp; U71 &amp; CHAR(10) &amp;
"未更換：" &amp; (T71 - U71))</f>
        <v>2</v>
      </c>
      <c r="W71" s="360" t="str">
        <f>IF(VLOOKUP(A71,'0919門市清單主檔'!B:E,4,FALSE)=0,"",VLOOKUP(A71,'0919門市清單主檔'!B:E,4,FALSE))</f>
        <v/>
      </c>
      <c r="X71" s="3" t="s">
        <v>4256</v>
      </c>
      <c r="Y71" s="5" t="s">
        <v>4257</v>
      </c>
      <c r="Z71" s="5" t="str">
        <f>IF(T71&gt;0,"STAR","")</f>
        <v>STAR</v>
      </c>
    </row>
    <row r="72" spans="1:26"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IF(I72&gt;0,(TEXT(I72,"yyyymmdd")&amp;$S$2&amp;A72&amp;$S$2&amp;B72&amp;$Q$2),"")</f>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69" t="str">
        <f>Q72&amp;IF(R72&lt;&gt;"",$P$2,"")&amp;R72</f>
        <v>EDC+STAR</v>
      </c>
      <c r="N72" s="339" t="str" cm="1">
        <f t="array" ref="N72">IF(AND(
    SUMPRODUCT(
        (IM!$F$2:$F$2000=A72) *
        ISNUMBER(SEARCH("HUB", IM!$AC$2:$AC$2000)) *
        (IM!$X$2:$X$2000&gt;=$A$1) *
        (IM!$X$2:$X$2000&lt;=$B$1)*(W72="HUB")
    ) &gt; 0
), "HUB", "")</f>
        <v/>
      </c>
      <c r="O72" s="371" t="str">
        <f>IF(I72="","未到店",
IF(AND(S72&gt;I72, R72="STAR", NOT(AND(G72&lt;&gt;"萊到店 WebPOS", Q72&lt;&gt;"EDC"))), "完工已補裝",
IF(AND(G72&lt;&gt;"萊到店 WebPOS", Q72&lt;&gt;"EDC"), "EDC異常",
IF(AND(W72="HUB", N72=""), "HUB異常",
IF(OR(AND(Z72="STAR", R72="STAR"), AND(Z72&lt;&gt;"STAR", R72="")), "已完工", "STAR異常")
))))</f>
        <v>已完工</v>
      </c>
      <c r="P72" s="238" t="str">
        <f>(TEXT(I72,"yyyymmdd"))&amp;$S$2&amp;A72&amp;$S$2&amp;B72&amp;$Q$2</f>
        <v>20250417-2935-三重夜市口(定保)</v>
      </c>
      <c r="Q72" s="357" t="str" cm="1">
        <f t="array" ref="Q72">IF(AND(SUMPRODUCT((IM!$F$2:$F$2000=A72)*(ISNUMBER(SEARCH("EDC", IM!$AC$2:$AC$2000))))&gt;0), "EDC", "")</f>
        <v>EDC</v>
      </c>
      <c r="R72" s="358" t="str" cm="1">
        <f t="array" ref="R72">IF(AND(SUMPRODUCT((IM!$F$2:$F$2000=A72)*(ISNUMBER(SEARCH("STAR", IM!$AC$2:$AC$2000))))&gt;0), "STAR", "")</f>
        <v>STAR</v>
      </c>
      <c r="S72" s="359" cm="1">
        <f t="array" ref="S72">IFERROR(INDEX(IM!$X$2:$X$650, MATCH(1, (IM!$F$2:$F$650=A72) * (ISNUMBER(SEARCH($D$1, IM!$AC$2:$AC$650))), 0)), "")</f>
        <v>45764.577777777777</v>
      </c>
      <c r="T72" s="355">
        <f>IF(AND(X72&lt;&gt;"", Y72&lt;&gt;""), 2, IF(OR(X72&lt;&gt;"", Y72&lt;&gt;""), 1, 0))</f>
        <v>2</v>
      </c>
      <c r="U72" s="355"/>
      <c r="V72" s="373">
        <f>IF(OR(R72="STAR", T72="", U72=""), T72,
"總數：" &amp; T72 &amp; CHAR(10) &amp;
"已維修：" &amp; U72 &amp; CHAR(10) &amp;
"未更換：" &amp; (T72 - U72))</f>
        <v>2</v>
      </c>
      <c r="W72" s="360" t="str">
        <f>IF(VLOOKUP(A72,'0919門市清單主檔'!B:E,4,FALSE)=0,"",VLOOKUP(A72,'0919門市清單主檔'!B:E,4,FALSE))</f>
        <v/>
      </c>
      <c r="X72" s="3" t="s">
        <v>4277</v>
      </c>
      <c r="Y72" s="5" t="s">
        <v>4278</v>
      </c>
      <c r="Z72" s="5" t="str">
        <f>IF(T72&gt;0,"STAR","")</f>
        <v>STAR</v>
      </c>
    </row>
    <row r="73" spans="1:26"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IF(I73&gt;0,(TEXT(I73,"yyyymmdd")&amp;$S$2&amp;A73&amp;$S$2&amp;B73&amp;$Q$2),"")</f>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69" t="str">
        <f>Q73&amp;IF(R73&lt;&gt;"",$P$2,"")&amp;R73</f>
        <v>EDC+STAR</v>
      </c>
      <c r="N73" s="339" t="str" cm="1">
        <f t="array" ref="N73">IF(AND(
    SUMPRODUCT(
        (IM!$F$2:$F$2000=A73) *
        ISNUMBER(SEARCH("HUB", IM!$AC$2:$AC$2000)) *
        (IM!$X$2:$X$2000&gt;=$A$1) *
        (IM!$X$2:$X$2000&lt;=$B$1)*(W73="HUB")
    ) &gt; 0
), "HUB", "")</f>
        <v/>
      </c>
      <c r="O73" s="371" t="str">
        <f>IF(I73="","未到店",
IF(AND(S73&gt;I73, R73="STAR", NOT(AND(G73&lt;&gt;"萊到店 WebPOS", Q73&lt;&gt;"EDC"))), "完工已補裝",
IF(AND(G73&lt;&gt;"萊到店 WebPOS", Q73&lt;&gt;"EDC"), "EDC異常",
IF(AND(W73="HUB", N73=""), "HUB異常",
IF(OR(AND(Z73="STAR", R73="STAR"), AND(Z73&lt;&gt;"STAR", R73="")), "已完工", "STAR異常")
))))</f>
        <v>已完工</v>
      </c>
      <c r="P73" s="238" t="str">
        <f>(TEXT(I73,"yyyymmdd"))&amp;$S$2&amp;A73&amp;$S$2&amp;B73&amp;$Q$2</f>
        <v>20250418-2619-三重大榮店(定保)</v>
      </c>
      <c r="Q73" s="357" t="str" cm="1">
        <f t="array" ref="Q73">IF(AND(SUMPRODUCT((IM!$F$2:$F$2000=A73)*(ISNUMBER(SEARCH("EDC", IM!$AC$2:$AC$2000))))&gt;0), "EDC", "")</f>
        <v>EDC</v>
      </c>
      <c r="R73" s="358" t="str" cm="1">
        <f t="array" ref="R73">IF(AND(SUMPRODUCT((IM!$F$2:$F$2000=A73)*(ISNUMBER(SEARCH("STAR", IM!$AC$2:$AC$2000))))&gt;0), "STAR", "")</f>
        <v>STAR</v>
      </c>
      <c r="S73" s="359" cm="1">
        <f t="array" ref="S73">IFERROR(INDEX(IM!$X$2:$X$650, MATCH(1, (IM!$F$2:$F$650=A73) * (ISNUMBER(SEARCH($D$1, IM!$AC$2:$AC$650))), 0)), "")</f>
        <v>45765.463888888888</v>
      </c>
      <c r="T73" s="355">
        <f>IF(AND(X73&lt;&gt;"", Y73&lt;&gt;""), 2, IF(OR(X73&lt;&gt;"", Y73&lt;&gt;""), 1, 0))</f>
        <v>2</v>
      </c>
      <c r="U73" s="355"/>
      <c r="V73" s="373">
        <f>IF(OR(R73="STAR", T73="", U73=""), T73,
"總數：" &amp; T73 &amp; CHAR(10) &amp;
"已維修：" &amp; U73 &amp; CHAR(10) &amp;
"未更換：" &amp; (T73 - U73))</f>
        <v>2</v>
      </c>
      <c r="W73" s="360" t="str">
        <f>IF(VLOOKUP(A73,'0919門市清單主檔'!B:E,4,FALSE)=0,"",VLOOKUP(A73,'0919門市清單主檔'!B:E,4,FALSE))</f>
        <v/>
      </c>
      <c r="X73" s="3" t="s">
        <v>4204</v>
      </c>
      <c r="Y73" s="5" t="s">
        <v>4205</v>
      </c>
      <c r="Z73" s="5" t="str">
        <f>IF(T73&gt;0,"STAR","")</f>
        <v>STAR</v>
      </c>
    </row>
    <row r="74" spans="1:26"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IF(I74&gt;0,(TEXT(I74,"yyyymmdd")&amp;$S$2&amp;A74&amp;$S$2&amp;B74&amp;$Q$2),"")</f>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69" t="str">
        <f>Q74&amp;IF(R74&lt;&gt;"",$P$2,"")&amp;R74</f>
        <v>EDC+STAR</v>
      </c>
      <c r="N74" s="339" t="str" cm="1">
        <f t="array" ref="N74">IF(AND(
    SUMPRODUCT(
        (IM!$F$2:$F$2000=A74) *
        ISNUMBER(SEARCH("HUB", IM!$AC$2:$AC$2000)) *
        (IM!$X$2:$X$2000&gt;=$A$1) *
        (IM!$X$2:$X$2000&lt;=$B$1)*(W74="HUB")
    ) &gt; 0
), "HUB", "")</f>
        <v/>
      </c>
      <c r="O74" s="371" t="str">
        <f>IF(I74="","未到店",
IF(AND(S74&gt;I74, R74="STAR", NOT(AND(G74&lt;&gt;"萊到店 WebPOS", Q74&lt;&gt;"EDC"))), "完工已補裝",
IF(AND(G74&lt;&gt;"萊到店 WebPOS", Q74&lt;&gt;"EDC"), "EDC異常",
IF(AND(W74="HUB", N74=""), "HUB異常",
IF(OR(AND(Z74="STAR", R74="STAR"), AND(Z74&lt;&gt;"STAR", R74="")), "已完工", "STAR異常")
))))</f>
        <v>已完工</v>
      </c>
      <c r="P74" s="238" t="str">
        <f>(TEXT(I74,"yyyymmdd"))&amp;$S$2&amp;A74&amp;$S$2&amp;B74&amp;$Q$2</f>
        <v>20250418-4312-三重文化北(定保)</v>
      </c>
      <c r="Q74" s="357" t="str" cm="1">
        <f t="array" ref="Q74">IF(AND(SUMPRODUCT((IM!$F$2:$F$2000=A74)*(ISNUMBER(SEARCH("EDC", IM!$AC$2:$AC$2000))))&gt;0), "EDC", "")</f>
        <v>EDC</v>
      </c>
      <c r="R74" s="358" t="str" cm="1">
        <f t="array" ref="R74">IF(AND(SUMPRODUCT((IM!$F$2:$F$2000=A74)*(ISNUMBER(SEARCH("STAR", IM!$AC$2:$AC$2000))))&gt;0), "STAR", "")</f>
        <v>STAR</v>
      </c>
      <c r="S74" s="359" cm="1">
        <f t="array" ref="S74">IFERROR(INDEX(IM!$X$2:$X$650, MATCH(1, (IM!$F$2:$F$650=A74) * (ISNUMBER(SEARCH($D$1, IM!$AC$2:$AC$650))), 0)), "")</f>
        <v>45765.504166666666</v>
      </c>
      <c r="T74" s="355">
        <f>IF(AND(X74&lt;&gt;"", Y74&lt;&gt;""), 2, IF(OR(X74&lt;&gt;"", Y74&lt;&gt;""), 1, 0))</f>
        <v>2</v>
      </c>
      <c r="U74" s="355"/>
      <c r="V74" s="373">
        <f>IF(OR(R74="STAR", T74="", U74=""), T74,
"總數：" &amp; T74 &amp; CHAR(10) &amp;
"已維修：" &amp; U74 &amp; CHAR(10) &amp;
"未更換：" &amp; (T74 - U74))</f>
        <v>2</v>
      </c>
      <c r="W74" s="360" t="str">
        <f>IF(VLOOKUP(A74,'0919門市清單主檔'!B:E,4,FALSE)=0,"",VLOOKUP(A74,'0919門市清單主檔'!B:E,4,FALSE))</f>
        <v/>
      </c>
      <c r="X74" s="3" t="s">
        <v>4202</v>
      </c>
      <c r="Y74" s="5" t="s">
        <v>4203</v>
      </c>
      <c r="Z74" s="5" t="str">
        <f>IF(T74&gt;0,"STAR","")</f>
        <v>STAR</v>
      </c>
    </row>
    <row r="75" spans="1:26"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IF(I75&gt;0,(TEXT(I75,"yyyymmdd")&amp;$S$2&amp;A75&amp;$S$2&amp;B75&amp;$Q$2),"")</f>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69" t="str">
        <f>Q75&amp;IF(R75&lt;&gt;"",$P$2,"")&amp;R75</f>
        <v>EDC</v>
      </c>
      <c r="N75" s="339" t="str" cm="1">
        <f t="array" ref="N75">IF(AND(
    SUMPRODUCT(
        (IM!$F$2:$F$2000=A75) *
        ISNUMBER(SEARCH("HUB", IM!$AC$2:$AC$2000)) *
        (IM!$X$2:$X$2000&gt;=$A$1) *
        (IM!$X$2:$X$2000&lt;=$B$1)*(W75="HUB")
    ) &gt; 0
), "HUB", "")</f>
        <v/>
      </c>
      <c r="O75" s="371" t="str">
        <f>IF(I75="","未到店",
IF(AND(S75&gt;I75, R75="STAR", NOT(AND(G75&lt;&gt;"萊到店 WebPOS", Q75&lt;&gt;"EDC"))), "完工已補裝",
IF(AND(G75&lt;&gt;"萊到店 WebPOS", Q75&lt;&gt;"EDC"), "EDC異常",
IF(AND(W75="HUB", N75=""), "HUB異常",
IF(OR(AND(Z75="STAR", R75="STAR"), AND(Z75&lt;&gt;"STAR", R75="")), "已完工", "STAR異常")
))))</f>
        <v>已完工</v>
      </c>
      <c r="P75" s="238" t="str">
        <f>(TEXT(I75,"yyyymmdd"))&amp;$S$2&amp;A75&amp;$S$2&amp;B75&amp;$Q$2</f>
        <v>20250418-4406-板橋稚暉店(定保)</v>
      </c>
      <c r="Q75" s="357" t="str" cm="1">
        <f t="array" ref="Q75">IF(AND(SUMPRODUCT((IM!$F$2:$F$2000=A75)*(ISNUMBER(SEARCH("EDC", IM!$AC$2:$AC$2000))))&gt;0), "EDC", "")</f>
        <v>EDC</v>
      </c>
      <c r="R75" s="358" t="str" cm="1">
        <f t="array" ref="R75">IF(AND(SUMPRODUCT((IM!$F$2:$F$2000=A75)*(ISNUMBER(SEARCH("STAR", IM!$AC$2:$AC$2000))))&gt;0), "STAR", "")</f>
        <v/>
      </c>
      <c r="S75" s="359" t="str" cm="1">
        <f t="array" ref="S75">IFERROR(INDEX(IM!$X$2:$X$650, MATCH(1, (IM!$F$2:$F$650=A75) * (ISNUMBER(SEARCH($D$1, IM!$AC$2:$AC$650))), 0)), "")</f>
        <v/>
      </c>
      <c r="T75" s="355">
        <f>IF(AND(X75&lt;&gt;"", Y75&lt;&gt;""), 2, IF(OR(X75&lt;&gt;"", Y75&lt;&gt;""), 1, 0))</f>
        <v>0</v>
      </c>
      <c r="U75" s="355"/>
      <c r="V75" s="373">
        <f>IF(OR(R75="STAR", T75="", U75=""), T75,
"總數：" &amp; T75 &amp; CHAR(10) &amp;
"已維修：" &amp; U75 &amp; CHAR(10) &amp;
"未更換：" &amp; (T75 - U75))</f>
        <v>0</v>
      </c>
      <c r="W75" s="360" t="str">
        <f>IF(VLOOKUP(A75,'0919門市清單主檔'!B:E,4,FALSE)=0,"",VLOOKUP(A75,'0919門市清單主檔'!B:E,4,FALSE))</f>
        <v/>
      </c>
      <c r="Y75" s="5"/>
      <c r="Z75" s="5" t="str">
        <f>IF(T75&gt;0,"STAR","")</f>
        <v/>
      </c>
    </row>
    <row r="76" spans="1:26"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IF(I76&gt;0,(TEXT(I76,"yyyymmdd")&amp;$S$2&amp;A76&amp;$S$2&amp;B76&amp;$Q$2),"")</f>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69" t="str">
        <f>Q76&amp;IF(R76&lt;&gt;"",$P$2,"")&amp;R76</f>
        <v>EDC+STAR</v>
      </c>
      <c r="N76" s="339" t="str" cm="1">
        <f t="array" ref="N76">IF(AND(
    SUMPRODUCT(
        (IM!$F$2:$F$2000=A76) *
        ISNUMBER(SEARCH("HUB", IM!$AC$2:$AC$2000)) *
        (IM!$X$2:$X$2000&gt;=$A$1) *
        (IM!$X$2:$X$2000&lt;=$B$1)*(W76="HUB")
    ) &gt; 0
), "HUB", "")</f>
        <v/>
      </c>
      <c r="O76" s="371" t="str">
        <f>IF(I76="","未到店",
IF(AND(S76&gt;I76, R76="STAR", NOT(AND(G76&lt;&gt;"萊到店 WebPOS", Q76&lt;&gt;"EDC"))), "完工已補裝",
IF(AND(G76&lt;&gt;"萊到店 WebPOS", Q76&lt;&gt;"EDC"), "EDC異常",
IF(AND(W76="HUB", N76=""), "HUB異常",
IF(OR(AND(Z76="STAR", R76="STAR"), AND(Z76&lt;&gt;"STAR", R76="")), "已完工", "STAR異常")
))))</f>
        <v>已完工</v>
      </c>
      <c r="P76" s="238" t="str">
        <f>(TEXT(I76,"yyyymmdd"))&amp;$S$2&amp;A76&amp;$S$2&amp;B76&amp;$Q$2</f>
        <v>20250418-4025-新莊祐信店(定保)</v>
      </c>
      <c r="Q76" s="357" t="str" cm="1">
        <f t="array" ref="Q76">IF(AND(SUMPRODUCT((IM!$F$2:$F$2000=A76)*(ISNUMBER(SEARCH("EDC", IM!$AC$2:$AC$2000))))&gt;0), "EDC", "")</f>
        <v>EDC</v>
      </c>
      <c r="R76" s="358" t="str" cm="1">
        <f t="array" ref="R76">IF(AND(SUMPRODUCT((IM!$F$2:$F$2000=A76)*(ISNUMBER(SEARCH("STAR", IM!$AC$2:$AC$2000))))&gt;0), "STAR", "")</f>
        <v>STAR</v>
      </c>
      <c r="S76" s="359" cm="1">
        <f t="array" ref="S76">IFERROR(INDEX(IM!$X$2:$X$650, MATCH(1, (IM!$F$2:$F$650=A76) * (ISNUMBER(SEARCH($D$1, IM!$AC$2:$AC$650))), 0)), "")</f>
        <v>45765.645833333336</v>
      </c>
      <c r="T76" s="355">
        <f>IF(AND(X76&lt;&gt;"", Y76&lt;&gt;""), 2, IF(OR(X76&lt;&gt;"", Y76&lt;&gt;""), 1, 0))</f>
        <v>2</v>
      </c>
      <c r="U76" s="355"/>
      <c r="V76" s="373">
        <f>IF(OR(R76="STAR", T76="", U76=""), T76,
"總數：" &amp; T76 &amp; CHAR(10) &amp;
"已維修：" &amp; U76 &amp; CHAR(10) &amp;
"未更換：" &amp; (T76 - U76))</f>
        <v>2</v>
      </c>
      <c r="W76" s="360" t="str">
        <f>IF(VLOOKUP(A76,'0919門市清單主檔'!B:E,4,FALSE)=0,"",VLOOKUP(A76,'0919門市清單主檔'!B:E,4,FALSE))</f>
        <v/>
      </c>
      <c r="X76" s="3" t="s">
        <v>4416</v>
      </c>
      <c r="Y76" s="5" t="s">
        <v>4417</v>
      </c>
      <c r="Z76" s="5" t="str">
        <f>IF(T76&gt;0,"STAR","")</f>
        <v>STAR</v>
      </c>
    </row>
    <row r="77" spans="1:26"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IF(I77&gt;0,(TEXT(I77,"yyyymmdd")&amp;$S$2&amp;A77&amp;$S$2&amp;B77&amp;$Q$2),"")</f>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69" t="str">
        <f>Q77&amp;IF(R77&lt;&gt;"",$P$2,"")&amp;R77</f>
        <v>EDC+STAR</v>
      </c>
      <c r="N77" s="339" t="str" cm="1">
        <f t="array" ref="N77">IF(AND(
    SUMPRODUCT(
        (IM!$F$2:$F$2000=A77) *
        ISNUMBER(SEARCH("HUB", IM!$AC$2:$AC$2000)) *
        (IM!$X$2:$X$2000&gt;=$A$1) *
        (IM!$X$2:$X$2000&lt;=$B$1)*(W77="HUB")
    ) &gt; 0
), "HUB", "")</f>
        <v/>
      </c>
      <c r="O77" s="371" t="str">
        <f>IF(I77="","未到店",
IF(AND(S77&gt;I77, R77="STAR", NOT(AND(G77&lt;&gt;"萊到店 WebPOS", Q77&lt;&gt;"EDC"))), "完工已補裝",
IF(AND(G77&lt;&gt;"萊到店 WebPOS", Q77&lt;&gt;"EDC"), "EDC異常",
IF(AND(W77="HUB", N77=""), "HUB異常",
IF(OR(AND(Z77="STAR", R77="STAR"), AND(Z77&lt;&gt;"STAR", R77="")), "已完工", "STAR異常")
))))</f>
        <v>已完工</v>
      </c>
      <c r="P77" s="238" t="str">
        <f>(TEXT(I77,"yyyymmdd"))&amp;$S$2&amp;A77&amp;$S$2&amp;B77&amp;$Q$2</f>
        <v>20250418-4163-新莊中泉店(定保)</v>
      </c>
      <c r="Q77" s="357" t="str" cm="1">
        <f t="array" ref="Q77">IF(AND(SUMPRODUCT((IM!$F$2:$F$2000=A77)*(ISNUMBER(SEARCH("EDC", IM!$AC$2:$AC$2000))))&gt;0), "EDC", "")</f>
        <v>EDC</v>
      </c>
      <c r="R77" s="358" t="str" cm="1">
        <f t="array" ref="R77">IF(AND(SUMPRODUCT((IM!$F$2:$F$2000=A77)*(ISNUMBER(SEARCH("STAR", IM!$AC$2:$AC$2000))))&gt;0), "STAR", "")</f>
        <v>STAR</v>
      </c>
      <c r="S77" s="359" cm="1">
        <f t="array" ref="S77">IFERROR(INDEX(IM!$X$2:$X$650, MATCH(1, (IM!$F$2:$F$650=A77) * (ISNUMBER(SEARCH($D$1, IM!$AC$2:$AC$650))), 0)), "")</f>
        <v>45765.677083333336</v>
      </c>
      <c r="T77" s="355">
        <f>IF(AND(X77&lt;&gt;"", Y77&lt;&gt;""), 2, IF(OR(X77&lt;&gt;"", Y77&lt;&gt;""), 1, 0))</f>
        <v>2</v>
      </c>
      <c r="U77" s="355"/>
      <c r="V77" s="373">
        <f>IF(OR(R77="STAR", T77="", U77=""), T77,
"總數：" &amp; T77 &amp; CHAR(10) &amp;
"已維修：" &amp; U77 &amp; CHAR(10) &amp;
"未更換：" &amp; (T77 - U77))</f>
        <v>2</v>
      </c>
      <c r="W77" s="360" t="str">
        <f>IF(VLOOKUP(A77,'0919門市清單主檔'!B:E,4,FALSE)=0,"",VLOOKUP(A77,'0919門市清單主檔'!B:E,4,FALSE))</f>
        <v/>
      </c>
      <c r="X77" s="3" t="s">
        <v>4196</v>
      </c>
      <c r="Y77" s="5" t="s">
        <v>4197</v>
      </c>
      <c r="Z77" s="5" t="str">
        <f>IF(T77&gt;0,"STAR","")</f>
        <v>STAR</v>
      </c>
    </row>
    <row r="78" spans="1:26"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IF(I78&gt;0,(TEXT(I78,"yyyymmdd")&amp;$S$2&amp;A78&amp;$S$2&amp;B78&amp;$Q$2),"")</f>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69" t="str">
        <f>Q78&amp;IF(R78&lt;&gt;"",$P$2,"")&amp;R78</f>
        <v>EDC+STAR</v>
      </c>
      <c r="N78" s="339" t="str" cm="1">
        <f t="array" ref="N78">IF(AND(
    SUMPRODUCT(
        (IM!$F$2:$F$2000=A78) *
        ISNUMBER(SEARCH("HUB", IM!$AC$2:$AC$2000)) *
        (IM!$X$2:$X$2000&gt;=$A$1) *
        (IM!$X$2:$X$2000&lt;=$B$1)*(W78="HUB")
    ) &gt; 0
), "HUB", "")</f>
        <v/>
      </c>
      <c r="O78" s="371" t="str">
        <f>IF(I78="","未到店",
IF(AND(S78&gt;I78, R78="STAR", NOT(AND(G78&lt;&gt;"萊到店 WebPOS", Q78&lt;&gt;"EDC"))), "完工已補裝",
IF(AND(G78&lt;&gt;"萊到店 WebPOS", Q78&lt;&gt;"EDC"), "EDC異常",
IF(AND(W78="HUB", N78=""), "HUB異常",
IF(OR(AND(Z78="STAR", R78="STAR"), AND(Z78&lt;&gt;"STAR", R78="")), "已完工", "STAR異常")
))))</f>
        <v>已完工</v>
      </c>
      <c r="P78" s="238" t="str">
        <f>(TEXT(I78,"yyyymmdd"))&amp;$S$2&amp;A78&amp;$S$2&amp;B78&amp;$Q$2</f>
        <v>20250418-2995-板橋湳雅夜市(定保)</v>
      </c>
      <c r="Q78" s="357" t="str" cm="1">
        <f t="array" ref="Q78">IF(AND(SUMPRODUCT((IM!$F$2:$F$2000=A78)*(ISNUMBER(SEARCH("EDC", IM!$AC$2:$AC$2000))))&gt;0), "EDC", "")</f>
        <v>EDC</v>
      </c>
      <c r="R78" s="358" t="str" cm="1">
        <f t="array" ref="R78">IF(AND(SUMPRODUCT((IM!$F$2:$F$2000=A78)*(ISNUMBER(SEARCH("STAR", IM!$AC$2:$AC$2000))))&gt;0), "STAR", "")</f>
        <v>STAR</v>
      </c>
      <c r="S78" s="359" cm="1">
        <f t="array" ref="S78">IFERROR(INDEX(IM!$X$2:$X$650, MATCH(1, (IM!$F$2:$F$650=A78) * (ISNUMBER(SEARCH($D$1, IM!$AC$2:$AC$650))), 0)), "")</f>
        <v>45765.677083333336</v>
      </c>
      <c r="T78" s="355">
        <f>IF(AND(X78&lt;&gt;"", Y78&lt;&gt;""), 2, IF(OR(X78&lt;&gt;"", Y78&lt;&gt;""), 1, 0))</f>
        <v>2</v>
      </c>
      <c r="U78" s="355"/>
      <c r="V78" s="373">
        <f>IF(OR(R78="STAR", T78="", U78=""), T78,
"總數：" &amp; T78 &amp; CHAR(10) &amp;
"已維修：" &amp; U78 &amp; CHAR(10) &amp;
"未更換：" &amp; (T78 - U78))</f>
        <v>2</v>
      </c>
      <c r="W78" s="360" t="str">
        <f>IF(VLOOKUP(A78,'0919門市清單主檔'!B:E,4,FALSE)=0,"",VLOOKUP(A78,'0919門市清單主檔'!B:E,4,FALSE))</f>
        <v/>
      </c>
      <c r="X78" s="3" t="s">
        <v>4386</v>
      </c>
      <c r="Y78" s="5" t="s">
        <v>4387</v>
      </c>
      <c r="Z78" s="5" t="str">
        <f>IF(T78&gt;0,"STAR","")</f>
        <v>STAR</v>
      </c>
    </row>
    <row r="79" spans="1:26"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69" t="str">
        <f>Q79&amp;IF(R79&lt;&gt;"",$P$2,"")&amp;R79</f>
        <v>EDC+STAR</v>
      </c>
      <c r="N79" s="339" t="str" cm="1">
        <f t="array" ref="N79">IF(AND(
    SUMPRODUCT(
        (IM!$F$2:$F$2000=A79) *
        ISNUMBER(SEARCH("HUB", IM!$AC$2:$AC$2000)) *
        (IM!$X$2:$X$2000&gt;=$A$1) *
        (IM!$X$2:$X$2000&lt;=$B$1)*(W79="HUB")
    ) &gt; 0
), "HUB", "")</f>
        <v/>
      </c>
      <c r="O79" s="371" t="str">
        <f>IF(I79="","未到店",
IF(AND(S79&gt;I79, R79="STAR", NOT(AND(G79&lt;&gt;"萊到店 WebPOS", Q79&lt;&gt;"EDC"))), "完工已補裝",
IF(AND(G79&lt;&gt;"萊到店 WebPOS", Q79&lt;&gt;"EDC"), "EDC異常",
IF(AND(W79="HUB", N79=""), "HUB異常",
IF(OR(AND(Z79="STAR", R79="STAR"), AND(Z79&lt;&gt;"STAR", R79="")), "已完工", "STAR異常")
))))</f>
        <v>已完工</v>
      </c>
      <c r="P79" s="238" t="str">
        <f>(TEXT(I79,"yyyymmdd"))&amp;$S$2&amp;A79&amp;$S$2&amp;B79&amp;$Q$2</f>
        <v>20250421-3878-林口清梅店(定保)</v>
      </c>
      <c r="Q79" s="357" t="str" cm="1">
        <f t="array" ref="Q79">IF(AND(SUMPRODUCT((IM!$F$2:$F$2000=A79)*(ISNUMBER(SEARCH("EDC", IM!$AC$2:$AC$2000))))&gt;0), "EDC", "")</f>
        <v>EDC</v>
      </c>
      <c r="R79" s="358" t="str" cm="1">
        <f t="array" ref="R79">IF(AND(SUMPRODUCT((IM!$F$2:$F$2000=A79)*(ISNUMBER(SEARCH("STAR", IM!$AC$2:$AC$2000))))&gt;0), "STAR", "")</f>
        <v>STAR</v>
      </c>
      <c r="S79" s="359" cm="1">
        <f t="array" ref="S79">IFERROR(INDEX(IM!$X$2:$X$650, MATCH(1, (IM!$F$2:$F$650=A79) * (ISNUMBER(SEARCH($D$1, IM!$AC$2:$AC$650))), 0)), "")</f>
        <v>45768.708333333336</v>
      </c>
      <c r="T79" s="355">
        <f>IF(AND(X79&lt;&gt;"", Y79&lt;&gt;""), 2, IF(OR(X79&lt;&gt;"", Y79&lt;&gt;""), 1, 0))</f>
        <v>1</v>
      </c>
      <c r="U79" s="355"/>
      <c r="V79" s="373">
        <f>IF(OR(R79="STAR", T79="", U79=""), T79,
"總數：" &amp; T79 &amp; CHAR(10) &amp;
"已維修：" &amp; U79 &amp; CHAR(10) &amp;
"未更換：" &amp; (T79 - U79))</f>
        <v>1</v>
      </c>
      <c r="W79" s="360" t="str">
        <f>IF(VLOOKUP(A79,'0919門市清單主檔'!B:E,4,FALSE)=0,"",VLOOKUP(A79,'0919門市清單主檔'!B:E,4,FALSE))</f>
        <v/>
      </c>
      <c r="X79" s="3" t="s">
        <v>4255</v>
      </c>
      <c r="Y79" s="5"/>
      <c r="Z79" s="5" t="str">
        <f>IF(T79&gt;0,"STAR","")</f>
        <v>STAR</v>
      </c>
    </row>
    <row r="80" spans="1:26"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IF(I80&gt;0,(TEXT(I80,"yyyymmdd")&amp;$S$2&amp;A80&amp;$S$2&amp;B80&amp;$Q$2),"")</f>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69" t="str">
        <f>Q80&amp;IF(R80&lt;&gt;"",$P$2,"")&amp;R80</f>
        <v>EDC+STAR</v>
      </c>
      <c r="N80" s="339" t="str" cm="1">
        <f t="array" ref="N80">IF(AND(
    SUMPRODUCT(
        (IM!$F$2:$F$2000=A80) *
        ISNUMBER(SEARCH("HUB", IM!$AC$2:$AC$2000)) *
        (IM!$X$2:$X$2000&gt;=$A$1) *
        (IM!$X$2:$X$2000&lt;=$B$1)*(W80="HUB")
    ) &gt; 0
), "HUB", "")</f>
        <v/>
      </c>
      <c r="O80" s="371" t="str">
        <f>IF(I80="","未到店",
IF(AND(S80&gt;I80, R80="STAR", NOT(AND(G80&lt;&gt;"萊到店 WebPOS", Q80&lt;&gt;"EDC"))), "完工已補裝",
IF(AND(G80&lt;&gt;"萊到店 WebPOS", Q80&lt;&gt;"EDC"), "EDC異常",
IF(AND(W80="HUB", N80=""), "HUB異常",
IF(OR(AND(Z80="STAR", R80="STAR"), AND(Z80&lt;&gt;"STAR", R80="")), "已完工", "STAR異常")
))))</f>
        <v>已完工</v>
      </c>
      <c r="P80" s="238" t="str">
        <f>(TEXT(I80,"yyyymmdd"))&amp;$S$2&amp;A80&amp;$S$2&amp;B80&amp;$Q$2</f>
        <v>20250422-3652-北縣莊民店(定保)</v>
      </c>
      <c r="Q80" s="357" t="str" cm="1">
        <f t="array" ref="Q80">IF(AND(SUMPRODUCT((IM!$F$2:$F$2000=A80)*(ISNUMBER(SEARCH("EDC", IM!$AC$2:$AC$2000))))&gt;0), "EDC", "")</f>
        <v>EDC</v>
      </c>
      <c r="R80" s="358" t="str" cm="1">
        <f t="array" ref="R80">IF(AND(SUMPRODUCT((IM!$F$2:$F$2000=A80)*(ISNUMBER(SEARCH("STAR", IM!$AC$2:$AC$2000))))&gt;0), "STAR", "")</f>
        <v>STAR</v>
      </c>
      <c r="S80" s="359" cm="1">
        <f t="array" ref="S80">IFERROR(INDEX(IM!$X$2:$X$650, MATCH(1, (IM!$F$2:$F$650=A80) * (ISNUMBER(SEARCH($D$1, IM!$AC$2:$AC$650))), 0)), "")</f>
        <v>45769.416666666664</v>
      </c>
      <c r="T80" s="355">
        <f>IF(AND(X80&lt;&gt;"", Y80&lt;&gt;""), 2, IF(OR(X80&lt;&gt;"", Y80&lt;&gt;""), 1, 0))</f>
        <v>2</v>
      </c>
      <c r="U80" s="355"/>
      <c r="V80" s="373">
        <f>IF(OR(R80="STAR", T80="", U80=""), T80,
"總數：" &amp; T80 &amp; CHAR(10) &amp;
"已維修：" &amp; U80 &amp; CHAR(10) &amp;
"未更換：" &amp; (T80 - U80))</f>
        <v>2</v>
      </c>
      <c r="W80" s="360" t="str">
        <f>IF(VLOOKUP(A80,'0919門市清單主檔'!B:E,4,FALSE)=0,"",VLOOKUP(A80,'0919門市清單主檔'!B:E,4,FALSE))</f>
        <v/>
      </c>
      <c r="X80" s="3" t="s">
        <v>4410</v>
      </c>
      <c r="Y80" s="5" t="s">
        <v>4411</v>
      </c>
      <c r="Z80" s="5" t="str">
        <f>IF(T80&gt;0,"STAR","")</f>
        <v>STAR</v>
      </c>
    </row>
    <row r="81" spans="1:26"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IF(I81&gt;0,(TEXT(I81,"yyyymmdd")&amp;$S$2&amp;A81&amp;$S$2&amp;B81&amp;$Q$2),"")</f>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69" t="str">
        <f>Q81&amp;IF(R81&lt;&gt;"",$P$2,"")&amp;R81</f>
        <v>EDC+STAR</v>
      </c>
      <c r="N81" s="339" t="str" cm="1">
        <f t="array" ref="N81">IF(AND(
    SUMPRODUCT(
        (IM!$F$2:$F$2000=A81) *
        ISNUMBER(SEARCH("HUB", IM!$AC$2:$AC$2000)) *
        (IM!$X$2:$X$2000&gt;=$A$1) *
        (IM!$X$2:$X$2000&lt;=$B$1)*(W81="HUB")
    ) &gt; 0
), "HUB", "")</f>
        <v/>
      </c>
      <c r="O81" s="371" t="str">
        <f>IF(I81="","未到店",
IF(AND(S81&gt;I81, R81="STAR", NOT(AND(G81&lt;&gt;"萊到店 WebPOS", Q81&lt;&gt;"EDC"))), "完工已補裝",
IF(AND(G81&lt;&gt;"萊到店 WebPOS", Q81&lt;&gt;"EDC"), "EDC異常",
IF(AND(W81="HUB", N81=""), "HUB異常",
IF(OR(AND(Z81="STAR", R81="STAR"), AND(Z81&lt;&gt;"STAR", R81="")), "已完工", "STAR異常")
))))</f>
        <v>已完工</v>
      </c>
      <c r="P81" s="238" t="str">
        <f>(TEXT(I81,"yyyymmdd"))&amp;$S$2&amp;A81&amp;$S$2&amp;B81&amp;$Q$2</f>
        <v>20250422-4845-石門海角店(定保)</v>
      </c>
      <c r="Q81" s="357" t="str" cm="1">
        <f t="array" ref="Q81">IF(AND(SUMPRODUCT((IM!$F$2:$F$2000=A81)*(ISNUMBER(SEARCH("EDC", IM!$AC$2:$AC$2000))))&gt;0), "EDC", "")</f>
        <v>EDC</v>
      </c>
      <c r="R81" s="358" t="str" cm="1">
        <f t="array" ref="R81">IF(AND(SUMPRODUCT((IM!$F$2:$F$2000=A81)*(ISNUMBER(SEARCH("STAR", IM!$AC$2:$AC$2000))))&gt;0), "STAR", "")</f>
        <v>STAR</v>
      </c>
      <c r="S81" s="359" cm="1">
        <f t="array" ref="S81">IFERROR(INDEX(IM!$X$2:$X$650, MATCH(1, (IM!$F$2:$F$650=A81) * (ISNUMBER(SEARCH($D$1, IM!$AC$2:$AC$650))), 0)), "")</f>
        <v>45769.544444444444</v>
      </c>
      <c r="T81" s="355">
        <f>IF(AND(X81&lt;&gt;"", Y81&lt;&gt;""), 2, IF(OR(X81&lt;&gt;"", Y81&lt;&gt;""), 1, 0))</f>
        <v>2</v>
      </c>
      <c r="U81" s="355"/>
      <c r="V81" s="373">
        <f>IF(OR(R81="STAR", T81="", U81=""), T81,
"總數：" &amp; T81 &amp; CHAR(10) &amp;
"已維修：" &amp; U81 &amp; CHAR(10) &amp;
"未更換：" &amp; (T81 - U81))</f>
        <v>2</v>
      </c>
      <c r="W81" s="360" t="str">
        <f>IF(VLOOKUP(A81,'0919門市清單主檔'!B:E,4,FALSE)=0,"",VLOOKUP(A81,'0919門市清單主檔'!B:E,4,FALSE))</f>
        <v/>
      </c>
      <c r="X81" s="3" t="s">
        <v>4236</v>
      </c>
      <c r="Y81" s="5" t="s">
        <v>4237</v>
      </c>
      <c r="Z81" s="5" t="str">
        <f>IF(T81&gt;0,"STAR","")</f>
        <v>STAR</v>
      </c>
    </row>
    <row r="82" spans="1:26"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IF(I82&gt;0,(TEXT(I82,"yyyymmdd")&amp;$S$2&amp;A82&amp;$S$2&amp;B82&amp;$Q$2),"")</f>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69" t="str">
        <f>Q82&amp;IF(R82&lt;&gt;"",$P$2,"")&amp;R82</f>
        <v>EDC</v>
      </c>
      <c r="N82" s="339" t="str" cm="1">
        <f t="array" ref="N82">IF(AND(
    SUMPRODUCT(
        (IM!$F$2:$F$2000=A82) *
        ISNUMBER(SEARCH("HUB", IM!$AC$2:$AC$2000)) *
        (IM!$X$2:$X$2000&gt;=$A$1) *
        (IM!$X$2:$X$2000&lt;=$B$1)*(W82="HUB")
    ) &gt; 0
), "HUB", "")</f>
        <v/>
      </c>
      <c r="O82" s="371" t="str">
        <f>IF(I82="","未到店",
IF(AND(S82&gt;I82, R82="STAR", NOT(AND(G82&lt;&gt;"萊到店 WebPOS", Q82&lt;&gt;"EDC"))), "完工已補裝",
IF(AND(G82&lt;&gt;"萊到店 WebPOS", Q82&lt;&gt;"EDC"), "EDC異常",
IF(AND(W82="HUB", N82=""), "HUB異常",
IF(OR(AND(Z82="STAR", R82="STAR"), AND(Z82&lt;&gt;"STAR", R82="")), "已完工", "STAR異常")
))))</f>
        <v>已完工</v>
      </c>
      <c r="P82" s="238" t="str">
        <f>(TEXT(I82,"yyyymmdd"))&amp;$S$2&amp;A82&amp;$S$2&amp;B82&amp;$Q$2</f>
        <v>20250422-2154-北縣板莊店(定保)</v>
      </c>
      <c r="Q82" s="357" t="str" cm="1">
        <f t="array" ref="Q82">IF(AND(SUMPRODUCT((IM!$F$2:$F$2000=A82)*(ISNUMBER(SEARCH("EDC", IM!$AC$2:$AC$2000))))&gt;0), "EDC", "")</f>
        <v>EDC</v>
      </c>
      <c r="R82" s="358" t="str" cm="1">
        <f t="array" ref="R82">IF(AND(SUMPRODUCT((IM!$F$2:$F$2000=A82)*(ISNUMBER(SEARCH("STAR", IM!$AC$2:$AC$2000))))&gt;0), "STAR", "")</f>
        <v/>
      </c>
      <c r="S82" s="359" t="str" cm="1">
        <f t="array" ref="S82">IFERROR(INDEX(IM!$X$2:$X$650, MATCH(1, (IM!$F$2:$F$650=A82) * (ISNUMBER(SEARCH($D$1, IM!$AC$2:$AC$650))), 0)), "")</f>
        <v/>
      </c>
      <c r="T82" s="355">
        <f>IF(AND(X82&lt;&gt;"", Y82&lt;&gt;""), 2, IF(OR(X82&lt;&gt;"", Y82&lt;&gt;""), 1, 0))</f>
        <v>0</v>
      </c>
      <c r="U82" s="355"/>
      <c r="V82" s="373">
        <f>IF(OR(R82="STAR", T82="", U82=""), T82,
"總數：" &amp; T82 &amp; CHAR(10) &amp;
"已維修：" &amp; U82 &amp; CHAR(10) &amp;
"未更換：" &amp; (T82 - U82))</f>
        <v>0</v>
      </c>
      <c r="W82" s="360" t="str">
        <f>IF(VLOOKUP(A82,'0919門市清單主檔'!B:E,4,FALSE)=0,"",VLOOKUP(A82,'0919門市清單主檔'!B:E,4,FALSE))</f>
        <v/>
      </c>
      <c r="Y82" s="5"/>
      <c r="Z82" s="5" t="str">
        <f>IF(T82&gt;0,"STAR","")</f>
        <v/>
      </c>
    </row>
    <row r="83" spans="1:26"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IF(I83&gt;0,(TEXT(I83,"yyyymmdd")&amp;$S$2&amp;A83&amp;$S$2&amp;B83&amp;$Q$2),"")</f>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69" t="str">
        <f>Q83&amp;IF(R83&lt;&gt;"",$P$2,"")&amp;R83</f>
        <v>EDC</v>
      </c>
      <c r="N83" s="339" t="str" cm="1">
        <f t="array" ref="N83">IF(AND(
    SUMPRODUCT(
        (IM!$F$2:$F$2000=A83) *
        ISNUMBER(SEARCH("HUB", IM!$AC$2:$AC$2000)) *
        (IM!$X$2:$X$2000&gt;=$A$1) *
        (IM!$X$2:$X$2000&lt;=$B$1)*(W83="HUB")
    ) &gt; 0
), "HUB", "")</f>
        <v/>
      </c>
      <c r="O83" s="371" t="str">
        <f>IF(I83="","未到店",
IF(AND(S83&gt;I83, R83="STAR", NOT(AND(G83&lt;&gt;"萊到店 WebPOS", Q83&lt;&gt;"EDC"))), "完工已補裝",
IF(AND(G83&lt;&gt;"萊到店 WebPOS", Q83&lt;&gt;"EDC"), "EDC異常",
IF(AND(W83="HUB", N83=""), "HUB異常",
IF(OR(AND(Z83="STAR", R83="STAR"), AND(Z83&lt;&gt;"STAR", R83="")), "已完工", "STAR異常")
))))</f>
        <v>已完工</v>
      </c>
      <c r="P83" s="238" t="str">
        <f>(TEXT(I83,"yyyymmdd"))&amp;$S$2&amp;A83&amp;$S$2&amp;B83&amp;$Q$2</f>
        <v>20250423-5060-淡水魚市店(定保)</v>
      </c>
      <c r="Q83" s="357" t="str" cm="1">
        <f t="array" ref="Q83">IF(AND(SUMPRODUCT((IM!$F$2:$F$2000=A83)*(ISNUMBER(SEARCH("EDC", IM!$AC$2:$AC$2000))))&gt;0), "EDC", "")</f>
        <v>EDC</v>
      </c>
      <c r="R83" s="358" t="str" cm="1">
        <f t="array" ref="R83">IF(AND(SUMPRODUCT((IM!$F$2:$F$2000=A83)*(ISNUMBER(SEARCH("STAR", IM!$AC$2:$AC$2000))))&gt;0), "STAR", "")</f>
        <v/>
      </c>
      <c r="S83" s="359" t="str" cm="1">
        <f t="array" ref="S83">IFERROR(INDEX(IM!$X$2:$X$650, MATCH(1, (IM!$F$2:$F$650=A83) * (ISNUMBER(SEARCH($D$1, IM!$AC$2:$AC$650))), 0)), "")</f>
        <v/>
      </c>
      <c r="T83" s="355">
        <f>IF(AND(X83&lt;&gt;"", Y83&lt;&gt;""), 2, IF(OR(X83&lt;&gt;"", Y83&lt;&gt;""), 1, 0))</f>
        <v>0</v>
      </c>
      <c r="U83" s="355"/>
      <c r="V83" s="373">
        <f>IF(OR(R83="STAR", T83="", U83=""), T83,
"總數：" &amp; T83 &amp; CHAR(10) &amp;
"已維修：" &amp; U83 &amp; CHAR(10) &amp;
"未更換：" &amp; (T83 - U83))</f>
        <v>0</v>
      </c>
      <c r="W83" s="360" t="str">
        <f>IF(VLOOKUP(A83,'0919門市清單主檔'!B:E,4,FALSE)=0,"",VLOOKUP(A83,'0919門市清單主檔'!B:E,4,FALSE))</f>
        <v/>
      </c>
      <c r="Y83" s="5"/>
      <c r="Z83" s="5" t="str">
        <f>IF(T83&gt;0,"STAR","")</f>
        <v/>
      </c>
    </row>
    <row r="84" spans="1:26"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IF(I84&gt;0,(TEXT(I84,"yyyymmdd")&amp;$S$2&amp;A84&amp;$S$2&amp;B84&amp;$Q$2),"")</f>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69" t="str">
        <f>Q84&amp;IF(R84&lt;&gt;"",$P$2,"")&amp;R84</f>
        <v>EDC+STAR</v>
      </c>
      <c r="N84" s="339" t="str" cm="1">
        <f t="array" ref="N84">IF(AND(
    SUMPRODUCT(
        (IM!$F$2:$F$2000=A84) *
        ISNUMBER(SEARCH("HUB", IM!$AC$2:$AC$2000)) *
        (IM!$X$2:$X$2000&gt;=$A$1) *
        (IM!$X$2:$X$2000&lt;=$B$1)*(W84="HUB")
    ) &gt; 0
), "HUB", "")</f>
        <v/>
      </c>
      <c r="O84" s="371" t="str">
        <f>IF(I84="","未到店",
IF(AND(S84&gt;I84, R84="STAR", NOT(AND(G84&lt;&gt;"萊到店 WebPOS", Q84&lt;&gt;"EDC"))), "完工已補裝",
IF(AND(G84&lt;&gt;"萊到店 WebPOS", Q84&lt;&gt;"EDC"), "EDC異常",
IF(AND(W84="HUB", N84=""), "HUB異常",
IF(OR(AND(Z84="STAR", R84="STAR"), AND(Z84&lt;&gt;"STAR", R84="")), "已完工", "STAR異常")
))))</f>
        <v>已完工</v>
      </c>
      <c r="P84" s="238" t="str">
        <f>(TEXT(I84,"yyyymmdd"))&amp;$S$2&amp;A84&amp;$S$2&amp;B84&amp;$Q$2</f>
        <v>20250424-3359-三重金陵店(定保)</v>
      </c>
      <c r="Q84" s="357" t="str" cm="1">
        <f t="array" ref="Q84">IF(AND(SUMPRODUCT((IM!$F$2:$F$2000=A84)*(ISNUMBER(SEARCH("EDC", IM!$AC$2:$AC$2000))))&gt;0), "EDC", "")</f>
        <v>EDC</v>
      </c>
      <c r="R84" s="358" t="str" cm="1">
        <f t="array" ref="R84">IF(AND(SUMPRODUCT((IM!$F$2:$F$2000=A84)*(ISNUMBER(SEARCH("STAR", IM!$AC$2:$AC$2000))))&gt;0), "STAR", "")</f>
        <v>STAR</v>
      </c>
      <c r="S84" s="359" cm="1">
        <f t="array" ref="S84">IFERROR(INDEX(IM!$X$2:$X$650, MATCH(1, (IM!$F$2:$F$650=A84) * (ISNUMBER(SEARCH($D$1, IM!$AC$2:$AC$650))), 0)), "")</f>
        <v>45771.614583333336</v>
      </c>
      <c r="T84" s="355">
        <f>IF(AND(X84&lt;&gt;"", Y84&lt;&gt;""), 2, IF(OR(X84&lt;&gt;"", Y84&lt;&gt;""), 1, 0))</f>
        <v>2</v>
      </c>
      <c r="U84" s="355"/>
      <c r="V84" s="373">
        <f>IF(OR(R84="STAR", T84="", U84=""), T84,
"總數：" &amp; T84 &amp; CHAR(10) &amp;
"已維修：" &amp; U84 &amp; CHAR(10) &amp;
"未更換：" &amp; (T84 - U84))</f>
        <v>2</v>
      </c>
      <c r="W84" s="360" t="str">
        <f>IF(VLOOKUP(A84,'0919門市清單主檔'!B:E,4,FALSE)=0,"",VLOOKUP(A84,'0919門市清單主檔'!B:E,4,FALSE))</f>
        <v/>
      </c>
      <c r="X84" s="3" t="s">
        <v>4240</v>
      </c>
      <c r="Y84" s="5" t="s">
        <v>4241</v>
      </c>
      <c r="Z84" s="5" t="str">
        <f>IF(T84&gt;0,"STAR","")</f>
        <v>STAR</v>
      </c>
    </row>
    <row r="85" spans="1:26"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IF(I85&gt;0,(TEXT(I85,"yyyymmdd")&amp;$S$2&amp;A85&amp;$S$2&amp;B85&amp;$Q$2),"")</f>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69" t="str">
        <f>Q85&amp;IF(R85&lt;&gt;"",$P$2,"")&amp;R85</f>
        <v>EDC+STAR</v>
      </c>
      <c r="N85" s="339" t="str" cm="1">
        <f t="array" ref="N85">IF(AND(
    SUMPRODUCT(
        (IM!$F$2:$F$2000=A85) *
        ISNUMBER(SEARCH("HUB", IM!$AC$2:$AC$2000)) *
        (IM!$X$2:$X$2000&gt;=$A$1) *
        (IM!$X$2:$X$2000&lt;=$B$1)*(W85="HUB")
    ) &gt; 0
), "HUB", "")</f>
        <v/>
      </c>
      <c r="O85" s="371" t="str">
        <f>IF(I85="","未到店",
IF(AND(S85&gt;I85, R85="STAR", NOT(AND(G85&lt;&gt;"萊到店 WebPOS", Q85&lt;&gt;"EDC"))), "完工已補裝",
IF(AND(G85&lt;&gt;"萊到店 WebPOS", Q85&lt;&gt;"EDC"), "EDC異常",
IF(AND(W85="HUB", N85=""), "HUB異常",
IF(OR(AND(Z85="STAR", R85="STAR"), AND(Z85&lt;&gt;"STAR", R85="")), "已完工", "STAR異常")
))))</f>
        <v>已完工</v>
      </c>
      <c r="P85" s="238" t="str">
        <f>(TEXT(I85,"yyyymmdd"))&amp;$S$2&amp;A85&amp;$S$2&amp;B85&amp;$Q$2</f>
        <v>20250424-D191-三重興德店(定保)</v>
      </c>
      <c r="Q85" s="357" t="str" cm="1">
        <f t="array" ref="Q85">IF(AND(SUMPRODUCT((IM!$F$2:$F$2000=A85)*(ISNUMBER(SEARCH("EDC", IM!$AC$2:$AC$2000))))&gt;0), "EDC", "")</f>
        <v>EDC</v>
      </c>
      <c r="R85" s="358" t="str" cm="1">
        <f t="array" ref="R85">IF(AND(SUMPRODUCT((IM!$F$2:$F$2000=A85)*(ISNUMBER(SEARCH("STAR", IM!$AC$2:$AC$2000))))&gt;0), "STAR", "")</f>
        <v>STAR</v>
      </c>
      <c r="S85" s="359" cm="1">
        <f t="array" ref="S85">IFERROR(INDEX(IM!$X$2:$X$650, MATCH(1, (IM!$F$2:$F$650=A85) * (ISNUMBER(SEARCH($D$1, IM!$AC$2:$AC$650))), 0)), "")</f>
        <v>45771.677777777775</v>
      </c>
      <c r="T85" s="355">
        <f>IF(AND(X85&lt;&gt;"", Y85&lt;&gt;""), 2, IF(OR(X85&lt;&gt;"", Y85&lt;&gt;""), 1, 0))</f>
        <v>2</v>
      </c>
      <c r="U85" s="355"/>
      <c r="V85" s="373">
        <f>IF(OR(R85="STAR", T85="", U85=""), T85,
"總數：" &amp; T85 &amp; CHAR(10) &amp;
"已維修：" &amp; U85 &amp; CHAR(10) &amp;
"未更換：" &amp; (T85 - U85))</f>
        <v>2</v>
      </c>
      <c r="W85" s="360" t="str">
        <f>IF(VLOOKUP(A85,'0919門市清單主檔'!B:E,4,FALSE)=0,"",VLOOKUP(A85,'0919門市清單主檔'!B:E,4,FALSE))</f>
        <v/>
      </c>
      <c r="X85" s="3" t="s">
        <v>4242</v>
      </c>
      <c r="Y85" s="5" t="s">
        <v>4243</v>
      </c>
      <c r="Z85" s="5" t="str">
        <f>IF(T85&gt;0,"STAR","")</f>
        <v>STAR</v>
      </c>
    </row>
    <row r="86" spans="1:26"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IF(I86&gt;0,(TEXT(I86,"yyyymmdd")&amp;$S$2&amp;A86&amp;$S$2&amp;B86&amp;$Q$2),"")</f>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69" t="str">
        <f>Q86&amp;IF(R86&lt;&gt;"",$P$2,"")&amp;R86</f>
        <v>EDC+STAR</v>
      </c>
      <c r="N86" s="339" t="str" cm="1">
        <f t="array" ref="N86">IF(AND(
    SUMPRODUCT(
        (IM!$F$2:$F$2000=A86) *
        ISNUMBER(SEARCH("HUB", IM!$AC$2:$AC$2000)) *
        (IM!$X$2:$X$2000&gt;=$A$1) *
        (IM!$X$2:$X$2000&lt;=$B$1)*(W86="HUB")
    ) &gt; 0
), "HUB", "")</f>
        <v/>
      </c>
      <c r="O86" s="371" t="str">
        <f>IF(I86="","未到店",
IF(AND(S86&gt;I86, R86="STAR", NOT(AND(G86&lt;&gt;"萊到店 WebPOS", Q86&lt;&gt;"EDC"))), "完工已補裝",
IF(AND(G86&lt;&gt;"萊到店 WebPOS", Q86&lt;&gt;"EDC"), "EDC異常",
IF(AND(W86="HUB", N86=""), "HUB異常",
IF(OR(AND(Z86="STAR", R86="STAR"), AND(Z86&lt;&gt;"STAR", R86="")), "已完工", "STAR異常")
))))</f>
        <v>已完工</v>
      </c>
      <c r="P86" s="238" t="str">
        <f>(TEXT(I86,"yyyymmdd"))&amp;$S$2&amp;A86&amp;$S$2&amp;B86&amp;$Q$2</f>
        <v>20250425-2267-北縣金陽店(定保)</v>
      </c>
      <c r="Q86" s="357" t="str" cm="1">
        <f t="array" ref="Q86">IF(AND(SUMPRODUCT((IM!$F$2:$F$2000=A86)*(ISNUMBER(SEARCH("EDC", IM!$AC$2:$AC$2000))))&gt;0), "EDC", "")</f>
        <v>EDC</v>
      </c>
      <c r="R86" s="358" t="str" cm="1">
        <f t="array" ref="R86">IF(AND(SUMPRODUCT((IM!$F$2:$F$2000=A86)*(ISNUMBER(SEARCH("STAR", IM!$AC$2:$AC$2000))))&gt;0), "STAR", "")</f>
        <v>STAR</v>
      </c>
      <c r="S86" s="359" cm="1">
        <f t="array" ref="S86">IFERROR(INDEX(IM!$X$2:$X$650, MATCH(1, (IM!$F$2:$F$650=A86) * (ISNUMBER(SEARCH($D$1, IM!$AC$2:$AC$650))), 0)), "")</f>
        <v>45772.586805555555</v>
      </c>
      <c r="T86" s="355">
        <f>IF(AND(X86&lt;&gt;"", Y86&lt;&gt;""), 2, IF(OR(X86&lt;&gt;"", Y86&lt;&gt;""), 1, 0))</f>
        <v>2</v>
      </c>
      <c r="U86" s="355"/>
      <c r="V86" s="373">
        <f>IF(OR(R86="STAR", T86="", U86=""), T86,
"總數：" &amp; T86 &amp; CHAR(10) &amp;
"已維修：" &amp; U86 &amp; CHAR(10) &amp;
"未更換：" &amp; (T86 - U86))</f>
        <v>2</v>
      </c>
      <c r="W86" s="360" t="str">
        <f>IF(VLOOKUP(A86,'0919門市清單主檔'!B:E,4,FALSE)=0,"",VLOOKUP(A86,'0919門市清單主檔'!B:E,4,FALSE))</f>
        <v/>
      </c>
      <c r="X86" s="3" t="s">
        <v>4234</v>
      </c>
      <c r="Y86" s="5" t="s">
        <v>4235</v>
      </c>
      <c r="Z86" s="5" t="str">
        <f>IF(T86&gt;0,"STAR","")</f>
        <v>STAR</v>
      </c>
    </row>
    <row r="87" spans="1:26"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IF(I87&gt;0,(TEXT(I87,"yyyymmdd")&amp;$S$2&amp;A87&amp;$S$2&amp;B87&amp;$Q$2),"")</f>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69" t="str">
        <f>Q87&amp;IF(R87&lt;&gt;"",$P$2,"")&amp;R87</f>
        <v>EDC</v>
      </c>
      <c r="N87" s="339" t="str" cm="1">
        <f t="array" ref="N87">IF(AND(
    SUMPRODUCT(
        (IM!$F$2:$F$2000=A87) *
        ISNUMBER(SEARCH("HUB", IM!$AC$2:$AC$2000)) *
        (IM!$X$2:$X$2000&gt;=$A$1) *
        (IM!$X$2:$X$2000&lt;=$B$1)*(W87="HUB")
    ) &gt; 0
), "HUB", "")</f>
        <v/>
      </c>
      <c r="O87" s="371" t="str">
        <f>IF(I87="","未到店",
IF(AND(S87&gt;I87, R87="STAR", NOT(AND(G87&lt;&gt;"萊到店 WebPOS", Q87&lt;&gt;"EDC"))), "完工已補裝",
IF(AND(G87&lt;&gt;"萊到店 WebPOS", Q87&lt;&gt;"EDC"), "EDC異常",
IF(AND(W87="HUB", N87=""), "HUB異常",
IF(OR(AND(Z87="STAR", R87="STAR"), AND(Z87&lt;&gt;"STAR", R87="")), "已完工", "STAR異常")
))))</f>
        <v>已完工</v>
      </c>
      <c r="P87" s="238" t="str">
        <f>(TEXT(I87,"yyyymmdd"))&amp;$S$2&amp;A87&amp;$S$2&amp;B87&amp;$Q$2</f>
        <v>20250429-3358-新莊棒球場(定保)</v>
      </c>
      <c r="Q87" s="357" t="str" cm="1">
        <f t="array" ref="Q87">IF(AND(SUMPRODUCT((IM!$F$2:$F$2000=A87)*(ISNUMBER(SEARCH("EDC", IM!$AC$2:$AC$2000))))&gt;0), "EDC", "")</f>
        <v>EDC</v>
      </c>
      <c r="R87" s="358" t="str" cm="1">
        <f t="array" ref="R87">IF(AND(SUMPRODUCT((IM!$F$2:$F$2000=A87)*(ISNUMBER(SEARCH("STAR", IM!$AC$2:$AC$2000))))&gt;0), "STAR", "")</f>
        <v/>
      </c>
      <c r="S87" s="359" t="str" cm="1">
        <f t="array" ref="S87">IFERROR(INDEX(IM!$X$2:$X$650, MATCH(1, (IM!$F$2:$F$650=A87) * (ISNUMBER(SEARCH($D$1, IM!$AC$2:$AC$650))), 0)), "")</f>
        <v/>
      </c>
      <c r="T87" s="355">
        <f>IF(AND(X87&lt;&gt;"", Y87&lt;&gt;""), 2, IF(OR(X87&lt;&gt;"", Y87&lt;&gt;""), 1, 0))</f>
        <v>0</v>
      </c>
      <c r="U87" s="355"/>
      <c r="V87" s="373">
        <f>IF(OR(R87="STAR", T87="", U87=""), T87,
"總數：" &amp; T87 &amp; CHAR(10) &amp;
"已維修：" &amp; U87 &amp; CHAR(10) &amp;
"未更換：" &amp; (T87 - U87))</f>
        <v>0</v>
      </c>
      <c r="W87" s="360" t="str">
        <f>IF(VLOOKUP(A87,'0919門市清單主檔'!B:E,4,FALSE)=0,"",VLOOKUP(A87,'0919門市清單主檔'!B:E,4,FALSE))</f>
        <v/>
      </c>
      <c r="Y87" s="5"/>
      <c r="Z87" s="5" t="str">
        <f>IF(T87&gt;0,"STAR","")</f>
        <v/>
      </c>
    </row>
    <row r="88" spans="1:26"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IF(I88&gt;0,(TEXT(I88,"yyyymmdd")&amp;$S$2&amp;A88&amp;$S$2&amp;B88&amp;$Q$2),"")</f>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69" t="str">
        <f>Q88&amp;IF(R88&lt;&gt;"",$P$2,"")&amp;R88</f>
        <v>EDC+STAR</v>
      </c>
      <c r="N88" s="339" t="str" cm="1">
        <f t="array" ref="N88">IF(AND(
    SUMPRODUCT(
        (IM!$F$2:$F$2000=A88) *
        ISNUMBER(SEARCH("HUB", IM!$AC$2:$AC$2000)) *
        (IM!$X$2:$X$2000&gt;=$A$1) *
        (IM!$X$2:$X$2000&lt;=$B$1)*(W88="HUB")
    ) &gt; 0
), "HUB", "")</f>
        <v/>
      </c>
      <c r="O88" s="371" t="str">
        <f>IF(I88="","未到店",
IF(AND(S88&gt;I88, R88="STAR", NOT(AND(G88&lt;&gt;"萊到店 WebPOS", Q88&lt;&gt;"EDC"))), "完工已補裝",
IF(AND(G88&lt;&gt;"萊到店 WebPOS", Q88&lt;&gt;"EDC"), "EDC異常",
IF(AND(W88="HUB", N88=""), "HUB異常",
IF(OR(AND(Z88="STAR", R88="STAR"), AND(Z88&lt;&gt;"STAR", R88="")), "已完工", "STAR異常")
))))</f>
        <v>已完工</v>
      </c>
      <c r="P88" s="238" t="str">
        <f>(TEXT(I88,"yyyymmdd"))&amp;$S$2&amp;A88&amp;$S$2&amp;B88&amp;$Q$2</f>
        <v>20250429-3623-三重自強店(定保)</v>
      </c>
      <c r="Q88" s="357" t="str" cm="1">
        <f t="array" ref="Q88">IF(AND(SUMPRODUCT((IM!$F$2:$F$2000=A88)*(ISNUMBER(SEARCH("EDC", IM!$AC$2:$AC$2000))))&gt;0), "EDC", "")</f>
        <v>EDC</v>
      </c>
      <c r="R88" s="358" t="str" cm="1">
        <f t="array" ref="R88">IF(AND(SUMPRODUCT((IM!$F$2:$F$2000=A88)*(ISNUMBER(SEARCH("STAR", IM!$AC$2:$AC$2000))))&gt;0), "STAR", "")</f>
        <v>STAR</v>
      </c>
      <c r="S88" s="359" cm="1">
        <f t="array" ref="S88">IFERROR(INDEX(IM!$X$2:$X$650, MATCH(1, (IM!$F$2:$F$650=A88) * (ISNUMBER(SEARCH($D$1, IM!$AC$2:$AC$650))), 0)), "")</f>
        <v>45776.625</v>
      </c>
      <c r="T88" s="355">
        <f>IF(AND(X88&lt;&gt;"", Y88&lt;&gt;""), 2, IF(OR(X88&lt;&gt;"", Y88&lt;&gt;""), 1, 0))</f>
        <v>2</v>
      </c>
      <c r="U88" s="355"/>
      <c r="V88" s="373">
        <f>IF(OR(R88="STAR", T88="", U88=""), T88,
"總數：" &amp; T88 &amp; CHAR(10) &amp;
"已維修：" &amp; U88 &amp; CHAR(10) &amp;
"未更換：" &amp; (T88 - U88))</f>
        <v>2</v>
      </c>
      <c r="W88" s="360" t="str">
        <f>IF(VLOOKUP(A88,'0919門市清單主檔'!B:E,4,FALSE)=0,"",VLOOKUP(A88,'0919門市清單主檔'!B:E,4,FALSE))</f>
        <v/>
      </c>
      <c r="X88" s="3" t="s">
        <v>4288</v>
      </c>
      <c r="Y88" s="5" t="s">
        <v>4289</v>
      </c>
      <c r="Z88" s="5" t="str">
        <f>IF(T88&gt;0,"STAR","")</f>
        <v>STAR</v>
      </c>
    </row>
    <row r="89" spans="1:26"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IF(I89&gt;0,(TEXT(I89,"yyyymmdd")&amp;$S$2&amp;A89&amp;$S$2&amp;B89&amp;$Q$2),"")</f>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69" t="str">
        <f>Q89&amp;IF(R89&lt;&gt;"",$P$2,"")&amp;R89</f>
        <v>EDC+STAR</v>
      </c>
      <c r="N89" s="339" t="str" cm="1">
        <f t="array" ref="N89">IF(AND(
    SUMPRODUCT(
        (IM!$F$2:$F$2000=A89) *
        ISNUMBER(SEARCH("HUB", IM!$AC$2:$AC$2000)) *
        (IM!$X$2:$X$2000&gt;=$A$1) *
        (IM!$X$2:$X$2000&lt;=$B$1)*(W89="HUB")
    ) &gt; 0
), "HUB", "")</f>
        <v/>
      </c>
      <c r="O89" s="371" t="str">
        <f>IF(I89="","未到店",
IF(AND(S89&gt;I89, R89="STAR", NOT(AND(G89&lt;&gt;"萊到店 WebPOS", Q89&lt;&gt;"EDC"))), "完工已補裝",
IF(AND(G89&lt;&gt;"萊到店 WebPOS", Q89&lt;&gt;"EDC"), "EDC異常",
IF(AND(W89="HUB", N89=""), "HUB異常",
IF(OR(AND(Z89="STAR", R89="STAR"), AND(Z89&lt;&gt;"STAR", R89="")), "已完工", "STAR異常")
))))</f>
        <v>已完工</v>
      </c>
      <c r="P89" s="238" t="str">
        <f>(TEXT(I89,"yyyymmdd"))&amp;$S$2&amp;A89&amp;$S$2&amp;B89&amp;$Q$2</f>
        <v>20250430-2318-北縣淡俊店(定保)</v>
      </c>
      <c r="Q89" s="357" t="str" cm="1">
        <f t="array" ref="Q89">IF(AND(SUMPRODUCT((IM!$F$2:$F$2000=A89)*(ISNUMBER(SEARCH("EDC", IM!$AC$2:$AC$2000))))&gt;0), "EDC", "")</f>
        <v>EDC</v>
      </c>
      <c r="R89" s="358" t="str" cm="1">
        <f t="array" ref="R89">IF(AND(SUMPRODUCT((IM!$F$2:$F$2000=A89)*(ISNUMBER(SEARCH("STAR", IM!$AC$2:$AC$2000))))&gt;0), "STAR", "")</f>
        <v>STAR</v>
      </c>
      <c r="S89" s="359" cm="1">
        <f t="array" ref="S89">IFERROR(INDEX(IM!$X$2:$X$650, MATCH(1, (IM!$F$2:$F$650=A89) * (ISNUMBER(SEARCH($D$1, IM!$AC$2:$AC$650))), 0)), "")</f>
        <v>45777.59375</v>
      </c>
      <c r="T89" s="355">
        <f>IF(AND(X89&lt;&gt;"", Y89&lt;&gt;""), 2, IF(OR(X89&lt;&gt;"", Y89&lt;&gt;""), 1, 0))</f>
        <v>1</v>
      </c>
      <c r="U89" s="355"/>
      <c r="V89" s="373">
        <f>IF(OR(R89="STAR", T89="", U89=""), T89,
"總數：" &amp; T89 &amp; CHAR(10) &amp;
"已維修：" &amp; U89 &amp; CHAR(10) &amp;
"未更換：" &amp; (T89 - U89))</f>
        <v>1</v>
      </c>
      <c r="W89" s="360" t="str">
        <f>IF(VLOOKUP(A89,'0919門市清單主檔'!B:E,4,FALSE)=0,"",VLOOKUP(A89,'0919門市清單主檔'!B:E,4,FALSE))</f>
        <v/>
      </c>
      <c r="Y89" s="5" t="s">
        <v>4274</v>
      </c>
      <c r="Z89" s="5" t="str">
        <f>IF(T89&gt;0,"STAR","")</f>
        <v>STAR</v>
      </c>
    </row>
    <row r="90" spans="1:26"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IF(I90&gt;0,(TEXT(I90,"yyyymmdd")&amp;$S$2&amp;A90&amp;$S$2&amp;B90&amp;$Q$2),"")</f>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69" t="str">
        <f>Q90&amp;IF(R90&lt;&gt;"",$P$2,"")&amp;R90</f>
        <v>EDC+STAR</v>
      </c>
      <c r="N90" s="339" t="str" cm="1">
        <f t="array" ref="N90">IF(AND(
    SUMPRODUCT(
        (IM!$F$2:$F$2000=A90) *
        ISNUMBER(SEARCH("HUB", IM!$AC$2:$AC$2000)) *
        (IM!$X$2:$X$2000&gt;=$A$1) *
        (IM!$X$2:$X$2000&lt;=$B$1)*(W90="HUB")
    ) &gt; 0
), "HUB", "")</f>
        <v/>
      </c>
      <c r="O90" s="371" t="str">
        <f>IF(I90="","未到店",
IF(AND(S90&gt;I90, R90="STAR", NOT(AND(G90&lt;&gt;"萊到店 WebPOS", Q90&lt;&gt;"EDC"))), "完工已補裝",
IF(AND(G90&lt;&gt;"萊到店 WebPOS", Q90&lt;&gt;"EDC"), "EDC異常",
IF(AND(W90="HUB", N90=""), "HUB異常",
IF(OR(AND(Z90="STAR", R90="STAR"), AND(Z90&lt;&gt;"STAR", R90="")), "已完工", "STAR異常")
))))</f>
        <v>已完工</v>
      </c>
      <c r="P90" s="238" t="str">
        <f>(TEXT(I90,"yyyymmdd"))&amp;$S$2&amp;A90&amp;$S$2&amp;B90&amp;$Q$2</f>
        <v>20250430-2897-淡水台電宿舍(定保)</v>
      </c>
      <c r="Q90" s="357" t="str" cm="1">
        <f t="array" ref="Q90">IF(AND(SUMPRODUCT((IM!$F$2:$F$2000=A90)*(ISNUMBER(SEARCH("EDC", IM!$AC$2:$AC$2000))))&gt;0), "EDC", "")</f>
        <v>EDC</v>
      </c>
      <c r="R90" s="358" t="str" cm="1">
        <f t="array" ref="R90">IF(AND(SUMPRODUCT((IM!$F$2:$F$2000=A90)*(ISNUMBER(SEARCH("STAR", IM!$AC$2:$AC$2000))))&gt;0), "STAR", "")</f>
        <v>STAR</v>
      </c>
      <c r="S90" s="359" cm="1">
        <f t="array" ref="S90">IFERROR(INDEX(IM!$X$2:$X$650, MATCH(1, (IM!$F$2:$F$650=A90) * (ISNUMBER(SEARCH($D$1, IM!$AC$2:$AC$650))), 0)), "")</f>
        <v>45777.647222222222</v>
      </c>
      <c r="T90" s="355">
        <f>IF(AND(X90&lt;&gt;"", Y90&lt;&gt;""), 2, IF(OR(X90&lt;&gt;"", Y90&lt;&gt;""), 1, 0))</f>
        <v>2</v>
      </c>
      <c r="U90" s="355"/>
      <c r="V90" s="373">
        <f>IF(OR(R90="STAR", T90="", U90=""), T90,
"總數：" &amp; T90 &amp; CHAR(10) &amp;
"已維修：" &amp; U90 &amp; CHAR(10) &amp;
"未更換：" &amp; (T90 - U90))</f>
        <v>2</v>
      </c>
      <c r="W90" s="360" t="str">
        <f>IF(VLOOKUP(A90,'0919門市清單主檔'!B:E,4,FALSE)=0,"",VLOOKUP(A90,'0919門市清單主檔'!B:E,4,FALSE))</f>
        <v/>
      </c>
      <c r="X90" s="3" t="s">
        <v>4334</v>
      </c>
      <c r="Y90" s="5" t="s">
        <v>4335</v>
      </c>
      <c r="Z90" s="5" t="str">
        <f>IF(T90&gt;0,"STAR","")</f>
        <v>STAR</v>
      </c>
    </row>
    <row r="91" spans="1:26"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IF(I91&gt;0,(TEXT(I91,"yyyymmdd")&amp;$S$2&amp;A91&amp;$S$2&amp;B91&amp;$Q$2),"")</f>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69" t="str">
        <f>Q91&amp;IF(R91&lt;&gt;"",$P$2,"")&amp;R91</f>
        <v>EDC</v>
      </c>
      <c r="N91" s="339" t="str" cm="1">
        <f t="array" ref="N91">IF(AND(
    SUMPRODUCT(
        (IM!$F$2:$F$2000=A91) *
        ISNUMBER(SEARCH("HUB", IM!$AC$2:$AC$2000)) *
        (IM!$X$2:$X$2000&gt;=$A$1) *
        (IM!$X$2:$X$2000&lt;=$B$1)*(W91="HUB")
    ) &gt; 0
), "HUB", "")</f>
        <v/>
      </c>
      <c r="O91" s="371" t="str">
        <f>IF(I91="","未到店",
IF(AND(S91&gt;I91, R91="STAR", NOT(AND(G91&lt;&gt;"萊到店 WebPOS", Q91&lt;&gt;"EDC"))), "完工已補裝",
IF(AND(G91&lt;&gt;"萊到店 WebPOS", Q91&lt;&gt;"EDC"), "EDC異常",
IF(AND(W91="HUB", N91=""), "HUB異常",
IF(OR(AND(Z91="STAR", R91="STAR"), AND(Z91&lt;&gt;"STAR", R91="")), "已完工", "STAR異常")
))))</f>
        <v>STAR異常</v>
      </c>
      <c r="P91" s="238" t="str">
        <f>(TEXT(I91,"yyyymmdd"))&amp;$S$2&amp;A91&amp;$S$2&amp;B91&amp;$Q$2</f>
        <v>20250502-2403-北縣板龍店(定保)</v>
      </c>
      <c r="Q91" s="357" t="str" cm="1">
        <f t="array" ref="Q91">IF(AND(SUMPRODUCT((IM!$F$2:$F$2000=A91)*(ISNUMBER(SEARCH("EDC", IM!$AC$2:$AC$2000))))&gt;0), "EDC", "")</f>
        <v>EDC</v>
      </c>
      <c r="R91" s="358" t="str" cm="1">
        <f t="array" ref="R91">IF(AND(SUMPRODUCT((IM!$F$2:$F$2000=A91)*(ISNUMBER(SEARCH("STAR", IM!$AC$2:$AC$2000))))&gt;0), "STAR", "")</f>
        <v/>
      </c>
      <c r="S91" s="359" t="str" cm="1">
        <f t="array" ref="S91">IFERROR(INDEX(IM!$X$2:$X$650, MATCH(1, (IM!$F$2:$F$650=A91) * (ISNUMBER(SEARCH($D$1, IM!$AC$2:$AC$650))), 0)), "")</f>
        <v/>
      </c>
      <c r="T91" s="355">
        <f>IF(AND(X91&lt;&gt;"", Y91&lt;&gt;""), 2, IF(OR(X91&lt;&gt;"", Y91&lt;&gt;""), 1, 0))</f>
        <v>2</v>
      </c>
      <c r="U91" s="355"/>
      <c r="V91" s="373">
        <f>IF(OR(R91="STAR", T91="", U91=""), T91,
"總數：" &amp; T91 &amp; CHAR(10) &amp;
"已維修：" &amp; U91 &amp; CHAR(10) &amp;
"未更換：" &amp; (T91 - U91))</f>
        <v>2</v>
      </c>
      <c r="W91" s="360" t="str">
        <f>IF(VLOOKUP(A91,'0919門市清單主檔'!B:E,4,FALSE)=0,"",VLOOKUP(A91,'0919門市清單主檔'!B:E,4,FALSE))</f>
        <v/>
      </c>
      <c r="X91" s="3" t="s">
        <v>4362</v>
      </c>
      <c r="Y91" s="5" t="s">
        <v>4363</v>
      </c>
      <c r="Z91" s="5" t="str">
        <f>IF(T91&gt;0,"STAR","")</f>
        <v>STAR</v>
      </c>
    </row>
    <row r="92" spans="1:26"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IF(I92&gt;0,(TEXT(I92,"yyyymmdd")&amp;$S$2&amp;A92&amp;$S$2&amp;B92&amp;$Q$2),"")</f>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69" t="str">
        <f>Q92&amp;IF(R92&lt;&gt;"",$P$2,"")&amp;R92</f>
        <v>EDC</v>
      </c>
      <c r="N92" s="339" t="str" cm="1">
        <f t="array" ref="N92">IF(AND(
    SUMPRODUCT(
        (IM!$F$2:$F$2000=A92) *
        ISNUMBER(SEARCH("HUB", IM!$AC$2:$AC$2000)) *
        (IM!$X$2:$X$2000&gt;=$A$1) *
        (IM!$X$2:$X$2000&lt;=$B$1)*(W92="HUB")
    ) &gt; 0
), "HUB", "")</f>
        <v/>
      </c>
      <c r="O92" s="371" t="str">
        <f>IF(I92="","未到店",
IF(AND(S92&gt;I92, R92="STAR", NOT(AND(G92&lt;&gt;"萊到店 WebPOS", Q92&lt;&gt;"EDC"))), "完工已補裝",
IF(AND(G92&lt;&gt;"萊到店 WebPOS", Q92&lt;&gt;"EDC"), "EDC異常",
IF(AND(W92="HUB", N92=""), "HUB異常",
IF(OR(AND(Z92="STAR", R92="STAR"), AND(Z92&lt;&gt;"STAR", R92="")), "已完工", "STAR異常")
))))</f>
        <v>STAR異常</v>
      </c>
      <c r="P92" s="238" t="str">
        <f>(TEXT(I92,"yyyymmdd"))&amp;$S$2&amp;A92&amp;$S$2&amp;B92&amp;$Q$2</f>
        <v>20250502-3052-北縣莊玲店(定保)</v>
      </c>
      <c r="Q92" s="357" t="str" cm="1">
        <f t="array" ref="Q92">IF(AND(SUMPRODUCT((IM!$F$2:$F$2000=A92)*(ISNUMBER(SEARCH("EDC", IM!$AC$2:$AC$2000))))&gt;0), "EDC", "")</f>
        <v>EDC</v>
      </c>
      <c r="R92" s="358" t="str" cm="1">
        <f t="array" ref="R92">IF(AND(SUMPRODUCT((IM!$F$2:$F$2000=A92)*(ISNUMBER(SEARCH("STAR", IM!$AC$2:$AC$2000))))&gt;0), "STAR", "")</f>
        <v/>
      </c>
      <c r="S92" s="359" t="str" cm="1">
        <f t="array" ref="S92">IFERROR(INDEX(IM!$X$2:$X$650, MATCH(1, (IM!$F$2:$F$650=A92) * (ISNUMBER(SEARCH($D$1, IM!$AC$2:$AC$650))), 0)), "")</f>
        <v/>
      </c>
      <c r="T92" s="355">
        <f>IF(AND(X92&lt;&gt;"", Y92&lt;&gt;""), 2, IF(OR(X92&lt;&gt;"", Y92&lt;&gt;""), 1, 0))</f>
        <v>2</v>
      </c>
      <c r="U92" s="355"/>
      <c r="V92" s="373">
        <f>IF(OR(R92="STAR", T92="", U92=""), T92,
"總數：" &amp; T92 &amp; CHAR(10) &amp;
"已維修：" &amp; U92 &amp; CHAR(10) &amp;
"未更換：" &amp; (T92 - U92))</f>
        <v>2</v>
      </c>
      <c r="W92" s="360" t="str">
        <f>IF(VLOOKUP(A92,'0919門市清單主檔'!B:E,4,FALSE)=0,"",VLOOKUP(A92,'0919門市清單主檔'!B:E,4,FALSE))</f>
        <v/>
      </c>
      <c r="X92" s="3" t="s">
        <v>4155</v>
      </c>
      <c r="Y92" s="5" t="s">
        <v>4156</v>
      </c>
      <c r="Z92" s="5" t="str">
        <f>IF(T92&gt;0,"STAR","")</f>
        <v>STAR</v>
      </c>
    </row>
    <row r="93" spans="1:26"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IF(I93&gt;0,(TEXT(I93,"yyyymmdd")&amp;$S$2&amp;A93&amp;$S$2&amp;B93&amp;$Q$2),"")</f>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69" t="str">
        <f>Q93&amp;IF(R93&lt;&gt;"",$P$2,"")&amp;R93</f>
        <v>EDC</v>
      </c>
      <c r="N93" s="339" t="str" cm="1">
        <f t="array" ref="N93">IF(AND(
    SUMPRODUCT(
        (IM!$F$2:$F$2000=A93) *
        ISNUMBER(SEARCH("HUB", IM!$AC$2:$AC$2000)) *
        (IM!$X$2:$X$2000&gt;=$A$1) *
        (IM!$X$2:$X$2000&lt;=$B$1)*(W93="HUB")
    ) &gt; 0
), "HUB", "")</f>
        <v/>
      </c>
      <c r="O93" s="371" t="str">
        <f>IF(I93="","未到店",
IF(AND(S93&gt;I93, R93="STAR", NOT(AND(G93&lt;&gt;"萊到店 WebPOS", Q93&lt;&gt;"EDC"))), "完工已補裝",
IF(AND(G93&lt;&gt;"萊到店 WebPOS", Q93&lt;&gt;"EDC"), "EDC異常",
IF(AND(W93="HUB", N93=""), "HUB異常",
IF(OR(AND(Z93="STAR", R93="STAR"), AND(Z93&lt;&gt;"STAR", R93="")), "已完工", "STAR異常")
))))</f>
        <v>已完工</v>
      </c>
      <c r="P93" s="238" t="str">
        <f>(TEXT(I93,"yyyymmdd"))&amp;$S$2&amp;A93&amp;$S$2&amp;B93&amp;$Q$2</f>
        <v>20250502-D022-三重溪尾店(定保)</v>
      </c>
      <c r="Q93" s="357" t="str" cm="1">
        <f t="array" ref="Q93">IF(AND(SUMPRODUCT((IM!$F$2:$F$2000=A93)*(ISNUMBER(SEARCH("EDC", IM!$AC$2:$AC$2000))))&gt;0), "EDC", "")</f>
        <v>EDC</v>
      </c>
      <c r="R93" s="358" t="str" cm="1">
        <f t="array" ref="R93">IF(AND(SUMPRODUCT((IM!$F$2:$F$2000=A93)*(ISNUMBER(SEARCH("STAR", IM!$AC$2:$AC$2000))))&gt;0), "STAR", "")</f>
        <v/>
      </c>
      <c r="S93" s="359" t="str" cm="1">
        <f t="array" ref="S93">IFERROR(INDEX(IM!$X$2:$X$650, MATCH(1, (IM!$F$2:$F$650=A93) * (ISNUMBER(SEARCH($D$1, IM!$AC$2:$AC$650))), 0)), "")</f>
        <v/>
      </c>
      <c r="T93" s="355">
        <f>IF(AND(X93&lt;&gt;"", Y93&lt;&gt;""), 2, IF(OR(X93&lt;&gt;"", Y93&lt;&gt;""), 1, 0))</f>
        <v>0</v>
      </c>
      <c r="U93" s="355"/>
      <c r="V93" s="373">
        <f>IF(OR(R93="STAR", T93="", U93=""), T93,
"總數：" &amp; T93 &amp; CHAR(10) &amp;
"已維修：" &amp; U93 &amp; CHAR(10) &amp;
"未更換：" &amp; (T93 - U93))</f>
        <v>0</v>
      </c>
      <c r="W93" s="360" t="str">
        <f>IF(VLOOKUP(A93,'0919門市清單主檔'!B:E,4,FALSE)=0,"",VLOOKUP(A93,'0919門市清單主檔'!B:E,4,FALSE))</f>
        <v/>
      </c>
      <c r="Y93" s="5"/>
      <c r="Z93" s="5" t="str">
        <f>IF(T93&gt;0,"STAR","")</f>
        <v/>
      </c>
    </row>
    <row r="94" spans="1:26"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IF(I94&gt;0,(TEXT(I94,"yyyymmdd")&amp;$S$2&amp;A94&amp;$S$2&amp;B94&amp;$Q$2),"")</f>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69" t="str">
        <f>Q94&amp;IF(R94&lt;&gt;"",$P$2,"")&amp;R94</f>
        <v>EDC</v>
      </c>
      <c r="N94" s="339" t="str" cm="1">
        <f t="array" ref="N94">IF(AND(
    SUMPRODUCT(
        (IM!$F$2:$F$2000=A94) *
        ISNUMBER(SEARCH("HUB", IM!$AC$2:$AC$2000)) *
        (IM!$X$2:$X$2000&gt;=$A$1) *
        (IM!$X$2:$X$2000&lt;=$B$1)*(W94="HUB")
    ) &gt; 0
), "HUB", "")</f>
        <v/>
      </c>
      <c r="O94" s="371" t="str">
        <f>IF(I94="","未到店",
IF(AND(S94&gt;I94, R94="STAR", NOT(AND(G94&lt;&gt;"萊到店 WebPOS", Q94&lt;&gt;"EDC"))), "完工已補裝",
IF(AND(G94&lt;&gt;"萊到店 WebPOS", Q94&lt;&gt;"EDC"), "EDC異常",
IF(AND(W94="HUB", N94=""), "HUB異常",
IF(OR(AND(Z94="STAR", R94="STAR"), AND(Z94&lt;&gt;"STAR", R94="")), "已完工", "STAR異常")
))))</f>
        <v>STAR異常</v>
      </c>
      <c r="P94" s="238" t="str">
        <f>(TEXT(I94,"yyyymmdd"))&amp;$S$2&amp;A94&amp;$S$2&amp;B94&amp;$Q$2</f>
        <v>20250502-4191-三重溪美店(定保)</v>
      </c>
      <c r="Q94" s="357" t="str" cm="1">
        <f t="array" ref="Q94">IF(AND(SUMPRODUCT((IM!$F$2:$F$2000=A94)*(ISNUMBER(SEARCH("EDC", IM!$AC$2:$AC$2000))))&gt;0), "EDC", "")</f>
        <v>EDC</v>
      </c>
      <c r="R94" s="358" t="str" cm="1">
        <f t="array" ref="R94">IF(AND(SUMPRODUCT((IM!$F$2:$F$2000=A94)*(ISNUMBER(SEARCH("STAR", IM!$AC$2:$AC$2000))))&gt;0), "STAR", "")</f>
        <v/>
      </c>
      <c r="S94" s="359" t="str" cm="1">
        <f t="array" ref="S94">IFERROR(INDEX(IM!$X$2:$X$650, MATCH(1, (IM!$F$2:$F$650=A94) * (ISNUMBER(SEARCH($D$1, IM!$AC$2:$AC$650))), 0)), "")</f>
        <v/>
      </c>
      <c r="T94" s="355">
        <f>IF(AND(X94&lt;&gt;"", Y94&lt;&gt;""), 2, IF(OR(X94&lt;&gt;"", Y94&lt;&gt;""), 1, 0))</f>
        <v>2</v>
      </c>
      <c r="U94" s="355"/>
      <c r="V94" s="373">
        <f>IF(OR(R94="STAR", T94="", U94=""), T94,
"總數：" &amp; T94 &amp; CHAR(10) &amp;
"已維修：" &amp; U94 &amp; CHAR(10) &amp;
"未更換：" &amp; (T94 - U94))</f>
        <v>2</v>
      </c>
      <c r="W94" s="360" t="str">
        <f>IF(VLOOKUP(A94,'0919門市清單主檔'!B:E,4,FALSE)=0,"",VLOOKUP(A94,'0919門市清單主檔'!B:E,4,FALSE))</f>
        <v/>
      </c>
      <c r="X94" s="3" t="s">
        <v>4143</v>
      </c>
      <c r="Y94" s="5" t="s">
        <v>4144</v>
      </c>
      <c r="Z94" s="5" t="str">
        <f>IF(T94&gt;0,"STAR","")</f>
        <v>STAR</v>
      </c>
    </row>
    <row r="95" spans="1:26"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IF(I95&gt;0,(TEXT(I95,"yyyymmdd")&amp;$S$2&amp;A95&amp;$S$2&amp;B95&amp;$Q$2),"")</f>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69" t="str">
        <f>Q95&amp;IF(R95&lt;&gt;"",$P$2,"")&amp;R95</f>
        <v>EDC</v>
      </c>
      <c r="N95" s="339" t="str" cm="1">
        <f t="array" ref="N95">IF(AND(
    SUMPRODUCT(
        (IM!$F$2:$F$2000=A95) *
        ISNUMBER(SEARCH("HUB", IM!$AC$2:$AC$2000)) *
        (IM!$X$2:$X$2000&gt;=$A$1) *
        (IM!$X$2:$X$2000&lt;=$B$1)*(W95="HUB")
    ) &gt; 0
), "HUB", "")</f>
        <v/>
      </c>
      <c r="O95" s="371" t="str">
        <f>IF(I95="","未到店",
IF(AND(S95&gt;I95, R95="STAR", NOT(AND(G95&lt;&gt;"萊到店 WebPOS", Q95&lt;&gt;"EDC"))), "完工已補裝",
IF(AND(G95&lt;&gt;"萊到店 WebPOS", Q95&lt;&gt;"EDC"), "EDC異常",
IF(AND(W95="HUB", N95=""), "HUB異常",
IF(OR(AND(Z95="STAR", R95="STAR"), AND(Z95&lt;&gt;"STAR", R95="")), "已完工", "STAR異常")
))))</f>
        <v>已完工</v>
      </c>
      <c r="P95" s="238" t="str">
        <f>(TEXT(I95,"yyyymmdd"))&amp;$S$2&amp;A95&amp;$S$2&amp;B95&amp;$Q$2</f>
        <v>20250502-4586-三重三文店(定保)</v>
      </c>
      <c r="Q95" s="357" t="str" cm="1">
        <f t="array" ref="Q95">IF(AND(SUMPRODUCT((IM!$F$2:$F$2000=A95)*(ISNUMBER(SEARCH("EDC", IM!$AC$2:$AC$2000))))&gt;0), "EDC", "")</f>
        <v>EDC</v>
      </c>
      <c r="R95" s="358" t="str" cm="1">
        <f t="array" ref="R95">IF(AND(SUMPRODUCT((IM!$F$2:$F$2000=A95)*(ISNUMBER(SEARCH("STAR", IM!$AC$2:$AC$2000))))&gt;0), "STAR", "")</f>
        <v/>
      </c>
      <c r="S95" s="359" t="str" cm="1">
        <f t="array" ref="S95">IFERROR(INDEX(IM!$X$2:$X$650, MATCH(1, (IM!$F$2:$F$650=A95) * (ISNUMBER(SEARCH($D$1, IM!$AC$2:$AC$650))), 0)), "")</f>
        <v/>
      </c>
      <c r="T95" s="355">
        <f>IF(AND(X95&lt;&gt;"", Y95&lt;&gt;""), 2, IF(OR(X95&lt;&gt;"", Y95&lt;&gt;""), 1, 0))</f>
        <v>0</v>
      </c>
      <c r="U95" s="355"/>
      <c r="V95" s="373">
        <f>IF(OR(R95="STAR", T95="", U95=""), T95,
"總數：" &amp; T95 &amp; CHAR(10) &amp;
"已維修：" &amp; U95 &amp; CHAR(10) &amp;
"未更換：" &amp; (T95 - U95))</f>
        <v>0</v>
      </c>
      <c r="W95" s="360" t="str">
        <f>IF(VLOOKUP(A95,'0919門市清單主檔'!B:E,4,FALSE)=0,"",VLOOKUP(A95,'0919門市清單主檔'!B:E,4,FALSE))</f>
        <v/>
      </c>
      <c r="Y95" s="5"/>
      <c r="Z95" s="5" t="str">
        <f>IF(T95&gt;0,"STAR","")</f>
        <v/>
      </c>
    </row>
    <row r="96" spans="1:26"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IF(I96&gt;0,(TEXT(I96,"yyyymmdd")&amp;$S$2&amp;A96&amp;$S$2&amp;B96&amp;$Q$2),"")</f>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69" t="str">
        <f>Q96&amp;IF(R96&lt;&gt;"",$P$2,"")&amp;R96</f>
        <v>EDC</v>
      </c>
      <c r="N96" s="339" t="str" cm="1">
        <f t="array" ref="N96">IF(AND(
    SUMPRODUCT(
        (IM!$F$2:$F$2000=A96) *
        ISNUMBER(SEARCH("HUB", IM!$AC$2:$AC$2000)) *
        (IM!$X$2:$X$2000&gt;=$A$1) *
        (IM!$X$2:$X$2000&lt;=$B$1)*(W96="HUB")
    ) &gt; 0
), "HUB", "")</f>
        <v/>
      </c>
      <c r="O96" s="371" t="str">
        <f>IF(I96="","未到店",
IF(AND(S96&gt;I96, R96="STAR", NOT(AND(G96&lt;&gt;"萊到店 WebPOS", Q96&lt;&gt;"EDC"))), "完工已補裝",
IF(AND(G96&lt;&gt;"萊到店 WebPOS", Q96&lt;&gt;"EDC"), "EDC異常",
IF(AND(W96="HUB", N96=""), "HUB異常",
IF(OR(AND(Z96="STAR", R96="STAR"), AND(Z96&lt;&gt;"STAR", R96="")), "已完工", "STAR異常")
))))</f>
        <v>STAR異常</v>
      </c>
      <c r="P96" s="238" t="str">
        <f>(TEXT(I96,"yyyymmdd"))&amp;$S$2&amp;A96&amp;$S$2&amp;B96&amp;$Q$2</f>
        <v>20250505-2349-三重永福店(定保)</v>
      </c>
      <c r="Q96" s="357" t="str" cm="1">
        <f t="array" ref="Q96">IF(AND(SUMPRODUCT((IM!$F$2:$F$2000=A96)*(ISNUMBER(SEARCH("EDC", IM!$AC$2:$AC$2000))))&gt;0), "EDC", "")</f>
        <v>EDC</v>
      </c>
      <c r="R96" s="358" t="str" cm="1">
        <f t="array" ref="R96">IF(AND(SUMPRODUCT((IM!$F$2:$F$2000=A96)*(ISNUMBER(SEARCH("STAR", IM!$AC$2:$AC$2000))))&gt;0), "STAR", "")</f>
        <v/>
      </c>
      <c r="S96" s="359" t="str" cm="1">
        <f t="array" ref="S96">IFERROR(INDEX(IM!$X$2:$X$650, MATCH(1, (IM!$F$2:$F$650=A96) * (ISNUMBER(SEARCH($D$1, IM!$AC$2:$AC$650))), 0)), "")</f>
        <v/>
      </c>
      <c r="T96" s="355">
        <f>IF(AND(X96&lt;&gt;"", Y96&lt;&gt;""), 2, IF(OR(X96&lt;&gt;"", Y96&lt;&gt;""), 1, 0))</f>
        <v>2</v>
      </c>
      <c r="U96" s="355"/>
      <c r="V96" s="373">
        <f>IF(OR(R96="STAR", T96="", U96=""), T96,
"總數：" &amp; T96 &amp; CHAR(10) &amp;
"已維修：" &amp; U96 &amp; CHAR(10) &amp;
"未更換：" &amp; (T96 - U96))</f>
        <v>2</v>
      </c>
      <c r="W96" s="360" t="str">
        <f>IF(VLOOKUP(A96,'0919門市清單主檔'!B:E,4,FALSE)=0,"",VLOOKUP(A96,'0919門市清單主檔'!B:E,4,FALSE))</f>
        <v/>
      </c>
      <c r="X96" s="3" t="s">
        <v>4295</v>
      </c>
      <c r="Y96" s="5" t="s">
        <v>4296</v>
      </c>
      <c r="Z96" s="5" t="str">
        <f>IF(T96&gt;0,"STAR","")</f>
        <v>STAR</v>
      </c>
    </row>
    <row r="97" spans="1:26"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IF(I97&gt;0,(TEXT(I97,"yyyymmdd")&amp;$S$2&amp;A97&amp;$S$2&amp;B97&amp;$Q$2),"")</f>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69" t="str">
        <f>Q97&amp;IF(R97&lt;&gt;"",$P$2,"")&amp;R97</f>
        <v>EDC+STAR</v>
      </c>
      <c r="N97" s="339" t="str" cm="1">
        <f t="array" ref="N97">IF(AND(
    SUMPRODUCT(
        (IM!$F$2:$F$2000=A97) *
        ISNUMBER(SEARCH("HUB", IM!$AC$2:$AC$2000)) *
        (IM!$X$2:$X$2000&gt;=$A$1) *
        (IM!$X$2:$X$2000&lt;=$B$1)*(W97="HUB")
    ) &gt; 0
), "HUB", "")</f>
        <v/>
      </c>
      <c r="O97" s="371" t="str">
        <f>IF(I97="","未到店",
IF(AND(S97&gt;I97, R97="STAR", NOT(AND(G97&lt;&gt;"萊到店 WebPOS", Q97&lt;&gt;"EDC"))), "完工已補裝",
IF(AND(G97&lt;&gt;"萊到店 WebPOS", Q97&lt;&gt;"EDC"), "EDC異常",
IF(AND(W97="HUB", N97=""), "HUB異常",
IF(OR(AND(Z97="STAR", R97="STAR"), AND(Z97&lt;&gt;"STAR", R97="")), "已完工", "STAR異常")
))))</f>
        <v>完工已補裝</v>
      </c>
      <c r="P97" s="238" t="str">
        <f>(TEXT(I97,"yyyymmdd"))&amp;$S$2&amp;A97&amp;$S$2&amp;B97&amp;$Q$2</f>
        <v>20250506-4856-新莊小胖店(定保)</v>
      </c>
      <c r="Q97" s="357" t="str" cm="1">
        <f t="array" ref="Q97">IF(AND(SUMPRODUCT((IM!$F$2:$F$2000=A97)*(ISNUMBER(SEARCH("EDC", IM!$AC$2:$AC$2000))))&gt;0), "EDC", "")</f>
        <v>EDC</v>
      </c>
      <c r="R97" s="358" t="str" cm="1">
        <f t="array" ref="R97">IF(AND(SUMPRODUCT((IM!$F$2:$F$2000=A97)*(ISNUMBER(SEARCH("STAR", IM!$AC$2:$AC$2000))))&gt;0), "STAR", "")</f>
        <v>STAR</v>
      </c>
      <c r="S97" s="359" cm="1">
        <f t="array" ref="S97">IFERROR(INDEX(IM!$X$2:$X$650, MATCH(1, (IM!$F$2:$F$650=A97) * (ISNUMBER(SEARCH($D$1, IM!$AC$2:$AC$650))), 0)), "")</f>
        <v>45796.555555555555</v>
      </c>
      <c r="T97" s="355">
        <f>IF(AND(X97&lt;&gt;"", Y97&lt;&gt;""), 2, IF(OR(X97&lt;&gt;"", Y97&lt;&gt;""), 1, 0))</f>
        <v>1</v>
      </c>
      <c r="U97" s="355">
        <v>1</v>
      </c>
      <c r="V97" s="373">
        <f>IF(OR(R97="STAR", T97="", U97=""), T97,
"總數：" &amp; T97 &amp; CHAR(10) &amp;
"已維修：" &amp; U97 &amp; CHAR(10) &amp;
"未更換：" &amp; (T97 - U97))</f>
        <v>1</v>
      </c>
      <c r="W97" s="360" t="str">
        <f>IF(VLOOKUP(A97,'0919門市清單主檔'!B:E,4,FALSE)=0,"",VLOOKUP(A97,'0919門市清單主檔'!B:E,4,FALSE))</f>
        <v/>
      </c>
      <c r="Y97" s="5" t="s">
        <v>4168</v>
      </c>
      <c r="Z97" s="5" t="str">
        <f>IF(T97&gt;0,"STAR","")</f>
        <v>STAR</v>
      </c>
    </row>
    <row r="98" spans="1:26"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IF(I98&gt;0,(TEXT(I98,"yyyymmdd")&amp;$S$2&amp;A98&amp;$S$2&amp;B98&amp;$Q$2),"")</f>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69" t="str">
        <f>Q98&amp;IF(R98&lt;&gt;"",$P$2,"")&amp;R98</f>
        <v>EDC</v>
      </c>
      <c r="N98" s="339" t="str" cm="1">
        <f t="array" ref="N98">IF(AND(
    SUMPRODUCT(
        (IM!$F$2:$F$2000=A98) *
        ISNUMBER(SEARCH("HUB", IM!$AC$2:$AC$2000)) *
        (IM!$X$2:$X$2000&gt;=$A$1) *
        (IM!$X$2:$X$2000&lt;=$B$1)*(W98="HUB")
    ) &gt; 0
), "HUB", "")</f>
        <v/>
      </c>
      <c r="O98" s="371" t="str">
        <f>IF(I98="","未到店",
IF(AND(S98&gt;I98, R98="STAR", NOT(AND(G98&lt;&gt;"萊到店 WebPOS", Q98&lt;&gt;"EDC"))), "完工已補裝",
IF(AND(G98&lt;&gt;"萊到店 WebPOS", Q98&lt;&gt;"EDC"), "EDC異常",
IF(AND(W98="HUB", N98=""), "HUB異常",
IF(OR(AND(Z98="STAR", R98="STAR"), AND(Z98&lt;&gt;"STAR", R98="")), "已完工", "STAR異常")
))))</f>
        <v>STAR異常</v>
      </c>
      <c r="P98" s="238" t="str">
        <f>(TEXT(I98,"yyyymmdd"))&amp;$S$2&amp;A98&amp;$S$2&amp;B98&amp;$Q$2</f>
        <v>20250506-3921-五股福鑫店(定保)</v>
      </c>
      <c r="Q98" s="357" t="str" cm="1">
        <f t="array" ref="Q98">IF(AND(SUMPRODUCT((IM!$F$2:$F$2000=A98)*(ISNUMBER(SEARCH("EDC", IM!$AC$2:$AC$2000))))&gt;0), "EDC", "")</f>
        <v>EDC</v>
      </c>
      <c r="R98" s="358" t="str" cm="1">
        <f t="array" ref="R98">IF(AND(SUMPRODUCT((IM!$F$2:$F$2000=A98)*(ISNUMBER(SEARCH("STAR", IM!$AC$2:$AC$2000))))&gt;0), "STAR", "")</f>
        <v/>
      </c>
      <c r="S98" s="359" t="str" cm="1">
        <f t="array" ref="S98">IFERROR(INDEX(IM!$X$2:$X$650, MATCH(1, (IM!$F$2:$F$650=A98) * (ISNUMBER(SEARCH($D$1, IM!$AC$2:$AC$650))), 0)), "")</f>
        <v/>
      </c>
      <c r="T98" s="355">
        <f>IF(AND(X98&lt;&gt;"", Y98&lt;&gt;""), 2, IF(OR(X98&lt;&gt;"", Y98&lt;&gt;""), 1, 0))</f>
        <v>2</v>
      </c>
      <c r="U98" s="355"/>
      <c r="V98" s="373">
        <f>IF(OR(R98="STAR", T98="", U98=""), T98,
"總數：" &amp; T98 &amp; CHAR(10) &amp;
"已維修：" &amp; U98 &amp; CHAR(10) &amp;
"未更換：" &amp; (T98 - U98))</f>
        <v>2</v>
      </c>
      <c r="W98" s="360" t="str">
        <f>IF(VLOOKUP(A98,'0919門市清單主檔'!B:E,4,FALSE)=0,"",VLOOKUP(A98,'0919門市清單主檔'!B:E,4,FALSE))</f>
        <v/>
      </c>
      <c r="X98" s="3" t="s">
        <v>4253</v>
      </c>
      <c r="Y98" s="5" t="s">
        <v>4254</v>
      </c>
      <c r="Z98" s="5" t="str">
        <f>IF(T98&gt;0,"STAR","")</f>
        <v>STAR</v>
      </c>
    </row>
    <row r="99" spans="1:26"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IF(I99&gt;0,(TEXT(I99,"yyyymmdd")&amp;$S$2&amp;A99&amp;$S$2&amp;B99&amp;$Q$2),"")</f>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69" t="str">
        <f>Q99&amp;IF(R99&lt;&gt;"",$P$2,"")&amp;R99</f>
        <v>EDC</v>
      </c>
      <c r="N99" s="339" t="str" cm="1">
        <f t="array" ref="N99">IF(AND(
    SUMPRODUCT(
        (IM!$F$2:$F$2000=A99) *
        ISNUMBER(SEARCH("HUB", IM!$AC$2:$AC$2000)) *
        (IM!$X$2:$X$2000&gt;=$A$1) *
        (IM!$X$2:$X$2000&lt;=$B$1)*(W99="HUB")
    ) &gt; 0
), "HUB", "")</f>
        <v/>
      </c>
      <c r="O99" s="371" t="str">
        <f>IF(I99="","未到店",
IF(AND(S99&gt;I99, R99="STAR", NOT(AND(G99&lt;&gt;"萊到店 WebPOS", Q99&lt;&gt;"EDC"))), "完工已補裝",
IF(AND(G99&lt;&gt;"萊到店 WebPOS", Q99&lt;&gt;"EDC"), "EDC異常",
IF(AND(W99="HUB", N99=""), "HUB異常",
IF(OR(AND(Z99="STAR", R99="STAR"), AND(Z99&lt;&gt;"STAR", R99="")), "已完工", "STAR異常")
))))</f>
        <v>STAR異常</v>
      </c>
      <c r="P99" s="238" t="str">
        <f>(TEXT(I99,"yyyymmdd"))&amp;$S$2&amp;A99&amp;$S$2&amp;B99&amp;$Q$2</f>
        <v>20250506-3243-北縣醒吾店(定保)</v>
      </c>
      <c r="Q99" s="357" t="str" cm="1">
        <f t="array" ref="Q99">IF(AND(SUMPRODUCT((IM!$F$2:$F$2000=A99)*(ISNUMBER(SEARCH("EDC", IM!$AC$2:$AC$2000))))&gt;0), "EDC", "")</f>
        <v>EDC</v>
      </c>
      <c r="R99" s="358" t="str" cm="1">
        <f t="array" ref="R99">IF(AND(SUMPRODUCT((IM!$F$2:$F$2000=A99)*(ISNUMBER(SEARCH("STAR", IM!$AC$2:$AC$2000))))&gt;0), "STAR", "")</f>
        <v/>
      </c>
      <c r="S99" s="359" t="str" cm="1">
        <f t="array" ref="S99">IFERROR(INDEX(IM!$X$2:$X$650, MATCH(1, (IM!$F$2:$F$650=A99) * (ISNUMBER(SEARCH($D$1, IM!$AC$2:$AC$650))), 0)), "")</f>
        <v/>
      </c>
      <c r="T99" s="355">
        <f>IF(AND(X99&lt;&gt;"", Y99&lt;&gt;""), 2, IF(OR(X99&lt;&gt;"", Y99&lt;&gt;""), 1, 0))</f>
        <v>2</v>
      </c>
      <c r="U99" s="355"/>
      <c r="V99" s="373">
        <f>IF(OR(R99="STAR", T99="", U99=""), T99,
"總數：" &amp; T99 &amp; CHAR(10) &amp;
"已維修：" &amp; U99 &amp; CHAR(10) &amp;
"未更換：" &amp; (T99 - U99))</f>
        <v>2</v>
      </c>
      <c r="W99" s="360" t="str">
        <f>IF(VLOOKUP(A99,'0919門市清單主檔'!B:E,4,FALSE)=0,"",VLOOKUP(A99,'0919門市清單主檔'!B:E,4,FALSE))</f>
        <v/>
      </c>
      <c r="X99" s="3" t="s">
        <v>4402</v>
      </c>
      <c r="Y99" s="5" t="s">
        <v>4403</v>
      </c>
      <c r="Z99" s="5" t="str">
        <f>IF(T99&gt;0,"STAR","")</f>
        <v>STAR</v>
      </c>
    </row>
    <row r="100" spans="1:26"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IF(I100&gt;0,(TEXT(I100,"yyyymmdd")&amp;$S$2&amp;A100&amp;$S$2&amp;B100&amp;$Q$2),"")</f>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69" t="str">
        <f>Q100&amp;IF(R100&lt;&gt;"",$P$2,"")&amp;R100</f>
        <v>EDC</v>
      </c>
      <c r="N100" s="339" t="str" cm="1">
        <f t="array" ref="N100">IF(AND(
    SUMPRODUCT(
        (IM!$F$2:$F$2000=A100) *
        ISNUMBER(SEARCH("HUB", IM!$AC$2:$AC$2000)) *
        (IM!$X$2:$X$2000&gt;=$A$1) *
        (IM!$X$2:$X$2000&lt;=$B$1)*(W100="HUB")
    ) &gt; 0
), "HUB", "")</f>
        <v/>
      </c>
      <c r="O100" s="371" t="str">
        <f>IF(I100="","未到店",
IF(AND(S100&gt;I100, R100="STAR", NOT(AND(G100&lt;&gt;"萊到店 WebPOS", Q100&lt;&gt;"EDC"))), "完工已補裝",
IF(AND(G100&lt;&gt;"萊到店 WebPOS", Q100&lt;&gt;"EDC"), "EDC異常",
IF(AND(W100="HUB", N100=""), "HUB異常",
IF(OR(AND(Z100="STAR", R100="STAR"), AND(Z100&lt;&gt;"STAR", R100="")), "已完工", "STAR異常")
))))</f>
        <v>STAR異常</v>
      </c>
      <c r="P100" s="238" t="str">
        <f>(TEXT(I100,"yyyymmdd"))&amp;$S$2&amp;A100&amp;$S$2&amp;B100&amp;$Q$2</f>
        <v>20250506-D028-三重正義北店(定保)</v>
      </c>
      <c r="Q100" s="357" t="str" cm="1">
        <f t="array" ref="Q100">IF(AND(SUMPRODUCT((IM!$F$2:$F$2000=A100)*(ISNUMBER(SEARCH("EDC", IM!$AC$2:$AC$2000))))&gt;0), "EDC", "")</f>
        <v>EDC</v>
      </c>
      <c r="R100" s="358" t="str" cm="1">
        <f t="array" ref="R100">IF(AND(SUMPRODUCT((IM!$F$2:$F$2000=A100)*(ISNUMBER(SEARCH("STAR", IM!$AC$2:$AC$2000))))&gt;0), "STAR", "")</f>
        <v/>
      </c>
      <c r="S100" s="359" t="str" cm="1">
        <f t="array" ref="S100">IFERROR(INDEX(IM!$X$2:$X$650, MATCH(1, (IM!$F$2:$F$650=A100) * (ISNUMBER(SEARCH($D$1, IM!$AC$2:$AC$650))), 0)), "")</f>
        <v/>
      </c>
      <c r="T100" s="355">
        <f>IF(AND(X100&lt;&gt;"", Y100&lt;&gt;""), 2, IF(OR(X100&lt;&gt;"", Y100&lt;&gt;""), 1, 0))</f>
        <v>1</v>
      </c>
      <c r="U100" s="355"/>
      <c r="V100" s="373">
        <f>IF(OR(R100="STAR", T100="", U100=""), T100,
"總數：" &amp; T100 &amp; CHAR(10) &amp;
"已維修：" &amp; U100 &amp; CHAR(10) &amp;
"未更換：" &amp; (T100 - U100))</f>
        <v>1</v>
      </c>
      <c r="W100" s="360" t="str">
        <f>IF(VLOOKUP(A100,'0919門市清單主檔'!B:E,4,FALSE)=0,"",VLOOKUP(A100,'0919門市清單主檔'!B:E,4,FALSE))</f>
        <v/>
      </c>
      <c r="X100" s="3" t="s">
        <v>4283</v>
      </c>
      <c r="Y100" s="5"/>
      <c r="Z100" s="5" t="str">
        <f>IF(T100&gt;0,"STAR","")</f>
        <v>STAR</v>
      </c>
    </row>
    <row r="101" spans="1:26"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IF(I101&gt;0,(TEXT(I101,"yyyymmdd")&amp;$S$2&amp;A101&amp;$S$2&amp;B101&amp;$Q$2),"")</f>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69" t="str">
        <f>Q101&amp;IF(R101&lt;&gt;"",$P$2,"")&amp;R101</f>
        <v>EDC</v>
      </c>
      <c r="N101" s="339" t="str" cm="1">
        <f t="array" ref="N101">IF(AND(
    SUMPRODUCT(
        (IM!$F$2:$F$2000=A101) *
        ISNUMBER(SEARCH("HUB", IM!$AC$2:$AC$2000)) *
        (IM!$X$2:$X$2000&gt;=$A$1) *
        (IM!$X$2:$X$2000&lt;=$B$1)*(W101="HUB")
    ) &gt; 0
), "HUB", "")</f>
        <v/>
      </c>
      <c r="O101" s="371" t="str">
        <f>IF(I101="","未到店",
IF(AND(S101&gt;I101, R101="STAR", NOT(AND(G101&lt;&gt;"萊到店 WebPOS", Q101&lt;&gt;"EDC"))), "完工已補裝",
IF(AND(G101&lt;&gt;"萊到店 WebPOS", Q101&lt;&gt;"EDC"), "EDC異常",
IF(AND(W101="HUB", N101=""), "HUB異常",
IF(OR(AND(Z101="STAR", R101="STAR"), AND(Z101&lt;&gt;"STAR", R101="")), "已完工", "STAR異常")
))))</f>
        <v>STAR異常</v>
      </c>
      <c r="P101" s="238" t="str">
        <f>(TEXT(I101,"yyyymmdd"))&amp;$S$2&amp;A101&amp;$S$2&amp;B101&amp;$Q$2</f>
        <v>20250506-4715-林口捷韻店(定保)</v>
      </c>
      <c r="Q101" s="357" t="str" cm="1">
        <f t="array" ref="Q101">IF(AND(SUMPRODUCT((IM!$F$2:$F$2000=A101)*(ISNUMBER(SEARCH("EDC", IM!$AC$2:$AC$2000))))&gt;0), "EDC", "")</f>
        <v>EDC</v>
      </c>
      <c r="R101" s="358" t="str" cm="1">
        <f t="array" ref="R101">IF(AND(SUMPRODUCT((IM!$F$2:$F$2000=A101)*(ISNUMBER(SEARCH("STAR", IM!$AC$2:$AC$2000))))&gt;0), "STAR", "")</f>
        <v/>
      </c>
      <c r="S101" s="359" t="str" cm="1">
        <f t="array" ref="S101">IFERROR(INDEX(IM!$X$2:$X$650, MATCH(1, (IM!$F$2:$F$650=A101) * (ISNUMBER(SEARCH($D$1, IM!$AC$2:$AC$650))), 0)), "")</f>
        <v/>
      </c>
      <c r="T101" s="355">
        <f>IF(AND(X101&lt;&gt;"", Y101&lt;&gt;""), 2, IF(OR(X101&lt;&gt;"", Y101&lt;&gt;""), 1, 0))</f>
        <v>2</v>
      </c>
      <c r="U101" s="355"/>
      <c r="V101" s="373">
        <f>IF(OR(R101="STAR", T101="", U101=""), T101,
"總數：" &amp; T101 &amp; CHAR(10) &amp;
"已維修：" &amp; U101 &amp; CHAR(10) &amp;
"未更換：" &amp; (T101 - U101))</f>
        <v>2</v>
      </c>
      <c r="W101" s="360" t="str">
        <f>IF(VLOOKUP(A101,'0919門市清單主檔'!B:E,4,FALSE)=0,"",VLOOKUP(A101,'0919門市清單主檔'!B:E,4,FALSE))</f>
        <v/>
      </c>
      <c r="X101" s="3" t="s">
        <v>4396</v>
      </c>
      <c r="Y101" s="5" t="s">
        <v>4397</v>
      </c>
      <c r="Z101" s="5" t="str">
        <f>IF(T101&gt;0,"STAR","")</f>
        <v>STAR</v>
      </c>
    </row>
    <row r="102" spans="1:26"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IF(I102&gt;0,(TEXT(I102,"yyyymmdd")&amp;$S$2&amp;A102&amp;$S$2&amp;B102&amp;$Q$2),"")</f>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69" t="str">
        <f>Q102&amp;IF(R102&lt;&gt;"",$P$2,"")&amp;R102</f>
        <v>EDC</v>
      </c>
      <c r="N102" s="339" t="str" cm="1">
        <f t="array" ref="N102">IF(AND(
    SUMPRODUCT(
        (IM!$F$2:$F$2000=A102) *
        ISNUMBER(SEARCH("HUB", IM!$AC$2:$AC$2000)) *
        (IM!$X$2:$X$2000&gt;=$A$1) *
        (IM!$X$2:$X$2000&lt;=$B$1)*(W102="HUB")
    ) &gt; 0
), "HUB", "")</f>
        <v/>
      </c>
      <c r="O102" s="371" t="str">
        <f>IF(I102="","未到店",
IF(AND(S102&gt;I102, R102="STAR", NOT(AND(G102&lt;&gt;"萊到店 WebPOS", Q102&lt;&gt;"EDC"))), "完工已補裝",
IF(AND(G102&lt;&gt;"萊到店 WebPOS", Q102&lt;&gt;"EDC"), "EDC異常",
IF(AND(W102="HUB", N102=""), "HUB異常",
IF(OR(AND(Z102="STAR", R102="STAR"), AND(Z102&lt;&gt;"STAR", R102="")), "已完工", "STAR異常")
))))</f>
        <v>已完工</v>
      </c>
      <c r="P102" s="238" t="str">
        <f>(TEXT(I102,"yyyymmdd"))&amp;$S$2&amp;A102&amp;$S$2&amp;B102&amp;$Q$2</f>
        <v>20250506-4652-三重天富店(定保)</v>
      </c>
      <c r="Q102" s="357" t="str" cm="1">
        <f t="array" ref="Q102">IF(AND(SUMPRODUCT((IM!$F$2:$F$2000=A102)*(ISNUMBER(SEARCH("EDC", IM!$AC$2:$AC$2000))))&gt;0), "EDC", "")</f>
        <v>EDC</v>
      </c>
      <c r="R102" s="358" t="str" cm="1">
        <f t="array" ref="R102">IF(AND(SUMPRODUCT((IM!$F$2:$F$2000=A102)*(ISNUMBER(SEARCH("STAR", IM!$AC$2:$AC$2000))))&gt;0), "STAR", "")</f>
        <v/>
      </c>
      <c r="S102" s="359" t="str" cm="1">
        <f t="array" ref="S102">IFERROR(INDEX(IM!$X$2:$X$650, MATCH(1, (IM!$F$2:$F$650=A102) * (ISNUMBER(SEARCH($D$1, IM!$AC$2:$AC$650))), 0)), "")</f>
        <v/>
      </c>
      <c r="T102" s="355">
        <f>IF(AND(X102&lt;&gt;"", Y102&lt;&gt;""), 2, IF(OR(X102&lt;&gt;"", Y102&lt;&gt;""), 1, 0))</f>
        <v>0</v>
      </c>
      <c r="U102" s="355"/>
      <c r="V102" s="373">
        <f>IF(OR(R102="STAR", T102="", U102=""), T102,
"總數：" &amp; T102 &amp; CHAR(10) &amp;
"已維修：" &amp; U102 &amp; CHAR(10) &amp;
"未更換：" &amp; (T102 - U102))</f>
        <v>0</v>
      </c>
      <c r="W102" s="360" t="str">
        <f>IF(VLOOKUP(A102,'0919門市清單主檔'!B:E,4,FALSE)=0,"",VLOOKUP(A102,'0919門市清單主檔'!B:E,4,FALSE))</f>
        <v/>
      </c>
      <c r="Y102" s="5"/>
      <c r="Z102" s="5" t="str">
        <f>IF(T102&gt;0,"STAR","")</f>
        <v/>
      </c>
    </row>
    <row r="103" spans="1:26"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IF(I103&gt;0,(TEXT(I103,"yyyymmdd")&amp;$S$2&amp;A103&amp;$S$2&amp;B103&amp;$Q$2),"")</f>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69" t="str">
        <f>Q103&amp;IF(R103&lt;&gt;"",$P$2,"")&amp;R103</f>
        <v>EDC</v>
      </c>
      <c r="N103" s="339" t="str" cm="1">
        <f t="array" ref="N103">IF(AND(
    SUMPRODUCT(
        (IM!$F$2:$F$2000=A103) *
        ISNUMBER(SEARCH("HUB", IM!$AC$2:$AC$2000)) *
        (IM!$X$2:$X$2000&gt;=$A$1) *
        (IM!$X$2:$X$2000&lt;=$B$1)*(W103="HUB")
    ) &gt; 0
), "HUB", "")</f>
        <v/>
      </c>
      <c r="O103" s="371" t="str">
        <f>IF(I103="","未到店",
IF(AND(S103&gt;I103, R103="STAR", NOT(AND(G103&lt;&gt;"萊到店 WebPOS", Q103&lt;&gt;"EDC"))), "完工已補裝",
IF(AND(G103&lt;&gt;"萊到店 WebPOS", Q103&lt;&gt;"EDC"), "EDC異常",
IF(AND(W103="HUB", N103=""), "HUB異常",
IF(OR(AND(Z103="STAR", R103="STAR"), AND(Z103&lt;&gt;"STAR", R103="")), "已完工", "STAR異常")
))))</f>
        <v>已完工</v>
      </c>
      <c r="P103" s="238" t="str">
        <f>(TEXT(I103,"yyyymmdd"))&amp;$S$2&amp;A103&amp;$S$2&amp;B103&amp;$Q$2</f>
        <v>20250506-5245-三重護山店(定保)</v>
      </c>
      <c r="Q103" s="357" t="str" cm="1">
        <f t="array" ref="Q103">IF(AND(SUMPRODUCT((IM!$F$2:$F$2000=A103)*(ISNUMBER(SEARCH("EDC", IM!$AC$2:$AC$2000))))&gt;0), "EDC", "")</f>
        <v>EDC</v>
      </c>
      <c r="R103" s="358" t="str" cm="1">
        <f t="array" ref="R103">IF(AND(SUMPRODUCT((IM!$F$2:$F$2000=A103)*(ISNUMBER(SEARCH("STAR", IM!$AC$2:$AC$2000))))&gt;0), "STAR", "")</f>
        <v/>
      </c>
      <c r="S103" s="359" t="str" cm="1">
        <f t="array" ref="S103">IFERROR(INDEX(IM!$X$2:$X$650, MATCH(1, (IM!$F$2:$F$650=A103) * (ISNUMBER(SEARCH($D$1, IM!$AC$2:$AC$650))), 0)), "")</f>
        <v/>
      </c>
      <c r="T103" s="355">
        <f>IF(AND(X103&lt;&gt;"", Y103&lt;&gt;""), 2, IF(OR(X103&lt;&gt;"", Y103&lt;&gt;""), 1, 0))</f>
        <v>0</v>
      </c>
      <c r="U103" s="355"/>
      <c r="V103" s="373">
        <f>IF(OR(R103="STAR", T103="", U103=""), T103,
"總數：" &amp; T103 &amp; CHAR(10) &amp;
"已維修：" &amp; U103 &amp; CHAR(10) &amp;
"未更換：" &amp; (T103 - U103))</f>
        <v>0</v>
      </c>
      <c r="W103" s="360" t="str">
        <f>IF(VLOOKUP(A103,'0919門市清單主檔'!B:E,4,FALSE)=0,"",VLOOKUP(A103,'0919門市清單主檔'!B:E,4,FALSE))</f>
        <v/>
      </c>
      <c r="Y103" s="5"/>
      <c r="Z103" s="5" t="str">
        <f>IF(T103&gt;0,"STAR","")</f>
        <v/>
      </c>
    </row>
    <row r="104" spans="1:26"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IF(I104&gt;0,(TEXT(I104,"yyyymmdd")&amp;$S$2&amp;A104&amp;$S$2&amp;B104&amp;$Q$2),"")</f>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69" t="str">
        <f>Q104&amp;IF(R104&lt;&gt;"",$P$2,"")&amp;R104</f>
        <v>EDC</v>
      </c>
      <c r="N104" s="339" t="str" cm="1">
        <f t="array" ref="N104">IF(AND(
    SUMPRODUCT(
        (IM!$F$2:$F$2000=A104) *
        ISNUMBER(SEARCH("HUB", IM!$AC$2:$AC$2000)) *
        (IM!$X$2:$X$2000&gt;=$A$1) *
        (IM!$X$2:$X$2000&lt;=$B$1)*(W104="HUB")
    ) &gt; 0
), "HUB", "")</f>
        <v/>
      </c>
      <c r="O104" s="371" t="str">
        <f>IF(I104="","未到店",
IF(AND(S104&gt;I104, R104="STAR", NOT(AND(G104&lt;&gt;"萊到店 WebPOS", Q104&lt;&gt;"EDC"))), "完工已補裝",
IF(AND(G104&lt;&gt;"萊到店 WebPOS", Q104&lt;&gt;"EDC"), "EDC異常",
IF(AND(W104="HUB", N104=""), "HUB異常",
IF(OR(AND(Z104="STAR", R104="STAR"), AND(Z104&lt;&gt;"STAR", R104="")), "已完工", "STAR異常")
))))</f>
        <v>STAR異常</v>
      </c>
      <c r="P104" s="238" t="str">
        <f>(TEXT(I104,"yyyymmdd"))&amp;$S$2&amp;A104&amp;$S$2&amp;B104&amp;$Q$2</f>
        <v>20250506-4834-林口大千苑店(定保)</v>
      </c>
      <c r="Q104" s="357" t="str" cm="1">
        <f t="array" ref="Q104">IF(AND(SUMPRODUCT((IM!$F$2:$F$2000=A104)*(ISNUMBER(SEARCH("EDC", IM!$AC$2:$AC$2000))))&gt;0), "EDC", "")</f>
        <v>EDC</v>
      </c>
      <c r="R104" s="358" t="str" cm="1">
        <f t="array" ref="R104">IF(AND(SUMPRODUCT((IM!$F$2:$F$2000=A104)*(ISNUMBER(SEARCH("STAR", IM!$AC$2:$AC$2000))))&gt;0), "STAR", "")</f>
        <v/>
      </c>
      <c r="S104" s="359" t="str" cm="1">
        <f t="array" ref="S104">IFERROR(INDEX(IM!$X$2:$X$650, MATCH(1, (IM!$F$2:$F$650=A104) * (ISNUMBER(SEARCH($D$1, IM!$AC$2:$AC$650))), 0)), "")</f>
        <v/>
      </c>
      <c r="T104" s="355">
        <f>IF(AND(X104&lt;&gt;"", Y104&lt;&gt;""), 2, IF(OR(X104&lt;&gt;"", Y104&lt;&gt;""), 1, 0))</f>
        <v>1</v>
      </c>
      <c r="U104" s="355"/>
      <c r="V104" s="373">
        <f>IF(OR(R104="STAR", T104="", U104=""), T104,
"總數：" &amp; T104 &amp; CHAR(10) &amp;
"已維修：" &amp; U104 &amp; CHAR(10) &amp;
"未更換：" &amp; (T104 - U104))</f>
        <v>1</v>
      </c>
      <c r="W104" s="360" t="str">
        <f>IF(VLOOKUP(A104,'0919門市清單主檔'!B:E,4,FALSE)=0,"",VLOOKUP(A104,'0919門市清單主檔'!B:E,4,FALSE))</f>
        <v/>
      </c>
      <c r="X104" s="3" t="s">
        <v>4398</v>
      </c>
      <c r="Y104" s="5"/>
      <c r="Z104" s="5" t="str">
        <f>IF(T104&gt;0,"STAR","")</f>
        <v>STAR</v>
      </c>
    </row>
    <row r="105" spans="1:26"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IF(I105&gt;0,(TEXT(I105,"yyyymmdd")&amp;$S$2&amp;A105&amp;$S$2&amp;B105&amp;$Q$2),"")</f>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69" t="str">
        <f>Q105&amp;IF(R105&lt;&gt;"",$P$2,"")&amp;R105</f>
        <v>EDC</v>
      </c>
      <c r="N105" s="339" t="str" cm="1">
        <f t="array" ref="N105">IF(AND(
    SUMPRODUCT(
        (IM!$F$2:$F$2000=A105) *
        ISNUMBER(SEARCH("HUB", IM!$AC$2:$AC$2000)) *
        (IM!$X$2:$X$2000&gt;=$A$1) *
        (IM!$X$2:$X$2000&lt;=$B$1)*(W105="HUB")
    ) &gt; 0
), "HUB", "")</f>
        <v/>
      </c>
      <c r="O105" s="371" t="str">
        <f>IF(I105="","未到店",
IF(AND(S105&gt;I105, R105="STAR", NOT(AND(G105&lt;&gt;"萊到店 WebPOS", Q105&lt;&gt;"EDC"))), "完工已補裝",
IF(AND(G105&lt;&gt;"萊到店 WebPOS", Q105&lt;&gt;"EDC"), "EDC異常",
IF(AND(W105="HUB", N105=""), "HUB異常",
IF(OR(AND(Z105="STAR", R105="STAR"), AND(Z105&lt;&gt;"STAR", R105="")), "已完工", "STAR異常")
))))</f>
        <v>已完工</v>
      </c>
      <c r="P105" s="238" t="str">
        <f>(TEXT(I105,"yyyymmdd"))&amp;$S$2&amp;A105&amp;$S$2&amp;B105&amp;$Q$2</f>
        <v>20250506-2399-三重三陽店(定保)</v>
      </c>
      <c r="Q105" s="357" t="str" cm="1">
        <f t="array" ref="Q105">IF(AND(SUMPRODUCT((IM!$F$2:$F$2000=A105)*(ISNUMBER(SEARCH("EDC", IM!$AC$2:$AC$2000))))&gt;0), "EDC", "")</f>
        <v>EDC</v>
      </c>
      <c r="R105" s="358" t="str" cm="1">
        <f t="array" ref="R105">IF(AND(SUMPRODUCT((IM!$F$2:$F$2000=A105)*(ISNUMBER(SEARCH("STAR", IM!$AC$2:$AC$2000))))&gt;0), "STAR", "")</f>
        <v/>
      </c>
      <c r="S105" s="359" t="str" cm="1">
        <f t="array" ref="S105">IFERROR(INDEX(IM!$X$2:$X$650, MATCH(1, (IM!$F$2:$F$650=A105) * (ISNUMBER(SEARCH($D$1, IM!$AC$2:$AC$650))), 0)), "")</f>
        <v/>
      </c>
      <c r="T105" s="355">
        <f>IF(AND(X105&lt;&gt;"", Y105&lt;&gt;""), 2, IF(OR(X105&lt;&gt;"", Y105&lt;&gt;""), 1, 0))</f>
        <v>0</v>
      </c>
      <c r="U105" s="355"/>
      <c r="V105" s="373">
        <f>IF(OR(R105="STAR", T105="", U105=""), T105,
"總數：" &amp; T105 &amp; CHAR(10) &amp;
"已維修：" &amp; U105 &amp; CHAR(10) &amp;
"未更換：" &amp; (T105 - U105))</f>
        <v>0</v>
      </c>
      <c r="W105" s="360" t="str">
        <f>IF(VLOOKUP(A105,'0919門市清單主檔'!B:E,4,FALSE)=0,"",VLOOKUP(A105,'0919門市清單主檔'!B:E,4,FALSE))</f>
        <v/>
      </c>
      <c r="Y105" s="5"/>
      <c r="Z105" s="5" t="str">
        <f>IF(T105&gt;0,"STAR","")</f>
        <v/>
      </c>
    </row>
    <row r="106" spans="1:26"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IF(I106&gt;0,(TEXT(I106,"yyyymmdd")&amp;$S$2&amp;A106&amp;$S$2&amp;B106&amp;$Q$2),"")</f>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69" t="str">
        <f>Q106&amp;IF(R106&lt;&gt;"",$P$2,"")&amp;R106</f>
        <v>EDC</v>
      </c>
      <c r="N106" s="339" t="str" cm="1">
        <f t="array" ref="N106">IF(AND(
    SUMPRODUCT(
        (IM!$F$2:$F$2000=A106) *
        ISNUMBER(SEARCH("HUB", IM!$AC$2:$AC$2000)) *
        (IM!$X$2:$X$2000&gt;=$A$1) *
        (IM!$X$2:$X$2000&lt;=$B$1)*(W106="HUB")
    ) &gt; 0
), "HUB", "")</f>
        <v/>
      </c>
      <c r="O106" s="371" t="str">
        <f>IF(I106="","未到店",
IF(AND(S106&gt;I106, R106="STAR", NOT(AND(G106&lt;&gt;"萊到店 WebPOS", Q106&lt;&gt;"EDC"))), "完工已補裝",
IF(AND(G106&lt;&gt;"萊到店 WebPOS", Q106&lt;&gt;"EDC"), "EDC異常",
IF(AND(W106="HUB", N106=""), "HUB異常",
IF(OR(AND(Z106="STAR", R106="STAR"), AND(Z106&lt;&gt;"STAR", R106="")), "已完工", "STAR異常")
))))</f>
        <v>STAR異常</v>
      </c>
      <c r="P106" s="238" t="str">
        <f>(TEXT(I106,"yyyymmdd"))&amp;$S$2&amp;A106&amp;$S$2&amp;B106&amp;$Q$2</f>
        <v>20250507-3362-北縣重武店(定保)</v>
      </c>
      <c r="Q106" s="357" t="str" cm="1">
        <f t="array" ref="Q106">IF(AND(SUMPRODUCT((IM!$F$2:$F$2000=A106)*(ISNUMBER(SEARCH("EDC", IM!$AC$2:$AC$2000))))&gt;0), "EDC", "")</f>
        <v>EDC</v>
      </c>
      <c r="R106" s="358" t="str" cm="1">
        <f t="array" ref="R106">IF(AND(SUMPRODUCT((IM!$F$2:$F$2000=A106)*(ISNUMBER(SEARCH("STAR", IM!$AC$2:$AC$2000))))&gt;0), "STAR", "")</f>
        <v/>
      </c>
      <c r="S106" s="359" t="str" cm="1">
        <f t="array" ref="S106">IFERROR(INDEX(IM!$X$2:$X$650, MATCH(1, (IM!$F$2:$F$650=A106) * (ISNUMBER(SEARCH($D$1, IM!$AC$2:$AC$650))), 0)), "")</f>
        <v/>
      </c>
      <c r="T106" s="355">
        <f>IF(AND(X106&lt;&gt;"", Y106&lt;&gt;""), 2, IF(OR(X106&lt;&gt;"", Y106&lt;&gt;""), 1, 0))</f>
        <v>1</v>
      </c>
      <c r="U106" s="355"/>
      <c r="V106" s="373">
        <f>IF(OR(R106="STAR", T106="", U106=""), T106,
"總數：" &amp; T106 &amp; CHAR(10) &amp;
"已維修：" &amp; U106 &amp; CHAR(10) &amp;
"未更換：" &amp; (T106 - U106))</f>
        <v>1</v>
      </c>
      <c r="W106" s="360" t="str">
        <f>IF(VLOOKUP(A106,'0919門市清單主檔'!B:E,4,FALSE)=0,"",VLOOKUP(A106,'0919門市清單主檔'!B:E,4,FALSE))</f>
        <v/>
      </c>
      <c r="X106" s="245"/>
      <c r="Y106" s="246" t="s">
        <v>4140</v>
      </c>
      <c r="Z106" s="5" t="str">
        <f>IF(T106&gt;0,"STAR","")</f>
        <v>STAR</v>
      </c>
    </row>
    <row r="107" spans="1:26"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IF(I107&gt;0,(TEXT(I107,"yyyymmdd")&amp;$S$2&amp;A107&amp;$S$2&amp;B107&amp;$Q$2),"")</f>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69" t="str">
        <f>Q107&amp;IF(R107&lt;&gt;"",$P$2,"")&amp;R107</f>
        <v>EDC</v>
      </c>
      <c r="N107" s="339" t="str" cm="1">
        <f t="array" ref="N107">IF(AND(
    SUMPRODUCT(
        (IM!$F$2:$F$2000=A107) *
        ISNUMBER(SEARCH("HUB", IM!$AC$2:$AC$2000)) *
        (IM!$X$2:$X$2000&gt;=$A$1) *
        (IM!$X$2:$X$2000&lt;=$B$1)*(W107="HUB")
    ) &gt; 0
), "HUB", "")</f>
        <v/>
      </c>
      <c r="O107" s="371" t="str">
        <f>IF(I107="","未到店",
IF(AND(S107&gt;I107, R107="STAR", NOT(AND(G107&lt;&gt;"萊到店 WebPOS", Q107&lt;&gt;"EDC"))), "完工已補裝",
IF(AND(G107&lt;&gt;"萊到店 WebPOS", Q107&lt;&gt;"EDC"), "EDC異常",
IF(AND(W107="HUB", N107=""), "HUB異常",
IF(OR(AND(Z107="STAR", R107="STAR"), AND(Z107&lt;&gt;"STAR", R107="")), "已完工", "STAR異常")
))))</f>
        <v>STAR異常</v>
      </c>
      <c r="P107" s="238" t="str">
        <f>(TEXT(I107,"yyyymmdd"))&amp;$S$2&amp;A107&amp;$S$2&amp;B107&amp;$Q$2</f>
        <v>20250507-2209-北縣重強店(定保)</v>
      </c>
      <c r="Q107" s="357" t="str" cm="1">
        <f t="array" ref="Q107">IF(AND(SUMPRODUCT((IM!$F$2:$F$2000=A107)*(ISNUMBER(SEARCH("EDC", IM!$AC$2:$AC$2000))))&gt;0), "EDC", "")</f>
        <v>EDC</v>
      </c>
      <c r="R107" s="358" t="str" cm="1">
        <f t="array" ref="R107">IF(AND(SUMPRODUCT((IM!$F$2:$F$2000=A107)*(ISNUMBER(SEARCH("STAR", IM!$AC$2:$AC$2000))))&gt;0), "STAR", "")</f>
        <v/>
      </c>
      <c r="S107" s="359" t="str" cm="1">
        <f t="array" ref="S107">IFERROR(INDEX(IM!$X$2:$X$650, MATCH(1, (IM!$F$2:$F$650=A107) * (ISNUMBER(SEARCH($D$1, IM!$AC$2:$AC$650))), 0)), "")</f>
        <v/>
      </c>
      <c r="T107" s="355">
        <f>IF(AND(X107&lt;&gt;"", Y107&lt;&gt;""), 2, IF(OR(X107&lt;&gt;"", Y107&lt;&gt;""), 1, 0))</f>
        <v>1</v>
      </c>
      <c r="U107" s="355"/>
      <c r="V107" s="373">
        <f>IF(OR(R107="STAR", T107="", U107=""), T107,
"總數：" &amp; T107 &amp; CHAR(10) &amp;
"已維修：" &amp; U107 &amp; CHAR(10) &amp;
"未更換：" &amp; (T107 - U107))</f>
        <v>1</v>
      </c>
      <c r="W107" s="360" t="str">
        <f>IF(VLOOKUP(A107,'0919門市清單主檔'!B:E,4,FALSE)=0,"",VLOOKUP(A107,'0919門市清單主檔'!B:E,4,FALSE))</f>
        <v/>
      </c>
      <c r="Y107" s="5" t="s">
        <v>4193</v>
      </c>
      <c r="Z107" s="5" t="str">
        <f>IF(T107&gt;0,"STAR","")</f>
        <v>STAR</v>
      </c>
    </row>
    <row r="108" spans="1:26"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IF(I108&gt;0,(TEXT(I108,"yyyymmdd")&amp;$S$2&amp;A108&amp;$S$2&amp;B108&amp;$Q$2),"")</f>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69" t="str">
        <f>Q108&amp;IF(R108&lt;&gt;"",$P$2,"")&amp;R108</f>
        <v>EDC</v>
      </c>
      <c r="N108" s="339" t="str" cm="1">
        <f t="array" ref="N108">IF(AND(
    SUMPRODUCT(
        (IM!$F$2:$F$2000=A108) *
        ISNUMBER(SEARCH("HUB", IM!$AC$2:$AC$2000)) *
        (IM!$X$2:$X$2000&gt;=$A$1) *
        (IM!$X$2:$X$2000&lt;=$B$1)*(W108="HUB")
    ) &gt; 0
), "HUB", "")</f>
        <v/>
      </c>
      <c r="O108" s="371" t="str">
        <f>IF(I108="","未到店",
IF(AND(S108&gt;I108, R108="STAR", NOT(AND(G108&lt;&gt;"萊到店 WebPOS", Q108&lt;&gt;"EDC"))), "完工已補裝",
IF(AND(G108&lt;&gt;"萊到店 WebPOS", Q108&lt;&gt;"EDC"), "EDC異常",
IF(AND(W108="HUB", N108=""), "HUB異常",
IF(OR(AND(Z108="STAR", R108="STAR"), AND(Z108&lt;&gt;"STAR", R108="")), "已完工", "STAR異常")
))))</f>
        <v>STAR異常</v>
      </c>
      <c r="P108" s="238" t="str">
        <f>(TEXT(I108,"yyyymmdd"))&amp;$S$2&amp;A108&amp;$S$2&amp;B108&amp;$Q$2</f>
        <v>20250507-3840-北縣天龍店(定保)</v>
      </c>
      <c r="Q108" s="357" t="str" cm="1">
        <f t="array" ref="Q108">IF(AND(SUMPRODUCT((IM!$F$2:$F$2000=A108)*(ISNUMBER(SEARCH("EDC", IM!$AC$2:$AC$2000))))&gt;0), "EDC", "")</f>
        <v>EDC</v>
      </c>
      <c r="R108" s="358" t="str" cm="1">
        <f t="array" ref="R108">IF(AND(SUMPRODUCT((IM!$F$2:$F$2000=A108)*(ISNUMBER(SEARCH("STAR", IM!$AC$2:$AC$2000))))&gt;0), "STAR", "")</f>
        <v/>
      </c>
      <c r="S108" s="359" t="str" cm="1">
        <f t="array" ref="S108">IFERROR(INDEX(IM!$X$2:$X$650, MATCH(1, (IM!$F$2:$F$650=A108) * (ISNUMBER(SEARCH($D$1, IM!$AC$2:$AC$650))), 0)), "")</f>
        <v/>
      </c>
      <c r="T108" s="355">
        <f>IF(AND(X108&lt;&gt;"", Y108&lt;&gt;""), 2, IF(OR(X108&lt;&gt;"", Y108&lt;&gt;""), 1, 0))</f>
        <v>2</v>
      </c>
      <c r="U108" s="355"/>
      <c r="V108" s="373">
        <f>IF(OR(R108="STAR", T108="", U108=""), T108,
"總數：" &amp; T108 &amp; CHAR(10) &amp;
"已維修：" &amp; U108 &amp; CHAR(10) &amp;
"未更換：" &amp; (T108 - U108))</f>
        <v>2</v>
      </c>
      <c r="W108" s="360" t="str">
        <f>IF(VLOOKUP(A108,'0919門市清單主檔'!B:E,4,FALSE)=0,"",VLOOKUP(A108,'0919門市清單主檔'!B:E,4,FALSE))</f>
        <v/>
      </c>
      <c r="X108" s="3" t="s">
        <v>4324</v>
      </c>
      <c r="Y108" s="5" t="s">
        <v>4325</v>
      </c>
      <c r="Z108" s="5" t="str">
        <f>IF(T108&gt;0,"STAR","")</f>
        <v>STAR</v>
      </c>
    </row>
    <row r="109" spans="1:26"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IF(I109&gt;0,(TEXT(I109,"yyyymmdd")&amp;$S$2&amp;A109&amp;$S$2&amp;B109&amp;$Q$2),"")</f>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69" t="str">
        <f>Q109&amp;IF(R109&lt;&gt;"",$P$2,"")&amp;R109</f>
        <v>EDC</v>
      </c>
      <c r="N109" s="339" t="str" cm="1">
        <f t="array" ref="N109">IF(AND(
    SUMPRODUCT(
        (IM!$F$2:$F$2000=A109) *
        ISNUMBER(SEARCH("HUB", IM!$AC$2:$AC$2000)) *
        (IM!$X$2:$X$2000&gt;=$A$1) *
        (IM!$X$2:$X$2000&lt;=$B$1)*(W109="HUB")
    ) &gt; 0
), "HUB", "")</f>
        <v/>
      </c>
      <c r="O109" s="371" t="str">
        <f>IF(I109="","未到店",
IF(AND(S109&gt;I109, R109="STAR", NOT(AND(G109&lt;&gt;"萊到店 WebPOS", Q109&lt;&gt;"EDC"))), "完工已補裝",
IF(AND(G109&lt;&gt;"萊到店 WebPOS", Q109&lt;&gt;"EDC"), "EDC異常",
IF(AND(W109="HUB", N109=""), "HUB異常",
IF(OR(AND(Z109="STAR", R109="STAR"), AND(Z109&lt;&gt;"STAR", R109="")), "已完工", "STAR異常")
))))</f>
        <v>STAR異常</v>
      </c>
      <c r="P109" s="238" t="str">
        <f>(TEXT(I109,"yyyymmdd"))&amp;$S$2&amp;A109&amp;$S$2&amp;B109&amp;$Q$2</f>
        <v>20250507-4029-三重龍濱店(定保)</v>
      </c>
      <c r="Q109" s="357" t="str" cm="1">
        <f t="array" ref="Q109">IF(AND(SUMPRODUCT((IM!$F$2:$F$2000=A109)*(ISNUMBER(SEARCH("EDC", IM!$AC$2:$AC$2000))))&gt;0), "EDC", "")</f>
        <v>EDC</v>
      </c>
      <c r="R109" s="358" t="str" cm="1">
        <f t="array" ref="R109">IF(AND(SUMPRODUCT((IM!$F$2:$F$2000=A109)*(ISNUMBER(SEARCH("STAR", IM!$AC$2:$AC$2000))))&gt;0), "STAR", "")</f>
        <v/>
      </c>
      <c r="S109" s="359" t="str" cm="1">
        <f t="array" ref="S109">IFERROR(INDEX(IM!$X$2:$X$650, MATCH(1, (IM!$F$2:$F$650=A109) * (ISNUMBER(SEARCH($D$1, IM!$AC$2:$AC$650))), 0)), "")</f>
        <v/>
      </c>
      <c r="T109" s="355">
        <f>IF(AND(X109&lt;&gt;"", Y109&lt;&gt;""), 2, IF(OR(X109&lt;&gt;"", Y109&lt;&gt;""), 1, 0))</f>
        <v>2</v>
      </c>
      <c r="U109" s="355"/>
      <c r="V109" s="373">
        <f>IF(OR(R109="STAR", T109="", U109=""), T109,
"總數：" &amp; T109 &amp; CHAR(10) &amp;
"已維修：" &amp; U109 &amp; CHAR(10) &amp;
"未更換：" &amp; (T109 - U109))</f>
        <v>2</v>
      </c>
      <c r="W109" s="360" t="str">
        <f>IF(VLOOKUP(A109,'0919門市清單主檔'!B:E,4,FALSE)=0,"",VLOOKUP(A109,'0919門市清單主檔'!B:E,4,FALSE))</f>
        <v/>
      </c>
      <c r="X109" s="3" t="s">
        <v>4284</v>
      </c>
      <c r="Y109" s="5" t="s">
        <v>4285</v>
      </c>
      <c r="Z109" s="5" t="str">
        <f>IF(T109&gt;0,"STAR","")</f>
        <v>STAR</v>
      </c>
    </row>
    <row r="110" spans="1:26"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IF(I110&gt;0,(TEXT(I110,"yyyymmdd")&amp;$S$2&amp;A110&amp;$S$2&amp;B110&amp;$Q$2),"")</f>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69" t="str">
        <f>Q110&amp;IF(R110&lt;&gt;"",$P$2,"")&amp;R110</f>
        <v>EDC</v>
      </c>
      <c r="N110" s="339" t="str" cm="1">
        <f t="array" ref="N110">IF(AND(
    SUMPRODUCT(
        (IM!$F$2:$F$2000=A110) *
        ISNUMBER(SEARCH("HUB", IM!$AC$2:$AC$2000)) *
        (IM!$X$2:$X$2000&gt;=$A$1) *
        (IM!$X$2:$X$2000&lt;=$B$1)*(W110="HUB")
    ) &gt; 0
), "HUB", "")</f>
        <v/>
      </c>
      <c r="O110" s="371" t="str">
        <f>IF(I110="","未到店",
IF(AND(S110&gt;I110, R110="STAR", NOT(AND(G110&lt;&gt;"萊到店 WebPOS", Q110&lt;&gt;"EDC"))), "完工已補裝",
IF(AND(G110&lt;&gt;"萊到店 WebPOS", Q110&lt;&gt;"EDC"), "EDC異常",
IF(AND(W110="HUB", N110=""), "HUB異常",
IF(OR(AND(Z110="STAR", R110="STAR"), AND(Z110&lt;&gt;"STAR", R110="")), "已完工", "STAR異常")
))))</f>
        <v>STAR異常</v>
      </c>
      <c r="P110" s="238" t="str">
        <f>(TEXT(I110,"yyyymmdd"))&amp;$S$2&amp;A110&amp;$S$2&amp;B110&amp;$Q$2</f>
        <v>20250507-4560-三重大院店(定保)</v>
      </c>
      <c r="Q110" s="357" t="str" cm="1">
        <f t="array" ref="Q110">IF(AND(SUMPRODUCT((IM!$F$2:$F$2000=A110)*(ISNUMBER(SEARCH("EDC", IM!$AC$2:$AC$2000))))&gt;0), "EDC", "")</f>
        <v>EDC</v>
      </c>
      <c r="R110" s="358" t="str" cm="1">
        <f t="array" ref="R110">IF(AND(SUMPRODUCT((IM!$F$2:$F$2000=A110)*(ISNUMBER(SEARCH("STAR", IM!$AC$2:$AC$2000))))&gt;0), "STAR", "")</f>
        <v/>
      </c>
      <c r="S110" s="359" t="str" cm="1">
        <f t="array" ref="S110">IFERROR(INDEX(IM!$X$2:$X$650, MATCH(1, (IM!$F$2:$F$650=A110) * (ISNUMBER(SEARCH($D$1, IM!$AC$2:$AC$650))), 0)), "")</f>
        <v/>
      </c>
      <c r="T110" s="355">
        <f>IF(AND(X110&lt;&gt;"", Y110&lt;&gt;""), 2, IF(OR(X110&lt;&gt;"", Y110&lt;&gt;""), 1, 0))</f>
        <v>2</v>
      </c>
      <c r="U110" s="355"/>
      <c r="V110" s="373">
        <f>IF(OR(R110="STAR", T110="", U110=""), T110,
"總數：" &amp; T110 &amp; CHAR(10) &amp;
"已維修：" &amp; U110 &amp; CHAR(10) &amp;
"未更換：" &amp; (T110 - U110))</f>
        <v>2</v>
      </c>
      <c r="W110" s="360" t="str">
        <f>IF(VLOOKUP(A110,'0919門市清單主檔'!B:E,4,FALSE)=0,"",VLOOKUP(A110,'0919門市清單主檔'!B:E,4,FALSE))</f>
        <v/>
      </c>
      <c r="X110" s="3" t="s">
        <v>4286</v>
      </c>
      <c r="Y110" s="5" t="s">
        <v>4287</v>
      </c>
      <c r="Z110" s="5" t="str">
        <f>IF(T110&gt;0,"STAR","")</f>
        <v>STAR</v>
      </c>
    </row>
    <row r="111" spans="1:26"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IF(I111&gt;0,(TEXT(I111,"yyyymmdd")&amp;$S$2&amp;A111&amp;$S$2&amp;B111&amp;$Q$2),"")</f>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69" t="str">
        <f>Q111&amp;IF(R111&lt;&gt;"",$P$2,"")&amp;R111</f>
        <v>EDC</v>
      </c>
      <c r="N111" s="339" t="str" cm="1">
        <f t="array" ref="N111">IF(AND(
    SUMPRODUCT(
        (IM!$F$2:$F$2000=A111) *
        ISNUMBER(SEARCH("HUB", IM!$AC$2:$AC$2000)) *
        (IM!$X$2:$X$2000&gt;=$A$1) *
        (IM!$X$2:$X$2000&lt;=$B$1)*(W111="HUB")
    ) &gt; 0
), "HUB", "")</f>
        <v/>
      </c>
      <c r="O111" s="371" t="str">
        <f>IF(I111="","未到店",
IF(AND(S111&gt;I111, R111="STAR", NOT(AND(G111&lt;&gt;"萊到店 WebPOS", Q111&lt;&gt;"EDC"))), "完工已補裝",
IF(AND(G111&lt;&gt;"萊到店 WebPOS", Q111&lt;&gt;"EDC"), "EDC異常",
IF(AND(W111="HUB", N111=""), "HUB異常",
IF(OR(AND(Z111="STAR", R111="STAR"), AND(Z111&lt;&gt;"STAR", R111="")), "已完工", "STAR異常")
))))</f>
        <v>已完工</v>
      </c>
      <c r="P111" s="238" t="str">
        <f>(TEXT(I111,"yyyymmdd"))&amp;$S$2&amp;A111&amp;$S$2&amp;B111&amp;$Q$2</f>
        <v>20250508-4101-三重溪華店(定保)</v>
      </c>
      <c r="Q111" s="357" t="str" cm="1">
        <f t="array" ref="Q111">IF(AND(SUMPRODUCT((IM!$F$2:$F$2000=A111)*(ISNUMBER(SEARCH("EDC", IM!$AC$2:$AC$2000))))&gt;0), "EDC", "")</f>
        <v>EDC</v>
      </c>
      <c r="R111" s="358" t="str" cm="1">
        <f t="array" ref="R111">IF(AND(SUMPRODUCT((IM!$F$2:$F$2000=A111)*(ISNUMBER(SEARCH("STAR", IM!$AC$2:$AC$2000))))&gt;0), "STAR", "")</f>
        <v/>
      </c>
      <c r="S111" s="359" t="str" cm="1">
        <f t="array" ref="S111">IFERROR(INDEX(IM!$X$2:$X$650, MATCH(1, (IM!$F$2:$F$650=A111) * (ISNUMBER(SEARCH($D$1, IM!$AC$2:$AC$650))), 0)), "")</f>
        <v/>
      </c>
      <c r="T111" s="355">
        <f>IF(AND(X111&lt;&gt;"", Y111&lt;&gt;""), 2, IF(OR(X111&lt;&gt;"", Y111&lt;&gt;""), 1, 0))</f>
        <v>0</v>
      </c>
      <c r="U111" s="355"/>
      <c r="V111" s="373">
        <f>IF(OR(R111="STAR", T111="", U111=""), T111,
"總數：" &amp; T111 &amp; CHAR(10) &amp;
"已維修：" &amp; U111 &amp; CHAR(10) &amp;
"未更換：" &amp; (T111 - U111))</f>
        <v>0</v>
      </c>
      <c r="W111" s="360" t="str">
        <f>IF(VLOOKUP(A111,'0919門市清單主檔'!B:E,4,FALSE)=0,"",VLOOKUP(A111,'0919門市清單主檔'!B:E,4,FALSE))</f>
        <v/>
      </c>
      <c r="Y111" s="5"/>
      <c r="Z111" s="5" t="str">
        <f>IF(T111&gt;0,"STAR","")</f>
        <v/>
      </c>
    </row>
    <row r="112" spans="1:26"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IF(I112&gt;0,(TEXT(I112,"yyyymmdd")&amp;$S$2&amp;A112&amp;$S$2&amp;B112&amp;$Q$2),"")</f>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69" t="str">
        <f>Q112&amp;IF(R112&lt;&gt;"",$P$2,"")&amp;R112</f>
        <v/>
      </c>
      <c r="N112" s="339" t="str" cm="1">
        <f t="array" ref="N112">IF(AND(
    SUMPRODUCT(
        (IM!$F$2:$F$2000=A112) *
        ISNUMBER(SEARCH("HUB", IM!$AC$2:$AC$2000)) *
        (IM!$X$2:$X$2000&gt;=$A$1) *
        (IM!$X$2:$X$2000&lt;=$B$1)*(W112="HUB")
    ) &gt; 0
), "HUB", "")</f>
        <v/>
      </c>
      <c r="O112" s="371" t="str">
        <f>IF(I112="","未到店",
IF(AND(S112&gt;I112, R112="STAR", NOT(AND(G112&lt;&gt;"萊到店 WebPOS", Q112&lt;&gt;"EDC"))), "完工已補裝",
IF(AND(G112&lt;&gt;"萊到店 WebPOS", Q112&lt;&gt;"EDC"), "EDC異常",
IF(AND(W112="HUB", N112=""), "HUB異常",
IF(OR(AND(Z112="STAR", R112="STAR"), AND(Z112&lt;&gt;"STAR", R112="")), "已完工", "STAR異常")
))))</f>
        <v>已完工</v>
      </c>
      <c r="P112" s="238" t="str">
        <f>(TEXT(I112,"yyyymmdd"))&amp;$S$2&amp;A112&amp;$S$2&amp;B112&amp;$Q$2</f>
        <v>20250508-L517-車麗屋蘆洲店(定保)</v>
      </c>
      <c r="Q112" s="357" t="str" cm="1">
        <f t="array" ref="Q112">IF(AND(SUMPRODUCT((IM!$F$2:$F$2000=A112)*(ISNUMBER(SEARCH("EDC", IM!$AC$2:$AC$2000))))&gt;0), "EDC", "")</f>
        <v/>
      </c>
      <c r="R112" s="358" t="str" cm="1">
        <f t="array" ref="R112">IF(AND(SUMPRODUCT((IM!$F$2:$F$2000=A112)*(ISNUMBER(SEARCH("STAR", IM!$AC$2:$AC$2000))))&gt;0), "STAR", "")</f>
        <v/>
      </c>
      <c r="S112" s="359" t="str" cm="1">
        <f t="array" ref="S112">IFERROR(INDEX(IM!$X$2:$X$650, MATCH(1, (IM!$F$2:$F$650=A112) * (ISNUMBER(SEARCH($D$1, IM!$AC$2:$AC$650))), 0)), "")</f>
        <v/>
      </c>
      <c r="T112" s="355">
        <f>IF(AND(X112&lt;&gt;"", Y112&lt;&gt;""), 2, IF(OR(X112&lt;&gt;"", Y112&lt;&gt;""), 1, 0))</f>
        <v>0</v>
      </c>
      <c r="U112" s="355"/>
      <c r="V112" s="373">
        <f>IF(OR(R112="STAR", T112="", U112=""), T112,
"總數：" &amp; T112 &amp; CHAR(10) &amp;
"已維修：" &amp; U112 &amp; CHAR(10) &amp;
"未更換：" &amp; (T112 - U112))</f>
        <v>0</v>
      </c>
      <c r="W112" s="360" t="str">
        <f>IF(VLOOKUP(A112,'0919門市清單主檔'!B:E,4,FALSE)=0,"",VLOOKUP(A112,'0919門市清單主檔'!B:E,4,FALSE))</f>
        <v/>
      </c>
      <c r="Y112" s="5"/>
      <c r="Z112" s="5" t="str">
        <f>IF(T112&gt;0,"STAR","")</f>
        <v/>
      </c>
    </row>
    <row r="113" spans="1:27"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IF(I113&gt;0,(TEXT(I113,"yyyymmdd")&amp;$S$2&amp;A113&amp;$S$2&amp;B113&amp;$Q$2),"")</f>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69" t="str">
        <f>Q113&amp;IF(R113&lt;&gt;"",$P$2,"")&amp;R113</f>
        <v>EDC</v>
      </c>
      <c r="N113" s="339" t="str" cm="1">
        <f t="array" ref="N113">IF(AND(
    SUMPRODUCT(
        (IM!$F$2:$F$2000=A113) *
        ISNUMBER(SEARCH("HUB", IM!$AC$2:$AC$2000)) *
        (IM!$X$2:$X$2000&gt;=$A$1) *
        (IM!$X$2:$X$2000&lt;=$B$1)*(W113="HUB")
    ) &gt; 0
), "HUB", "")</f>
        <v/>
      </c>
      <c r="O113" s="371" t="str">
        <f>IF(I113="","未到店",
IF(AND(S113&gt;I113, R113="STAR", NOT(AND(G113&lt;&gt;"萊到店 WebPOS", Q113&lt;&gt;"EDC"))), "完工已補裝",
IF(AND(G113&lt;&gt;"萊到店 WebPOS", Q113&lt;&gt;"EDC"), "EDC異常",
IF(AND(W113="HUB", N113=""), "HUB異常",
IF(OR(AND(Z113="STAR", R113="STAR"), AND(Z113&lt;&gt;"STAR", R113="")), "已完工", "STAR異常")
))))</f>
        <v>已完工</v>
      </c>
      <c r="P113" s="238" t="str">
        <f>(TEXT(I113,"yyyymmdd"))&amp;$S$2&amp;A113&amp;$S$2&amp;B113&amp;$Q$2</f>
        <v>20250508-5082-蘆洲水湳店(定保)</v>
      </c>
      <c r="Q113" s="357" t="str" cm="1">
        <f t="array" ref="Q113">IF(AND(SUMPRODUCT((IM!$F$2:$F$2000=A113)*(ISNUMBER(SEARCH("EDC", IM!$AC$2:$AC$2000))))&gt;0), "EDC", "")</f>
        <v>EDC</v>
      </c>
      <c r="R113" s="358" t="str" cm="1">
        <f t="array" ref="R113">IF(AND(SUMPRODUCT((IM!$F$2:$F$2000=A113)*(ISNUMBER(SEARCH("STAR", IM!$AC$2:$AC$2000))))&gt;0), "STAR", "")</f>
        <v/>
      </c>
      <c r="S113" s="359" t="str" cm="1">
        <f t="array" ref="S113">IFERROR(INDEX(IM!$X$2:$X$650, MATCH(1, (IM!$F$2:$F$650=A113) * (ISNUMBER(SEARCH($D$1, IM!$AC$2:$AC$650))), 0)), "")</f>
        <v/>
      </c>
      <c r="T113" s="355">
        <f>IF(AND(X113&lt;&gt;"", Y113&lt;&gt;""), 2, IF(OR(X113&lt;&gt;"", Y113&lt;&gt;""), 1, 0))</f>
        <v>0</v>
      </c>
      <c r="U113" s="355"/>
      <c r="V113" s="373">
        <f>IF(OR(R113="STAR", T113="", U113=""), T113,
"總數：" &amp; T113 &amp; CHAR(10) &amp;
"已維修：" &amp; U113 &amp; CHAR(10) &amp;
"未更換：" &amp; (T113 - U113))</f>
        <v>0</v>
      </c>
      <c r="W113" s="360" t="str">
        <f>IF(VLOOKUP(A113,'0919門市清單主檔'!B:E,4,FALSE)=0,"",VLOOKUP(A113,'0919門市清單主檔'!B:E,4,FALSE))</f>
        <v/>
      </c>
      <c r="Y113" s="5"/>
      <c r="Z113" s="5" t="str">
        <f>IF(T113&gt;0,"STAR","")</f>
        <v/>
      </c>
    </row>
    <row r="114" spans="1:27"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IF(I114&gt;0,(TEXT(I114,"yyyymmdd")&amp;$S$2&amp;A114&amp;$S$2&amp;B114&amp;$Q$2),"")</f>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69" t="str">
        <f>Q114&amp;IF(R114&lt;&gt;"",$P$2,"")&amp;R114</f>
        <v>EDC</v>
      </c>
      <c r="N114" s="339" t="str" cm="1">
        <f t="array" ref="N114">IF(AND(
    SUMPRODUCT(
        (IM!$F$2:$F$2000=A114) *
        ISNUMBER(SEARCH("HUB", IM!$AC$2:$AC$2000)) *
        (IM!$X$2:$X$2000&gt;=$A$1) *
        (IM!$X$2:$X$2000&lt;=$B$1)*(W114="HUB")
    ) &gt; 0
), "HUB", "")</f>
        <v/>
      </c>
      <c r="O114" s="371" t="str">
        <f>IF(I114="","未到店",
IF(AND(S114&gt;I114, R114="STAR", NOT(AND(G114&lt;&gt;"萊到店 WebPOS", Q114&lt;&gt;"EDC"))), "完工已補裝",
IF(AND(G114&lt;&gt;"萊到店 WebPOS", Q114&lt;&gt;"EDC"), "EDC異常",
IF(AND(W114="HUB", N114=""), "HUB異常",
IF(OR(AND(Z114="STAR", R114="STAR"), AND(Z114&lt;&gt;"STAR", R114="")), "已完工", "STAR異常")
))))</f>
        <v>已完工</v>
      </c>
      <c r="P114" s="238" t="str">
        <f>(TEXT(I114,"yyyymmdd"))&amp;$S$2&amp;A114&amp;$S$2&amp;B114&amp;$Q$2</f>
        <v>20250508-3892-蘆洲光榮店(定保)</v>
      </c>
      <c r="Q114" s="357" t="str" cm="1">
        <f t="array" ref="Q114">IF(AND(SUMPRODUCT((IM!$F$2:$F$2000=A114)*(ISNUMBER(SEARCH("EDC", IM!$AC$2:$AC$2000))))&gt;0), "EDC", "")</f>
        <v>EDC</v>
      </c>
      <c r="R114" s="358" t="str" cm="1">
        <f t="array" ref="R114">IF(AND(SUMPRODUCT((IM!$F$2:$F$2000=A114)*(ISNUMBER(SEARCH("STAR", IM!$AC$2:$AC$2000))))&gt;0), "STAR", "")</f>
        <v/>
      </c>
      <c r="S114" s="359" t="str" cm="1">
        <f t="array" ref="S114">IFERROR(INDEX(IM!$X$2:$X$650, MATCH(1, (IM!$F$2:$F$650=A114) * (ISNUMBER(SEARCH($D$1, IM!$AC$2:$AC$650))), 0)), "")</f>
        <v/>
      </c>
      <c r="T114" s="355">
        <f>IF(AND(X114&lt;&gt;"", Y114&lt;&gt;""), 2, IF(OR(X114&lt;&gt;"", Y114&lt;&gt;""), 1, 0))</f>
        <v>0</v>
      </c>
      <c r="U114" s="355"/>
      <c r="V114" s="373">
        <f>IF(OR(R114="STAR", T114="", U114=""), T114,
"總數：" &amp; T114 &amp; CHAR(10) &amp;
"已維修：" &amp; U114 &amp; CHAR(10) &amp;
"未更換：" &amp; (T114 - U114))</f>
        <v>0</v>
      </c>
      <c r="W114" s="360" t="str">
        <f>IF(VLOOKUP(A114,'0919門市清單主檔'!B:E,4,FALSE)=0,"",VLOOKUP(A114,'0919門市清單主檔'!B:E,4,FALSE))</f>
        <v/>
      </c>
      <c r="Y114" s="5"/>
      <c r="Z114" s="5" t="str">
        <f>IF(T114&gt;0,"STAR","")</f>
        <v/>
      </c>
    </row>
    <row r="115" spans="1:27"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IF(I115&gt;0,(TEXT(I115,"yyyymmdd")&amp;$S$2&amp;A115&amp;$S$2&amp;B115&amp;$Q$2),"")</f>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69" t="str">
        <f>Q115&amp;IF(R115&lt;&gt;"",$P$2,"")&amp;R115</f>
        <v>EDC</v>
      </c>
      <c r="N115" s="339" t="str" cm="1">
        <f t="array" ref="N115">IF(AND(
    SUMPRODUCT(
        (IM!$F$2:$F$2000=A115) *
        ISNUMBER(SEARCH("HUB", IM!$AC$2:$AC$2000)) *
        (IM!$X$2:$X$2000&gt;=$A$1) *
        (IM!$X$2:$X$2000&lt;=$B$1)*(W115="HUB")
    ) &gt; 0
), "HUB", "")</f>
        <v/>
      </c>
      <c r="O115" s="371" t="str">
        <f>IF(I115="","未到店",
IF(AND(S115&gt;I115, R115="STAR", NOT(AND(G115&lt;&gt;"萊到店 WebPOS", Q115&lt;&gt;"EDC"))), "完工已補裝",
IF(AND(G115&lt;&gt;"萊到店 WebPOS", Q115&lt;&gt;"EDC"), "EDC異常",
IF(AND(W115="HUB", N115=""), "HUB異常",
IF(OR(AND(Z115="STAR", R115="STAR"), AND(Z115&lt;&gt;"STAR", R115="")), "已完工", "STAR異常")
))))</f>
        <v>已完工</v>
      </c>
      <c r="P115" s="238" t="str">
        <f>(TEXT(I115,"yyyymmdd"))&amp;$S$2&amp;A115&amp;$S$2&amp;B115&amp;$Q$2</f>
        <v>20250508-5197-蘆洲鴻悅店(定保)</v>
      </c>
      <c r="Q115" s="357" t="str" cm="1">
        <f t="array" ref="Q115">IF(AND(SUMPRODUCT((IM!$F$2:$F$2000=A115)*(ISNUMBER(SEARCH("EDC", IM!$AC$2:$AC$2000))))&gt;0), "EDC", "")</f>
        <v>EDC</v>
      </c>
      <c r="R115" s="358" t="str" cm="1">
        <f t="array" ref="R115">IF(AND(SUMPRODUCT((IM!$F$2:$F$2000=A115)*(ISNUMBER(SEARCH("STAR", IM!$AC$2:$AC$2000))))&gt;0), "STAR", "")</f>
        <v/>
      </c>
      <c r="S115" s="359" t="str" cm="1">
        <f t="array" ref="S115">IFERROR(INDEX(IM!$X$2:$X$650, MATCH(1, (IM!$F$2:$F$650=A115) * (ISNUMBER(SEARCH($D$1, IM!$AC$2:$AC$650))), 0)), "")</f>
        <v/>
      </c>
      <c r="T115" s="355">
        <f>IF(AND(X115&lt;&gt;"", Y115&lt;&gt;""), 2, IF(OR(X115&lt;&gt;"", Y115&lt;&gt;""), 1, 0))</f>
        <v>0</v>
      </c>
      <c r="U115" s="355"/>
      <c r="V115" s="373">
        <f>IF(OR(R115="STAR", T115="", U115=""), T115,
"總數：" &amp; T115 &amp; CHAR(10) &amp;
"已維修：" &amp; U115 &amp; CHAR(10) &amp;
"未更換：" &amp; (T115 - U115))</f>
        <v>0</v>
      </c>
      <c r="W115" s="360" t="str">
        <f>IF(VLOOKUP(A115,'0919門市清單主檔'!B:E,4,FALSE)=0,"",VLOOKUP(A115,'0919門市清單主檔'!B:E,4,FALSE))</f>
        <v/>
      </c>
      <c r="Y115" s="5"/>
      <c r="Z115" s="5" t="str">
        <f>IF(T115&gt;0,"STAR","")</f>
        <v/>
      </c>
    </row>
    <row r="116" spans="1:27"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IF(I116&gt;0,(TEXT(I116,"yyyymmdd")&amp;$S$2&amp;A116&amp;$S$2&amp;B116&amp;$Q$2),"")</f>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69" t="str">
        <f>Q116&amp;IF(R116&lt;&gt;"",$P$2,"")&amp;R116</f>
        <v>EDC+STAR</v>
      </c>
      <c r="N116" s="339" t="str" cm="1">
        <f t="array" ref="N116">IF(AND(
    SUMPRODUCT(
        (IM!$F$2:$F$2000=A116) *
        ISNUMBER(SEARCH("HUB", IM!$AC$2:$AC$2000)) *
        (IM!$X$2:$X$2000&gt;=$A$1) *
        (IM!$X$2:$X$2000&lt;=$B$1)*(W116="HUB")
    ) &gt; 0
), "HUB", "")</f>
        <v/>
      </c>
      <c r="O116" s="371" t="str">
        <f>IF(I116="","未到店",
IF(AND(S116&gt;I116, R116="STAR", NOT(AND(G116&lt;&gt;"萊到店 WebPOS", Q116&lt;&gt;"EDC"))), "完工已補裝",
IF(AND(G116&lt;&gt;"萊到店 WebPOS", Q116&lt;&gt;"EDC"), "EDC異常",
IF(AND(W116="HUB", N116=""), "HUB異常",
IF(OR(AND(Z116="STAR", R116="STAR"), AND(Z116&lt;&gt;"STAR", R116="")), "已完工", "STAR異常")
))))</f>
        <v>完工已補裝</v>
      </c>
      <c r="P116" s="238" t="str">
        <f>(TEXT(I116,"yyyymmdd"))&amp;$S$2&amp;A116&amp;$S$2&amp;B116&amp;$Q$2</f>
        <v>20250509-D620-北縣三愛三店(定保)</v>
      </c>
      <c r="Q116" s="357" t="str" cm="1">
        <f t="array" ref="Q116">IF(AND(SUMPRODUCT((IM!$F$2:$F$2000=A116)*(ISNUMBER(SEARCH("EDC", IM!$AC$2:$AC$2000))))&gt;0), "EDC", "")</f>
        <v>EDC</v>
      </c>
      <c r="R116" s="358" t="str" cm="1">
        <f t="array" ref="R116">IF(AND(SUMPRODUCT((IM!$F$2:$F$2000=A116)*(ISNUMBER(SEARCH("STAR", IM!$AC$2:$AC$2000))))&gt;0), "STAR", "")</f>
        <v>STAR</v>
      </c>
      <c r="S116" s="359" cm="1">
        <f t="array" ref="S116">IFERROR(INDEX(IM!$X$2:$X$650, MATCH(1, (IM!$F$2:$F$650=A116) * (ISNUMBER(SEARCH($D$1, IM!$AC$2:$AC$650))), 0)), "")</f>
        <v>45798.487500000003</v>
      </c>
      <c r="T116" s="355">
        <f>IF(AND(X116&lt;&gt;"", Y116&lt;&gt;""), 2, IF(OR(X116&lt;&gt;"", Y116&lt;&gt;""), 1, 0))</f>
        <v>2</v>
      </c>
      <c r="U116" s="355"/>
      <c r="V116" s="373">
        <f>IF(OR(R116="STAR", T116="", U116=""), T116,
"總數：" &amp; T116 &amp; CHAR(10) &amp;
"已維修：" &amp; U116 &amp; CHAR(10) &amp;
"未更換：" &amp; (T116 - U116))</f>
        <v>2</v>
      </c>
      <c r="W116" s="360" t="str">
        <f>IF(VLOOKUP(A116,'0919門市清單主檔'!B:E,4,FALSE)=0,"",VLOOKUP(A116,'0919門市清單主檔'!B:E,4,FALSE))</f>
        <v/>
      </c>
      <c r="X116" s="3" t="s">
        <v>4297</v>
      </c>
      <c r="Y116" s="5" t="s">
        <v>4298</v>
      </c>
      <c r="Z116" s="5" t="str">
        <f>IF(T116&gt;0,"STAR","")</f>
        <v>STAR</v>
      </c>
    </row>
    <row r="117" spans="1:27"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IF(I117&gt;0,(TEXT(I117,"yyyymmdd")&amp;$S$2&amp;A117&amp;$S$2&amp;B117&amp;$Q$2),"")</f>
        <v>20250509-D194-北縣五華三店(定保)</v>
      </c>
      <c r="I117" s="184" ph="1">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69" t="str">
        <f>Q117&amp;IF(R117&lt;&gt;"",$P$2,"")&amp;R117</f>
        <v>EDC</v>
      </c>
      <c r="N117" s="339" t="str" cm="1">
        <f t="array" ref="N117">IF(AND(
    SUMPRODUCT(
        (IM!$F$2:$F$2000=A117) *
        ISNUMBER(SEARCH("HUB", IM!$AC$2:$AC$2000)) *
        (IM!$X$2:$X$2000&gt;=$A$1) *
        (IM!$X$2:$X$2000&lt;=$B$1)*(W117="HUB")
    ) &gt; 0
), "HUB", "")</f>
        <v/>
      </c>
      <c r="O117" s="371" t="str">
        <f>IF(I117="","未到店",
IF(AND(S117&gt;I117, R117="STAR", NOT(AND(G117&lt;&gt;"萊到店 WebPOS", Q117&lt;&gt;"EDC"))), "完工已補裝",
IF(AND(G117&lt;&gt;"萊到店 WebPOS", Q117&lt;&gt;"EDC"), "EDC異常",
IF(AND(W117="HUB", N117=""), "HUB異常",
IF(OR(AND(Z117="STAR", R117="STAR"), AND(Z117&lt;&gt;"STAR", R117="")), "已完工", "STAR異常")
))))</f>
        <v>STAR異常</v>
      </c>
      <c r="P117" s="238" t="str">
        <f>(TEXT(I117,"yyyymmdd"))&amp;$S$2&amp;A117&amp;$S$2&amp;B117&amp;$Q$2</f>
        <v>20250509-D194-北縣五華三店(定保)</v>
      </c>
      <c r="Q117" s="357" t="str" cm="1">
        <f t="array" ref="Q117">IF(AND(SUMPRODUCT((IM!$F$2:$F$2000=A117)*(ISNUMBER(SEARCH("EDC", IM!$AC$2:$AC$2000))))&gt;0), "EDC", "")</f>
        <v>EDC</v>
      </c>
      <c r="R117" s="358" t="str" cm="1">
        <f t="array" ref="R117">IF(AND(SUMPRODUCT((IM!$F$2:$F$2000=A117)*(ISNUMBER(SEARCH("STAR", IM!$AC$2:$AC$2000))))&gt;0), "STAR", "")</f>
        <v/>
      </c>
      <c r="S117" s="359" t="str" cm="1">
        <f t="array" ref="S117">IFERROR(INDEX(IM!$X$2:$X$650, MATCH(1, (IM!$F$2:$F$650=A117) * (ISNUMBER(SEARCH($D$1, IM!$AC$2:$AC$650))), 0)), "")</f>
        <v/>
      </c>
      <c r="T117" s="355">
        <f>IF(AND(X117&lt;&gt;"", Y117&lt;&gt;""), 2, IF(OR(X117&lt;&gt;"", Y117&lt;&gt;""), 1, 0))</f>
        <v>2</v>
      </c>
      <c r="U117" s="355"/>
      <c r="V117" s="373">
        <f>IF(OR(R117="STAR", T117="", U117=""), T117,
"總數：" &amp; T117 &amp; CHAR(10) &amp;
"已維修：" &amp; U117 &amp; CHAR(10) &amp;
"未更換：" &amp; (T117 - U117))</f>
        <v>2</v>
      </c>
      <c r="W117" s="360" t="str">
        <f>IF(VLOOKUP(A117,'0919門市清單主檔'!B:E,4,FALSE)=0,"",VLOOKUP(A117,'0919門市清單主檔'!B:E,4,FALSE))</f>
        <v/>
      </c>
      <c r="X117" s="3" t="s">
        <v>4316</v>
      </c>
      <c r="Y117" s="5" t="s">
        <v>4317</v>
      </c>
      <c r="Z117" s="5" t="str">
        <f>IF(T117&gt;0,"STAR","")</f>
        <v>STAR</v>
      </c>
    </row>
    <row r="118" spans="1:27"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IF(I118&gt;0,(TEXT(I118,"yyyymmdd")&amp;$S$2&amp;A118&amp;$S$2&amp;B118&amp;$Q$2),"")</f>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69" t="str">
        <f>Q118&amp;IF(R118&lt;&gt;"",$P$2,"")&amp;R118</f>
        <v>EDC</v>
      </c>
      <c r="N118" s="339" t="str" cm="1">
        <f t="array" ref="N118">IF(AND(
    SUMPRODUCT(
        (IM!$F$2:$F$2000=A118) *
        ISNUMBER(SEARCH("HUB", IM!$AC$2:$AC$2000)) *
        (IM!$X$2:$X$2000&gt;=$A$1) *
        (IM!$X$2:$X$2000&lt;=$B$1)*(W118="HUB")
    ) &gt; 0
), "HUB", "")</f>
        <v/>
      </c>
      <c r="O118" s="371" t="str">
        <f>IF(I118="","未到店",
IF(AND(S118&gt;I118, R118="STAR", NOT(AND(G118&lt;&gt;"萊到店 WebPOS", Q118&lt;&gt;"EDC"))), "完工已補裝",
IF(AND(G118&lt;&gt;"萊到店 WebPOS", Q118&lt;&gt;"EDC"), "EDC異常",
IF(AND(W118="HUB", N118=""), "HUB異常",
IF(OR(AND(Z118="STAR", R118="STAR"), AND(Z118&lt;&gt;"STAR", R118="")), "已完工", "STAR異常")
))))</f>
        <v>STAR異常</v>
      </c>
      <c r="P118" s="238" t="str">
        <f>(TEXT(I118,"yyyymmdd"))&amp;$S$2&amp;A118&amp;$S$2&amp;B118&amp;$Q$2</f>
        <v>20250509-2743-新莊豐年店(定保)</v>
      </c>
      <c r="Q118" s="357" t="str" cm="1">
        <f t="array" ref="Q118">IF(AND(SUMPRODUCT((IM!$F$2:$F$2000=A118)*(ISNUMBER(SEARCH("EDC", IM!$AC$2:$AC$2000))))&gt;0), "EDC", "")</f>
        <v>EDC</v>
      </c>
      <c r="R118" s="358" t="str" cm="1">
        <f t="array" ref="R118">IF(AND(SUMPRODUCT((IM!$F$2:$F$2000=A118)*(ISNUMBER(SEARCH("STAR", IM!$AC$2:$AC$2000))))&gt;0), "STAR", "")</f>
        <v/>
      </c>
      <c r="S118" s="359" t="str" cm="1">
        <f t="array" ref="S118">IFERROR(INDEX(IM!$X$2:$X$650, MATCH(1, (IM!$F$2:$F$650=A118) * (ISNUMBER(SEARCH($D$1, IM!$AC$2:$AC$650))), 0)), "")</f>
        <v/>
      </c>
      <c r="T118" s="355">
        <f>IF(AND(X118&lt;&gt;"", Y118&lt;&gt;""), 2, IF(OR(X118&lt;&gt;"", Y118&lt;&gt;""), 1, 0))</f>
        <v>1</v>
      </c>
      <c r="U118" s="355"/>
      <c r="V118" s="373">
        <f>IF(OR(R118="STAR", T118="", U118=""), T118,
"總數：" &amp; T118 &amp; CHAR(10) &amp;
"已維修：" &amp; U118 &amp; CHAR(10) &amp;
"未更換：" &amp; (T118 - U118))</f>
        <v>1</v>
      </c>
      <c r="W118" s="360" t="str">
        <f>IF(VLOOKUP(A118,'0919門市清單主檔'!B:E,4,FALSE)=0,"",VLOOKUP(A118,'0919門市清單主檔'!B:E,4,FALSE))</f>
        <v/>
      </c>
      <c r="Y118" s="5" t="s">
        <v>4264</v>
      </c>
      <c r="Z118" s="5" t="str">
        <f>IF(T118&gt;0,"STAR","")</f>
        <v>STAR</v>
      </c>
    </row>
    <row r="119" spans="1:27"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IF(I119&gt;0,(TEXT(I119,"yyyymmdd")&amp;$S$2&amp;A119&amp;$S$2&amp;B119&amp;$Q$2),"")</f>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69" t="str">
        <f>Q119&amp;IF(R119&lt;&gt;"",$P$2,"")&amp;R119</f>
        <v>EDC</v>
      </c>
      <c r="N119" s="339" t="str" cm="1">
        <f t="array" ref="N119">IF(AND(
    SUMPRODUCT(
        (IM!$F$2:$F$2000=A119) *
        ISNUMBER(SEARCH("HUB", IM!$AC$2:$AC$2000)) *
        (IM!$X$2:$X$2000&gt;=$A$1) *
        (IM!$X$2:$X$2000&lt;=$B$1)*(W119="HUB")
    ) &gt; 0
), "HUB", "")</f>
        <v/>
      </c>
      <c r="O119" s="371" t="str">
        <f>IF(I119="","未到店",
IF(AND(S119&gt;I119, R119="STAR", NOT(AND(G119&lt;&gt;"萊到店 WebPOS", Q119&lt;&gt;"EDC"))), "完工已補裝",
IF(AND(G119&lt;&gt;"萊到店 WebPOS", Q119&lt;&gt;"EDC"), "EDC異常",
IF(AND(W119="HUB", N119=""), "HUB異常",
IF(OR(AND(Z119="STAR", R119="STAR"), AND(Z119&lt;&gt;"STAR", R119="")), "已完工", "STAR異常")
))))</f>
        <v>已完工</v>
      </c>
      <c r="P119" s="238" t="str">
        <f>(TEXT(I119,"yyyymmdd"))&amp;$S$2&amp;A119&amp;$S$2&amp;B119&amp;$Q$2</f>
        <v>20250509-4208-新莊瓊泰店(定保)</v>
      </c>
      <c r="Q119" s="357" t="str" cm="1">
        <f t="array" ref="Q119">IF(AND(SUMPRODUCT((IM!$F$2:$F$2000=A119)*(ISNUMBER(SEARCH("EDC", IM!$AC$2:$AC$2000))))&gt;0), "EDC", "")</f>
        <v>EDC</v>
      </c>
      <c r="R119" s="358" t="str" cm="1">
        <f t="array" ref="R119">IF(AND(SUMPRODUCT((IM!$F$2:$F$2000=A119)*(ISNUMBER(SEARCH("STAR", IM!$AC$2:$AC$2000))))&gt;0), "STAR", "")</f>
        <v/>
      </c>
      <c r="S119" s="359" t="str" cm="1">
        <f t="array" ref="S119">IFERROR(INDEX(IM!$X$2:$X$650, MATCH(1, (IM!$F$2:$F$650=A119) * (ISNUMBER(SEARCH($D$1, IM!$AC$2:$AC$650))), 0)), "")</f>
        <v/>
      </c>
      <c r="T119" s="355">
        <f>IF(AND(X119&lt;&gt;"", Y119&lt;&gt;""), 2, IF(OR(X119&lt;&gt;"", Y119&lt;&gt;""), 1, 0))</f>
        <v>0</v>
      </c>
      <c r="U119" s="355"/>
      <c r="V119" s="373">
        <f>IF(OR(R119="STAR", T119="", U119=""), T119,
"總數：" &amp; T119 &amp; CHAR(10) &amp;
"已維修：" &amp; U119 &amp; CHAR(10) &amp;
"未更換：" &amp; (T119 - U119))</f>
        <v>0</v>
      </c>
      <c r="W119" s="360" t="str">
        <f>IF(VLOOKUP(A119,'0919門市清單主檔'!B:E,4,FALSE)=0,"",VLOOKUP(A119,'0919門市清單主檔'!B:E,4,FALSE))</f>
        <v/>
      </c>
      <c r="Y119" s="5"/>
      <c r="Z119" s="5" t="str">
        <f>IF(T119&gt;0,"STAR","")</f>
        <v/>
      </c>
    </row>
    <row r="120" spans="1:27"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IF(I120&gt;0,(TEXT(I120,"yyyymmdd")&amp;$S$2&amp;A120&amp;$S$2&amp;B120&amp;$Q$2),"")</f>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69" t="str">
        <f>Q120&amp;IF(R120&lt;&gt;"",$P$2,"")&amp;R120</f>
        <v>EDC</v>
      </c>
      <c r="N120" s="339" t="str" cm="1">
        <f t="array" ref="N120">IF(AND(
    SUMPRODUCT(
        (IM!$F$2:$F$2000=A120) *
        ISNUMBER(SEARCH("HUB", IM!$AC$2:$AC$2000)) *
        (IM!$X$2:$X$2000&gt;=$A$1) *
        (IM!$X$2:$X$2000&lt;=$B$1)*(W120="HUB")
    ) &gt; 0
), "HUB", "")</f>
        <v/>
      </c>
      <c r="O120" s="371" t="str">
        <f>IF(I120="","未到店",
IF(AND(S120&gt;I120, R120="STAR", NOT(AND(G120&lt;&gt;"萊到店 WebPOS", Q120&lt;&gt;"EDC"))), "完工已補裝",
IF(AND(G120&lt;&gt;"萊到店 WebPOS", Q120&lt;&gt;"EDC"), "EDC異常",
IF(AND(W120="HUB", N120=""), "HUB異常",
IF(OR(AND(Z120="STAR", R120="STAR"), AND(Z120&lt;&gt;"STAR", R120="")), "已完工", "STAR異常")
))))</f>
        <v>STAR異常</v>
      </c>
      <c r="P120" s="238" t="str">
        <f>(TEXT(I120,"yyyymmdd"))&amp;$S$2&amp;A120&amp;$S$2&amp;B120&amp;$Q$2</f>
        <v>20250509-4210-三重福華店(定保)</v>
      </c>
      <c r="Q120" s="357" t="str" cm="1">
        <f t="array" ref="Q120">IF(AND(SUMPRODUCT((IM!$F$2:$F$2000=A120)*(ISNUMBER(SEARCH("EDC", IM!$AC$2:$AC$2000))))&gt;0), "EDC", "")</f>
        <v>EDC</v>
      </c>
      <c r="R120" s="358" t="str" cm="1">
        <f t="array" ref="R120">IF(AND(SUMPRODUCT((IM!$F$2:$F$2000=A120)*(ISNUMBER(SEARCH("STAR", IM!$AC$2:$AC$2000))))&gt;0), "STAR", "")</f>
        <v/>
      </c>
      <c r="S120" s="359" t="str" cm="1">
        <f t="array" ref="S120">IFERROR(INDEX(IM!$X$2:$X$650, MATCH(1, (IM!$F$2:$F$650=A120) * (ISNUMBER(SEARCH($D$1, IM!$AC$2:$AC$650))), 0)), "")</f>
        <v/>
      </c>
      <c r="T120" s="355">
        <f>IF(AND(X120&lt;&gt;"", Y120&lt;&gt;""), 2, IF(OR(X120&lt;&gt;"", Y120&lt;&gt;""), 1, 0))</f>
        <v>2</v>
      </c>
      <c r="U120" s="355"/>
      <c r="V120" s="373">
        <f>IF(OR(R120="STAR", T120="", U120=""), T120,
"總數：" &amp; T120 &amp; CHAR(10) &amp;
"已維修：" &amp; U120 &amp; CHAR(10) &amp;
"未更換：" &amp; (T120 - U120))</f>
        <v>2</v>
      </c>
      <c r="W120" s="360" t="str">
        <f>IF(VLOOKUP(A120,'0919門市清單主檔'!B:E,4,FALSE)=0,"",VLOOKUP(A120,'0919門市清單主檔'!B:E,4,FALSE))</f>
        <v/>
      </c>
      <c r="X120" s="3" t="s">
        <v>4301</v>
      </c>
      <c r="Y120" s="5" t="s">
        <v>4302</v>
      </c>
      <c r="Z120" s="5" t="str">
        <f>IF(T120&gt;0,"STAR","")</f>
        <v>STAR</v>
      </c>
    </row>
    <row r="121" spans="1:27"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IF(I121&gt;0,(TEXT(I121,"yyyymmdd")&amp;$S$2&amp;A121&amp;$S$2&amp;B121&amp;$Q$2),"")</f>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69" t="str">
        <f>Q121&amp;IF(R121&lt;&gt;"",$P$2,"")&amp;R121</f>
        <v>EDC</v>
      </c>
      <c r="N121" s="339" t="str" cm="1">
        <f t="array" ref="N121">IF(AND(
    SUMPRODUCT(
        (IM!$F$2:$F$2000=A121) *
        ISNUMBER(SEARCH("HUB", IM!$AC$2:$AC$2000)) *
        (IM!$X$2:$X$2000&gt;=$A$1) *
        (IM!$X$2:$X$2000&lt;=$B$1)*(W121="HUB")
    ) &gt; 0
), "HUB", "")</f>
        <v/>
      </c>
      <c r="O121" s="371" t="str">
        <f>IF(I121="","未到店",
IF(AND(S121&gt;I121, R121="STAR", NOT(AND(G121&lt;&gt;"萊到店 WebPOS", Q121&lt;&gt;"EDC"))), "完工已補裝",
IF(AND(G121&lt;&gt;"萊到店 WebPOS", Q121&lt;&gt;"EDC"), "EDC異常",
IF(AND(W121="HUB", N121=""), "HUB異常",
IF(OR(AND(Z121="STAR", R121="STAR"), AND(Z121&lt;&gt;"STAR", R121="")), "已完工", "STAR異常")
))))</f>
        <v>STAR異常</v>
      </c>
      <c r="P121" s="238" t="str">
        <f>(TEXT(I121,"yyyymmdd"))&amp;$S$2&amp;A121&amp;$S$2&amp;B121&amp;$Q$2</f>
        <v>20250509-2109-北縣瓊林南店(定保)</v>
      </c>
      <c r="Q121" s="357" t="str" cm="1">
        <f t="array" ref="Q121">IF(AND(SUMPRODUCT((IM!$F$2:$F$2000=A121)*(ISNUMBER(SEARCH("EDC", IM!$AC$2:$AC$2000))))&gt;0), "EDC", "")</f>
        <v>EDC</v>
      </c>
      <c r="R121" s="358" t="str" cm="1">
        <f t="array" ref="R121">IF(AND(SUMPRODUCT((IM!$F$2:$F$2000=A121)*(ISNUMBER(SEARCH("STAR", IM!$AC$2:$AC$2000))))&gt;0), "STAR", "")</f>
        <v/>
      </c>
      <c r="S121" s="359" t="str" cm="1">
        <f t="array" ref="S121">IFERROR(INDEX(IM!$X$2:$X$650, MATCH(1, (IM!$F$2:$F$650=A121) * (ISNUMBER(SEARCH($D$1, IM!$AC$2:$AC$650))), 0)), "")</f>
        <v/>
      </c>
      <c r="T121" s="355">
        <f>IF(AND(X121&lt;&gt;"", Y121&lt;&gt;""), 2, IF(OR(X121&lt;&gt;"", Y121&lt;&gt;""), 1, 0))</f>
        <v>2</v>
      </c>
      <c r="U121" s="355"/>
      <c r="V121" s="373">
        <f>IF(OR(R121="STAR", T121="", U121=""), T121,
"總數：" &amp; T121 &amp; CHAR(10) &amp;
"已維修：" &amp; U121 &amp; CHAR(10) &amp;
"未更換：" &amp; (T121 - U121))</f>
        <v>2</v>
      </c>
      <c r="W121" s="360" t="str">
        <f>IF(VLOOKUP(A121,'0919門市清單主檔'!B:E,4,FALSE)=0,"",VLOOKUP(A121,'0919門市清單主檔'!B:E,4,FALSE))</f>
        <v/>
      </c>
      <c r="X121" s="3" t="s">
        <v>4259</v>
      </c>
      <c r="Y121" s="5" t="s">
        <v>4260</v>
      </c>
      <c r="Z121" s="5" t="str">
        <f>IF(T121&gt;0,"STAR","")</f>
        <v>STAR</v>
      </c>
    </row>
    <row r="122" spans="1:27"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IF(I122&gt;0,(TEXT(I122,"yyyymmdd")&amp;$S$2&amp;A122&amp;$S$2&amp;B122&amp;$Q$2),"")</f>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69" t="str">
        <f>Q122&amp;IF(R122&lt;&gt;"",$P$2,"")&amp;R122</f>
        <v>EDC</v>
      </c>
      <c r="N122" s="339" t="str" cm="1">
        <f t="array" ref="N122">IF(AND(
    SUMPRODUCT(
        (IM!$F$2:$F$2000=A122) *
        ISNUMBER(SEARCH("HUB", IM!$AC$2:$AC$2000)) *
        (IM!$X$2:$X$2000&gt;=$A$1) *
        (IM!$X$2:$X$2000&lt;=$B$1)*(W122="HUB")
    ) &gt; 0
), "HUB", "")</f>
        <v/>
      </c>
      <c r="O122" s="371" t="str">
        <f>IF(I122="","未到店",
IF(AND(S122&gt;I122, R122="STAR", NOT(AND(G122&lt;&gt;"萊到店 WebPOS", Q122&lt;&gt;"EDC"))), "完工已補裝",
IF(AND(G122&lt;&gt;"萊到店 WebPOS", Q122&lt;&gt;"EDC"), "EDC異常",
IF(AND(W122="HUB", N122=""), "HUB異常",
IF(OR(AND(Z122="STAR", R122="STAR"), AND(Z122&lt;&gt;"STAR", R122="")), "已完工", "STAR異常")
))))</f>
        <v>STAR異常</v>
      </c>
      <c r="P122" s="238" t="str">
        <f>(TEXT(I122,"yyyymmdd"))&amp;$S$2&amp;A122&amp;$S$2&amp;B122&amp;$Q$2</f>
        <v>20250509-4196-三重蝶愛店(定保)</v>
      </c>
      <c r="Q122" s="357" t="str" cm="1">
        <f t="array" ref="Q122">IF(AND(SUMPRODUCT((IM!$F$2:$F$2000=A122)*(ISNUMBER(SEARCH("EDC", IM!$AC$2:$AC$2000))))&gt;0), "EDC", "")</f>
        <v>EDC</v>
      </c>
      <c r="R122" s="358" t="str" cm="1">
        <f t="array" ref="R122">IF(AND(SUMPRODUCT((IM!$F$2:$F$2000=A122)*(ISNUMBER(SEARCH("STAR", IM!$AC$2:$AC$2000))))&gt;0), "STAR", "")</f>
        <v/>
      </c>
      <c r="S122" s="359" t="str" cm="1">
        <f t="array" ref="S122">IFERROR(INDEX(IM!$X$2:$X$650, MATCH(1, (IM!$F$2:$F$650=A122) * (ISNUMBER(SEARCH($D$1, IM!$AC$2:$AC$650))), 0)), "")</f>
        <v/>
      </c>
      <c r="T122" s="355">
        <f>IF(AND(X122&lt;&gt;"", Y122&lt;&gt;""), 2, IF(OR(X122&lt;&gt;"", Y122&lt;&gt;""), 1, 0))</f>
        <v>2</v>
      </c>
      <c r="U122" s="355"/>
      <c r="V122" s="373">
        <f>IF(OR(R122="STAR", T122="", U122=""), T122,
"總數：" &amp; T122 &amp; CHAR(10) &amp;
"已維修：" &amp; U122 &amp; CHAR(10) &amp;
"未更換：" &amp; (T122 - U122))</f>
        <v>2</v>
      </c>
      <c r="W122" s="360" t="str">
        <f>IF(VLOOKUP(A122,'0919門市清單主檔'!B:E,4,FALSE)=0,"",VLOOKUP(A122,'0919門市清單主檔'!B:E,4,FALSE))</f>
        <v/>
      </c>
      <c r="X122" s="3" t="s">
        <v>4299</v>
      </c>
      <c r="Y122" s="5" t="s">
        <v>4300</v>
      </c>
      <c r="Z122" s="5" t="str">
        <f>IF(T122&gt;0,"STAR","")</f>
        <v>STAR</v>
      </c>
    </row>
    <row r="123" spans="1:27" ht="15.75" customHeight="1">
      <c r="A123" s="174">
        <v>5291</v>
      </c>
      <c r="B123" s="175" t="str">
        <f>VLOOKUP(A123,'0919門市清單主檔'!B:C,2,FALSE)</f>
        <v>新莊國家置地</v>
      </c>
      <c r="C123" s="176" t="str">
        <f>VLOOKUP($A123,'0919門市清單主檔'!B:V,20,FALSE)</f>
        <v>新北市</v>
      </c>
      <c r="D123" s="177" t="str">
        <f>VLOOKUP($A123,'0919門市清單主檔'!B:V,21,FALSE)</f>
        <v>新莊區</v>
      </c>
      <c r="E123" s="178" t="str">
        <f>VLOOKUP(D123,區域表!A:B,2,FALSE)</f>
        <v>湯家瑋</v>
      </c>
      <c r="F123" s="179" t="str">
        <f>IFERROR(IF(VLOOKUP(A123,門市狀態!A:D,4,FALSE)=0,"",VLOOKUP(A123,門市狀態!A:D,4,FALSE)),"")</f>
        <v/>
      </c>
      <c r="G123" s="180"/>
      <c r="H123" s="181" t="str">
        <f>IF(I123&gt;0,(TEXT(I123,"yyyymmdd")&amp;$S$2&amp;A123&amp;$S$2&amp;B123&amp;$Q$2),"")</f>
        <v>20250512-5291-新莊國家置地(定保)</v>
      </c>
      <c r="I123" s="184">
        <v>45789.472222222219</v>
      </c>
      <c r="J123" s="183" cm="1">
        <f t="array" ref="J123">IFERROR(INDEX(IM!$X$2:$X$650, MATCH(1, (IM!$F$2:$F$650=A123) * (ISNUMBER(SEARCH($C$1, IM!$AC$2:$AC$650))), 0)), "")</f>
        <v>45789.472222222219</v>
      </c>
      <c r="K123" s="154">
        <f>COUNTIFS(IM!F:F,A123,IM!AD:AD,"O",IM!X:X,"&gt;="&amp;$A$1,IM!X:X,"&lt;="&amp;$B$1)</f>
        <v>1</v>
      </c>
      <c r="L123" s="220" t="str" cm="1">
        <f t="array" ref="L123">IF(K123&gt;0,IFERROR(HYPERLINK("#'IM'!AC"&amp;MATCH(1,(IM!$F$1:$F$7700=A123)*(ISNUMBER(SEARCH("PMQ2",IM!$AC$1:$AC$7700))),0),"檢核"),"未登錄"),"")</f>
        <v>檢核</v>
      </c>
      <c r="M123" s="369" t="str">
        <f>Q123&amp;IF(R123&lt;&gt;"",$P$2,"")&amp;R123</f>
        <v>EDC</v>
      </c>
      <c r="N123" s="339" t="str" cm="1">
        <f t="array" ref="N123">IF(AND(
    SUMPRODUCT(
        (IM!$F$2:$F$2000=A123) *
        ISNUMBER(SEARCH("HUB", IM!$AC$2:$AC$2000)) *
        (IM!$X$2:$X$2000&gt;=$A$1) *
        (IM!$X$2:$X$2000&lt;=$B$1)*(W123="HUB")
    ) &gt; 0
), "HUB", "")</f>
        <v>HUB</v>
      </c>
      <c r="O123" s="371" t="str">
        <f>IF(I123="","未到店",
IF(AND(S123&gt;I123, R123="STAR", NOT(AND(G123&lt;&gt;"萊到店 WebPOS", Q123&lt;&gt;"EDC"))), "完工已補裝",
IF(AND(G123&lt;&gt;"萊到店 WebPOS", Q123&lt;&gt;"EDC"), "EDC異常",
IF(AND(W123="HUB", N123=""), "HUB異常",
IF(OR(AND(Z123="STAR", R123="STAR"), AND(Z123&lt;&gt;"STAR", R123="")), "已完工", "STAR異常")
))))</f>
        <v>已完工</v>
      </c>
      <c r="P123" s="238" t="str">
        <f>(TEXT(I123,"yyyymmdd"))&amp;$S$2&amp;A123&amp;$S$2&amp;B123&amp;$Q$2</f>
        <v>20250512-5291-新莊國家置地(定保)</v>
      </c>
      <c r="Q123" s="357" t="str" cm="1">
        <f t="array" ref="Q123">IF(AND(SUMPRODUCT((IM!$F$2:$F$2000=A123)*(ISNUMBER(SEARCH("EDC", IM!$AC$2:$AC$2000))))&gt;0), "EDC", "")</f>
        <v>EDC</v>
      </c>
      <c r="R123" s="358" t="str" cm="1">
        <f t="array" ref="R123">IF(AND(SUMPRODUCT((IM!$F$2:$F$2000=A123)*(ISNUMBER(SEARCH("STAR", IM!$AC$2:$AC$2000))))&gt;0), "STAR", "")</f>
        <v/>
      </c>
      <c r="S123" s="359" t="str" cm="1">
        <f t="array" ref="S123">IFERROR(INDEX(IM!$X$2:$X$650, MATCH(1, (IM!$F$2:$F$650=A123) * (ISNUMBER(SEARCH($D$1, IM!$AC$2:$AC$650))), 0)), "")</f>
        <v/>
      </c>
      <c r="T123" s="355">
        <f>IF(AND(X123&lt;&gt;"", Y123&lt;&gt;""), 2, IF(OR(X123&lt;&gt;"", Y123&lt;&gt;""), 1, 0))</f>
        <v>0</v>
      </c>
      <c r="U123" s="355"/>
      <c r="V123" s="373">
        <f>IF(OR(R123="STAR", T123="", U123=""), T123,
"總數：" &amp; T123 &amp; CHAR(10) &amp;
"已維修：" &amp; U123 &amp; CHAR(10) &amp;
"未更換：" &amp; (T123 - U123))</f>
        <v>0</v>
      </c>
      <c r="W123" s="360" t="str">
        <f>IF(VLOOKUP(A123,'0919門市清單主檔'!B:E,4,FALSE)=0,"",VLOOKUP(A123,'0919門市清單主檔'!B:E,4,FALSE))</f>
        <v>HUB</v>
      </c>
      <c r="X123" s="245"/>
      <c r="Y123" s="246"/>
      <c r="Z123" s="246" t="str">
        <f>IF(T123&gt;0,"STAR","")</f>
        <v/>
      </c>
      <c r="AA123" s="246"/>
    </row>
    <row r="124" spans="1:27" ht="15.75" customHeight="1">
      <c r="A124" s="174">
        <v>2749</v>
      </c>
      <c r="B124" s="175" t="str">
        <f>VLOOKUP(A124,'0919門市清單主檔'!B:C,2,FALSE)</f>
        <v>淡水灰瑤子</v>
      </c>
      <c r="C124" s="176" t="str">
        <f>VLOOKUP($A124,'0919門市清單主檔'!B:V,20,FALSE)</f>
        <v>新北市</v>
      </c>
      <c r="D124" s="177" t="str">
        <f>VLOOKUP($A124,'0919門市清單主檔'!B:V,21,FALSE)</f>
        <v>淡水區</v>
      </c>
      <c r="E124" s="178" t="str">
        <f>VLOOKUP(D124,區域表!A:B,2,FALSE)</f>
        <v>吳宗鴻</v>
      </c>
      <c r="F124" s="179" t="str">
        <f>IFERROR(IF(VLOOKUP(A124,門市狀態!A:D,4,FALSE)=0,"",VLOOKUP(A124,門市狀態!A:D,4,FALSE)),"")</f>
        <v/>
      </c>
      <c r="G124" s="180" t="s">
        <v>1742</v>
      </c>
      <c r="H124" s="181" t="str">
        <f>IF(I124&gt;0,(TEXT(I124,"yyyymmdd")&amp;$S$2&amp;A124&amp;$S$2&amp;B124&amp;$Q$2),"")</f>
        <v>20250512-2749-淡水灰瑤子(定保)</v>
      </c>
      <c r="I124" s="184">
        <v>45789.555555555555</v>
      </c>
      <c r="J124" s="183" cm="1">
        <f t="array" ref="J124">IFERROR(INDEX(IM!$X$2:$X$650, MATCH(1, (IM!$F$2:$F$650=A124) * (ISNUMBER(SEARCH($C$1, IM!$AC$2:$AC$650))), 0)), "")</f>
        <v>45789.555555555555</v>
      </c>
      <c r="K124" s="154">
        <f>COUNTIFS(IM!F:F,A124,IM!AD:AD,"O",IM!X:X,"&gt;="&amp;$A$1,IM!X:X,"&lt;="&amp;$B$1)</f>
        <v>1</v>
      </c>
      <c r="L124" s="220" t="str" cm="1">
        <f t="array" ref="L124">IF(K124&gt;0,IFERROR(HYPERLINK("#'IM'!AC"&amp;MATCH(1,(IM!$F$1:$F$7700=A124)*(ISNUMBER(SEARCH("PMQ2",IM!$AC$1:$AC$7700))),0),"檢核"),"未登錄"),"")</f>
        <v>檢核</v>
      </c>
      <c r="M124" s="369" t="str">
        <f>Q124&amp;IF(R124&lt;&gt;"",$P$2,"")&amp;R124</f>
        <v>EDC</v>
      </c>
      <c r="N124" s="339" t="str" cm="1">
        <f t="array" ref="N124">IF(AND(
    SUMPRODUCT(
        (IM!$F$2:$F$2000=A124) *
        ISNUMBER(SEARCH("HUB", IM!$AC$2:$AC$2000)) *
        (IM!$X$2:$X$2000&gt;=$A$1) *
        (IM!$X$2:$X$2000&lt;=$B$1)*(W124="HUB")
    ) &gt; 0
), "HUB", "")</f>
        <v/>
      </c>
      <c r="O124" s="371" t="str">
        <f>IF(I124="","未到店",
IF(AND(S124&gt;I124, R124="STAR", NOT(AND(G124&lt;&gt;"萊到店 WebPOS", Q124&lt;&gt;"EDC"))), "完工已補裝",
IF(AND(G124&lt;&gt;"萊到店 WebPOS", Q124&lt;&gt;"EDC"), "EDC異常",
IF(AND(W124="HUB", N124=""), "HUB異常",
IF(OR(AND(Z124="STAR", R124="STAR"), AND(Z124&lt;&gt;"STAR", R124="")), "已完工", "STAR異常")
))))</f>
        <v>STAR異常</v>
      </c>
      <c r="P124" s="238" t="str">
        <f>(TEXT(I124,"yyyymmdd"))&amp;$S$2&amp;A124&amp;$S$2&amp;B124&amp;$Q$2</f>
        <v>20250512-2749-淡水灰瑤子(定保)</v>
      </c>
      <c r="Q124" s="357" t="str" cm="1">
        <f t="array" ref="Q124">IF(AND(SUMPRODUCT((IM!$F$2:$F$2000=A124)*(ISNUMBER(SEARCH("EDC", IM!$AC$2:$AC$2000))))&gt;0), "EDC", "")</f>
        <v>EDC</v>
      </c>
      <c r="R124" s="358" t="str" cm="1">
        <f t="array" ref="R124">IF(AND(SUMPRODUCT((IM!$F$2:$F$2000=A124)*(ISNUMBER(SEARCH("STAR", IM!$AC$2:$AC$2000))))&gt;0), "STAR", "")</f>
        <v/>
      </c>
      <c r="S124" s="359" t="str" cm="1">
        <f t="array" ref="S124">IFERROR(INDEX(IM!$X$2:$X$650, MATCH(1, (IM!$F$2:$F$650=A124) * (ISNUMBER(SEARCH($D$1, IM!$AC$2:$AC$650))), 0)), "")</f>
        <v/>
      </c>
      <c r="T124" s="355">
        <f>IF(AND(X124&lt;&gt;"", Y124&lt;&gt;""), 2, IF(OR(X124&lt;&gt;"", Y124&lt;&gt;""), 1, 0))</f>
        <v>2</v>
      </c>
      <c r="U124" s="355"/>
      <c r="V124" s="373">
        <f>IF(OR(R124="STAR", T124="", U124=""), T124,
"總數：" &amp; T124 &amp; CHAR(10) &amp;
"已維修：" &amp; U124 &amp; CHAR(10) &amp;
"未更換：" &amp; (T124 - U124))</f>
        <v>2</v>
      </c>
      <c r="W124" s="360" t="str">
        <f>IF(VLOOKUP(A124,'0919門市清單主檔'!B:E,4,FALSE)=0,"",VLOOKUP(A124,'0919門市清單主檔'!B:E,4,FALSE))</f>
        <v/>
      </c>
      <c r="X124" s="3" t="s">
        <v>4249</v>
      </c>
      <c r="Y124" s="5" t="s">
        <v>4250</v>
      </c>
      <c r="Z124" s="5" t="str">
        <f>IF(T124&gt;0,"STAR","")</f>
        <v>STAR</v>
      </c>
    </row>
    <row r="125" spans="1:27" ht="15.75" customHeight="1">
      <c r="A125" s="174">
        <v>4511</v>
      </c>
      <c r="B125" s="175" t="str">
        <f>VLOOKUP(A125,'0919門市清單主檔'!B:C,2,FALSE)</f>
        <v>淡水屯山店</v>
      </c>
      <c r="C125" s="176" t="str">
        <f>VLOOKUP($A125,'0919門市清單主檔'!B:V,20,FALSE)</f>
        <v>新北市</v>
      </c>
      <c r="D125" s="177" t="str">
        <f>VLOOKUP($A125,'0919門市清單主檔'!B:V,21,FALSE)</f>
        <v>淡水區</v>
      </c>
      <c r="E125" s="178" t="str">
        <f>VLOOKUP(D125,區域表!A:B,2,FALSE)</f>
        <v>吳宗鴻</v>
      </c>
      <c r="F125" s="179" t="str">
        <f>IFERROR(IF(VLOOKUP(A125,門市狀態!A:D,4,FALSE)=0,"",VLOOKUP(A125,門市狀態!A:D,4,FALSE)),"")</f>
        <v/>
      </c>
      <c r="G125" s="180" t="s">
        <v>1742</v>
      </c>
      <c r="H125" s="181" t="str">
        <f>IF(I125&gt;0,(TEXT(I125,"yyyymmdd")&amp;$S$2&amp;A125&amp;$S$2&amp;B125&amp;$Q$2),"")</f>
        <v>20250512-4511-淡水屯山店(定保)</v>
      </c>
      <c r="I125" s="184">
        <v>45789.583333333336</v>
      </c>
      <c r="J125" s="183" cm="1">
        <f t="array" ref="J125">IFERROR(INDEX(IM!$X$2:$X$650, MATCH(1, (IM!$F$2:$F$650=A125) * (ISNUMBER(SEARCH($C$1, IM!$AC$2:$AC$650))), 0)), "")</f>
        <v>45789.583333333336</v>
      </c>
      <c r="K125" s="154">
        <f>COUNTIFS(IM!F:F,A125,IM!AD:AD,"O",IM!X:X,"&gt;="&amp;$A$1,IM!X:X,"&lt;="&amp;$B$1)</f>
        <v>1</v>
      </c>
      <c r="L125" s="220" t="str" cm="1">
        <f t="array" ref="L125">IF(K125&gt;0,IFERROR(HYPERLINK("#'IM'!AC"&amp;MATCH(1,(IM!$F$1:$F$7700=A125)*(ISNUMBER(SEARCH("PMQ2",IM!$AC$1:$AC$7700))),0),"檢核"),"未登錄"),"")</f>
        <v>檢核</v>
      </c>
      <c r="M125" s="369" t="str">
        <f>Q125&amp;IF(R125&lt;&gt;"",$P$2,"")&amp;R125</f>
        <v>EDC</v>
      </c>
      <c r="N125" s="339" t="str" cm="1">
        <f t="array" ref="N125">IF(AND(
    SUMPRODUCT(
        (IM!$F$2:$F$2000=A125) *
        ISNUMBER(SEARCH("HUB", IM!$AC$2:$AC$2000)) *
        (IM!$X$2:$X$2000&gt;=$A$1) *
        (IM!$X$2:$X$2000&lt;=$B$1)*(W125="HUB")
    ) &gt; 0
), "HUB", "")</f>
        <v/>
      </c>
      <c r="O125" s="371" t="str">
        <f>IF(I125="","未到店",
IF(AND(S125&gt;I125, R125="STAR", NOT(AND(G125&lt;&gt;"萊到店 WebPOS", Q125&lt;&gt;"EDC"))), "完工已補裝",
IF(AND(G125&lt;&gt;"萊到店 WebPOS", Q125&lt;&gt;"EDC"), "EDC異常",
IF(AND(W125="HUB", N125=""), "HUB異常",
IF(OR(AND(Z125="STAR", R125="STAR"), AND(Z125&lt;&gt;"STAR", R125="")), "已完工", "STAR異常")
))))</f>
        <v>已完工</v>
      </c>
      <c r="P125" s="238" t="str">
        <f>(TEXT(I125,"yyyymmdd"))&amp;$S$2&amp;A125&amp;$S$2&amp;B125&amp;$Q$2</f>
        <v>20250512-4511-淡水屯山店(定保)</v>
      </c>
      <c r="Q125" s="357" t="str" cm="1">
        <f t="array" ref="Q125">IF(AND(SUMPRODUCT((IM!$F$2:$F$2000=A125)*(ISNUMBER(SEARCH("EDC", IM!$AC$2:$AC$2000))))&gt;0), "EDC", "")</f>
        <v>EDC</v>
      </c>
      <c r="R125" s="358" t="str" cm="1">
        <f t="array" ref="R125">IF(AND(SUMPRODUCT((IM!$F$2:$F$2000=A125)*(ISNUMBER(SEARCH("STAR", IM!$AC$2:$AC$2000))))&gt;0), "STAR", "")</f>
        <v/>
      </c>
      <c r="S125" s="359" t="str" cm="1">
        <f t="array" ref="S125">IFERROR(INDEX(IM!$X$2:$X$650, MATCH(1, (IM!$F$2:$F$650=A125) * (ISNUMBER(SEARCH($D$1, IM!$AC$2:$AC$650))), 0)), "")</f>
        <v/>
      </c>
      <c r="T125" s="355">
        <f>IF(AND(X125&lt;&gt;"", Y125&lt;&gt;""), 2, IF(OR(X125&lt;&gt;"", Y125&lt;&gt;""), 1, 0))</f>
        <v>0</v>
      </c>
      <c r="U125" s="355"/>
      <c r="V125" s="373">
        <f>IF(OR(R125="STAR", T125="", U125=""), T125,
"總數：" &amp; T125 &amp; CHAR(10) &amp;
"已維修：" &amp; U125 &amp; CHAR(10) &amp;
"未更換：" &amp; (T125 - U125))</f>
        <v>0</v>
      </c>
      <c r="W125" s="360" t="str">
        <f>IF(VLOOKUP(A125,'0919門市清單主檔'!B:E,4,FALSE)=0,"",VLOOKUP(A125,'0919門市清單主檔'!B:E,4,FALSE))</f>
        <v/>
      </c>
      <c r="Y125" s="5"/>
      <c r="Z125" s="5" t="str">
        <f>IF(T125&gt;0,"STAR","")</f>
        <v/>
      </c>
    </row>
    <row r="126" spans="1:27" ht="15.75" customHeight="1">
      <c r="A126" s="174">
        <v>2390</v>
      </c>
      <c r="B126" s="175" t="str">
        <f>VLOOKUP(A126,'0919門市清單主檔'!B:C,2,FALSE)</f>
        <v>五股產業園區</v>
      </c>
      <c r="C126" s="176" t="str">
        <f>VLOOKUP($A126,'0919門市清單主檔'!B:V,20,FALSE)</f>
        <v>新北市</v>
      </c>
      <c r="D126" s="177" t="str">
        <f>VLOOKUP($A126,'0919門市清單主檔'!B:V,21,FALSE)</f>
        <v>五股區</v>
      </c>
      <c r="E126" s="178" t="str">
        <f>VLOOKUP(D126,區域表!A:B,2,FALSE)</f>
        <v>湯家瑋</v>
      </c>
      <c r="F126" s="179" t="str">
        <f>IFERROR(IF(VLOOKUP(A126,門市狀態!A:D,4,FALSE)=0,"",VLOOKUP(A126,門市狀態!A:D,4,FALSE)),"")</f>
        <v/>
      </c>
      <c r="G126" s="180" t="s">
        <v>1742</v>
      </c>
      <c r="H126" s="181" t="str">
        <f>IF(I126&gt;0,(TEXT(I126,"yyyymmdd")&amp;$S$2&amp;A126&amp;$S$2&amp;B126&amp;$Q$2),"")</f>
        <v>20250512-2390-五股產業園區(定保)</v>
      </c>
      <c r="I126" s="184">
        <v>45789.604166666664</v>
      </c>
      <c r="J126" s="183" cm="1">
        <f t="array" ref="J126">IFERROR(INDEX(IM!$X$2:$X$650, MATCH(1, (IM!$F$2:$F$650=A126) * (ISNUMBER(SEARCH($C$1, IM!$AC$2:$AC$650))), 0)), "")</f>
        <v>45789.604166666664</v>
      </c>
      <c r="K126" s="154">
        <f>COUNTIFS(IM!F:F,A126,IM!AD:AD,"O",IM!X:X,"&gt;="&amp;$A$1,IM!X:X,"&lt;="&amp;$B$1)</f>
        <v>1</v>
      </c>
      <c r="L126" s="220" t="str" cm="1">
        <f t="array" ref="L126">IF(K126&gt;0,IFERROR(HYPERLINK("#'IM'!AC"&amp;MATCH(1,(IM!$F$1:$F$7700=A126)*(ISNUMBER(SEARCH("PMQ2",IM!$AC$1:$AC$7700))),0),"檢核"),"未登錄"),"")</f>
        <v>檢核</v>
      </c>
      <c r="M126" s="369" t="str">
        <f>Q126&amp;IF(R126&lt;&gt;"",$P$2,"")&amp;R126</f>
        <v>EDC</v>
      </c>
      <c r="N126" s="339" t="str" cm="1">
        <f t="array" ref="N126">IF(AND(
    SUMPRODUCT(
        (IM!$F$2:$F$2000=A126) *
        ISNUMBER(SEARCH("HUB", IM!$AC$2:$AC$2000)) *
        (IM!$X$2:$X$2000&gt;=$A$1) *
        (IM!$X$2:$X$2000&lt;=$B$1)*(W126="HUB")
    ) &gt; 0
), "HUB", "")</f>
        <v/>
      </c>
      <c r="O126" s="371" t="str">
        <f>IF(I126="","未到店",
IF(AND(S126&gt;I126, R126="STAR", NOT(AND(G126&lt;&gt;"萊到店 WebPOS", Q126&lt;&gt;"EDC"))), "完工已補裝",
IF(AND(G126&lt;&gt;"萊到店 WebPOS", Q126&lt;&gt;"EDC"), "EDC異常",
IF(AND(W126="HUB", N126=""), "HUB異常",
IF(OR(AND(Z126="STAR", R126="STAR"), AND(Z126&lt;&gt;"STAR", R126="")), "已完工", "STAR異常")
))))</f>
        <v>STAR異常</v>
      </c>
      <c r="P126" s="238" t="str">
        <f>(TEXT(I126,"yyyymmdd"))&amp;$S$2&amp;A126&amp;$S$2&amp;B126&amp;$Q$2</f>
        <v>20250512-2390-五股產業園區(定保)</v>
      </c>
      <c r="Q126" s="357" t="str" cm="1">
        <f t="array" ref="Q126">IF(AND(SUMPRODUCT((IM!$F$2:$F$2000=A126)*(ISNUMBER(SEARCH("EDC", IM!$AC$2:$AC$2000))))&gt;0), "EDC", "")</f>
        <v>EDC</v>
      </c>
      <c r="R126" s="358" t="str" cm="1">
        <f t="array" ref="R126">IF(AND(SUMPRODUCT((IM!$F$2:$F$2000=A126)*(ISNUMBER(SEARCH("STAR", IM!$AC$2:$AC$2000))))&gt;0), "STAR", "")</f>
        <v/>
      </c>
      <c r="S126" s="359" t="str" cm="1">
        <f t="array" ref="S126">IFERROR(INDEX(IM!$X$2:$X$650, MATCH(1, (IM!$F$2:$F$650=A126) * (ISNUMBER(SEARCH($D$1, IM!$AC$2:$AC$650))), 0)), "")</f>
        <v/>
      </c>
      <c r="T126" s="355">
        <f>IF(AND(X126&lt;&gt;"", Y126&lt;&gt;""), 2, IF(OR(X126&lt;&gt;"", Y126&lt;&gt;""), 1, 0))</f>
        <v>1</v>
      </c>
      <c r="U126" s="355"/>
      <c r="V126" s="373">
        <f>IF(OR(R126="STAR", T126="", U126=""), T126,
"總數：" &amp; T126 &amp; CHAR(10) &amp;
"已維修：" &amp; U126 &amp; CHAR(10) &amp;
"未更換：" &amp; (T126 - U126))</f>
        <v>1</v>
      </c>
      <c r="W126" s="360" t="str">
        <f>IF(VLOOKUP(A126,'0919門市清單主檔'!B:E,4,FALSE)=0,"",VLOOKUP(A126,'0919門市清單主檔'!B:E,4,FALSE))</f>
        <v/>
      </c>
      <c r="Y126" s="5" t="s">
        <v>4209</v>
      </c>
      <c r="Z126" s="5" t="str">
        <f>IF(T126&gt;0,"STAR","")</f>
        <v>STAR</v>
      </c>
    </row>
    <row r="127" spans="1:27" ht="15.75" customHeight="1">
      <c r="A127" s="174">
        <v>2237</v>
      </c>
      <c r="B127" s="175" t="str">
        <f>VLOOKUP(A127,'0919門市清單主檔'!B:C,2,FALSE)</f>
        <v>北縣芝蘭店</v>
      </c>
      <c r="C127" s="176" t="str">
        <f>VLOOKUP($A127,'0919門市清單主檔'!B:V,20,FALSE)</f>
        <v>新北市</v>
      </c>
      <c r="D127" s="177" t="str">
        <f>VLOOKUP($A127,'0919門市清單主檔'!B:V,21,FALSE)</f>
        <v>三芝區</v>
      </c>
      <c r="E127" s="178" t="str">
        <f>VLOOKUP(D127,區域表!A:B,2,FALSE)</f>
        <v>吳宗鴻</v>
      </c>
      <c r="F127" s="179" t="str">
        <f>IFERROR(IF(VLOOKUP(A127,門市狀態!A:D,4,FALSE)=0,"",VLOOKUP(A127,門市狀態!A:D,4,FALSE)),"")</f>
        <v/>
      </c>
      <c r="G127" s="180" t="s">
        <v>1742</v>
      </c>
      <c r="H127" s="181" t="str">
        <f>IF(I127&gt;0,(TEXT(I127,"yyyymmdd")&amp;$S$2&amp;A127&amp;$S$2&amp;B127&amp;$Q$2),"")</f>
        <v>20250512-2237-北縣芝蘭店(定保)</v>
      </c>
      <c r="I127" s="184">
        <v>45789.621527777781</v>
      </c>
      <c r="J127" s="183" cm="1">
        <f t="array" ref="J127">IFERROR(INDEX(IM!$X$2:$X$650, MATCH(1, (IM!$F$2:$F$650=A127) * (ISNUMBER(SEARCH($C$1, IM!$AC$2:$AC$650))), 0)), "")</f>
        <v>45789.621527777781</v>
      </c>
      <c r="K127" s="154">
        <f>COUNTIFS(IM!F:F,A127,IM!AD:AD,"O",IM!X:X,"&gt;="&amp;$A$1,IM!X:X,"&lt;="&amp;$B$1)</f>
        <v>1</v>
      </c>
      <c r="L127" s="220" t="str" cm="1">
        <f t="array" ref="L127">IF(K127&gt;0,IFERROR(HYPERLINK("#'IM'!AC"&amp;MATCH(1,(IM!$F$1:$F$7700=A127)*(ISNUMBER(SEARCH("PMQ2",IM!$AC$1:$AC$7700))),0),"檢核"),"未登錄"),"")</f>
        <v>檢核</v>
      </c>
      <c r="M127" s="369" t="str">
        <f>Q127&amp;IF(R127&lt;&gt;"",$P$2,"")&amp;R127</f>
        <v>EDC</v>
      </c>
      <c r="N127" s="339" t="str" cm="1">
        <f t="array" ref="N127">IF(AND(
    SUMPRODUCT(
        (IM!$F$2:$F$2000=A127) *
        ISNUMBER(SEARCH("HUB", IM!$AC$2:$AC$2000)) *
        (IM!$X$2:$X$2000&gt;=$A$1) *
        (IM!$X$2:$X$2000&lt;=$B$1)*(W127="HUB")
    ) &gt; 0
), "HUB", "")</f>
        <v/>
      </c>
      <c r="O127" s="371" t="str">
        <f>IF(I127="","未到店",
IF(AND(S127&gt;I127, R127="STAR", NOT(AND(G127&lt;&gt;"萊到店 WebPOS", Q127&lt;&gt;"EDC"))), "完工已補裝",
IF(AND(G127&lt;&gt;"萊到店 WebPOS", Q127&lt;&gt;"EDC"), "EDC異常",
IF(AND(W127="HUB", N127=""), "HUB異常",
IF(OR(AND(Z127="STAR", R127="STAR"), AND(Z127&lt;&gt;"STAR", R127="")), "已完工", "STAR異常")
))))</f>
        <v>STAR異常</v>
      </c>
      <c r="P127" s="238" t="str">
        <f>(TEXT(I127,"yyyymmdd"))&amp;$S$2&amp;A127&amp;$S$2&amp;B127&amp;$Q$2</f>
        <v>20250512-2237-北縣芝蘭店(定保)</v>
      </c>
      <c r="Q127" s="357" t="str" cm="1">
        <f t="array" ref="Q127">IF(AND(SUMPRODUCT((IM!$F$2:$F$2000=A127)*(ISNUMBER(SEARCH("EDC", IM!$AC$2:$AC$2000))))&gt;0), "EDC", "")</f>
        <v>EDC</v>
      </c>
      <c r="R127" s="358" t="str" cm="1">
        <f t="array" ref="R127">IF(AND(SUMPRODUCT((IM!$F$2:$F$2000=A127)*(ISNUMBER(SEARCH("STAR", IM!$AC$2:$AC$2000))))&gt;0), "STAR", "")</f>
        <v/>
      </c>
      <c r="S127" s="359" t="str" cm="1">
        <f t="array" ref="S127">IFERROR(INDEX(IM!$X$2:$X$650, MATCH(1, (IM!$F$2:$F$650=A127) * (ISNUMBER(SEARCH($D$1, IM!$AC$2:$AC$650))), 0)), "")</f>
        <v/>
      </c>
      <c r="T127" s="355">
        <f>IF(AND(X127&lt;&gt;"", Y127&lt;&gt;""), 2, IF(OR(X127&lt;&gt;"", Y127&lt;&gt;""), 1, 0))</f>
        <v>2</v>
      </c>
      <c r="U127" s="355"/>
      <c r="V127" s="373">
        <f>IF(OR(R127="STAR", T127="", U127=""), T127,
"總數：" &amp; T127 &amp; CHAR(10) &amp;
"已維修：" &amp; U127 &amp; CHAR(10) &amp;
"未更換：" &amp; (T127 - U127))</f>
        <v>2</v>
      </c>
      <c r="W127" s="360" t="str">
        <f>IF(VLOOKUP(A127,'0919門市清單主檔'!B:E,4,FALSE)=0,"",VLOOKUP(A127,'0919門市清單主檔'!B:E,4,FALSE))</f>
        <v/>
      </c>
      <c r="X127" s="3" t="s">
        <v>4251</v>
      </c>
      <c r="Y127" s="5" t="s">
        <v>4252</v>
      </c>
      <c r="Z127" s="5" t="str">
        <f>IF(T127&gt;0,"STAR","")</f>
        <v>STAR</v>
      </c>
    </row>
    <row r="128" spans="1:27" ht="15.75" customHeight="1">
      <c r="A128" s="174">
        <v>2691</v>
      </c>
      <c r="B128" s="175" t="str">
        <f>VLOOKUP(A128,'0919門市清單主檔'!B:C,2,FALSE)</f>
        <v>五股興珍店</v>
      </c>
      <c r="C128" s="176" t="str">
        <f>VLOOKUP($A128,'0919門市清單主檔'!B:V,20,FALSE)</f>
        <v>新北市</v>
      </c>
      <c r="D128" s="177" t="str">
        <f>VLOOKUP($A128,'0919門市清單主檔'!B:V,21,FALSE)</f>
        <v>五股區</v>
      </c>
      <c r="E128" s="178" t="str">
        <f>VLOOKUP(D128,區域表!A:B,2,FALSE)</f>
        <v>湯家瑋</v>
      </c>
      <c r="F128" s="179" t="str">
        <f>IFERROR(IF(VLOOKUP(A128,門市狀態!A:D,4,FALSE)=0,"",VLOOKUP(A128,門市狀態!A:D,4,FALSE)),"")</f>
        <v/>
      </c>
      <c r="G128" s="180" t="s">
        <v>1742</v>
      </c>
      <c r="H128" s="181" t="str">
        <f>IF(I128&gt;0,(TEXT(I128,"yyyymmdd")&amp;$S$2&amp;A128&amp;$S$2&amp;B128&amp;$Q$2),"")</f>
        <v>20250512-2691-五股興珍店(定保)</v>
      </c>
      <c r="I128" s="184">
        <v>45789.625</v>
      </c>
      <c r="J128" s="183" cm="1">
        <f t="array" ref="J128">IFERROR(INDEX(IM!$X$2:$X$650, MATCH(1, (IM!$F$2:$F$650=A128) * (ISNUMBER(SEARCH($C$1, IM!$AC$2:$AC$650))), 0)), "")</f>
        <v>45789.625</v>
      </c>
      <c r="K128" s="154">
        <f>COUNTIFS(IM!F:F,A128,IM!AD:AD,"O",IM!X:X,"&gt;="&amp;$A$1,IM!X:X,"&lt;="&amp;$B$1)</f>
        <v>1</v>
      </c>
      <c r="L128" s="220" t="str" cm="1">
        <f t="array" ref="L128">IF(K128&gt;0,IFERROR(HYPERLINK("#'IM'!AC"&amp;MATCH(1,(IM!$F$1:$F$7700=A128)*(ISNUMBER(SEARCH("PMQ2",IM!$AC$1:$AC$7700))),0),"檢核"),"未登錄"),"")</f>
        <v>檢核</v>
      </c>
      <c r="M128" s="369" t="str">
        <f>Q128&amp;IF(R128&lt;&gt;"",$P$2,"")&amp;R128</f>
        <v>EDC</v>
      </c>
      <c r="N128" s="339" t="str" cm="1">
        <f t="array" ref="N128">IF(AND(
    SUMPRODUCT(
        (IM!$F$2:$F$2000=A128) *
        ISNUMBER(SEARCH("HUB", IM!$AC$2:$AC$2000)) *
        (IM!$X$2:$X$2000&gt;=$A$1) *
        (IM!$X$2:$X$2000&lt;=$B$1)*(W128="HUB")
    ) &gt; 0
), "HUB", "")</f>
        <v/>
      </c>
      <c r="O128" s="371" t="str">
        <f>IF(I128="","未到店",
IF(AND(S128&gt;I128, R128="STAR", NOT(AND(G128&lt;&gt;"萊到店 WebPOS", Q128&lt;&gt;"EDC"))), "完工已補裝",
IF(AND(G128&lt;&gt;"萊到店 WebPOS", Q128&lt;&gt;"EDC"), "EDC異常",
IF(AND(W128="HUB", N128=""), "HUB異常",
IF(OR(AND(Z128="STAR", R128="STAR"), AND(Z128&lt;&gt;"STAR", R128="")), "已完工", "STAR異常")
))))</f>
        <v>STAR異常</v>
      </c>
      <c r="P128" s="238" t="str">
        <f>(TEXT(I128,"yyyymmdd"))&amp;$S$2&amp;A128&amp;$S$2&amp;B128&amp;$Q$2</f>
        <v>20250512-2691-五股興珍店(定保)</v>
      </c>
      <c r="Q128" s="357" t="str" cm="1">
        <f t="array" ref="Q128">IF(AND(SUMPRODUCT((IM!$F$2:$F$2000=A128)*(ISNUMBER(SEARCH("EDC", IM!$AC$2:$AC$2000))))&gt;0), "EDC", "")</f>
        <v>EDC</v>
      </c>
      <c r="R128" s="358" t="str" cm="1">
        <f t="array" ref="R128">IF(AND(SUMPRODUCT((IM!$F$2:$F$2000=A128)*(ISNUMBER(SEARCH("STAR", IM!$AC$2:$AC$2000))))&gt;0), "STAR", "")</f>
        <v/>
      </c>
      <c r="S128" s="359" t="str" cm="1">
        <f t="array" ref="S128">IFERROR(INDEX(IM!$X$2:$X$650, MATCH(1, (IM!$F$2:$F$650=A128) * (ISNUMBER(SEARCH($D$1, IM!$AC$2:$AC$650))), 0)), "")</f>
        <v/>
      </c>
      <c r="T128" s="355">
        <f>IF(AND(X128&lt;&gt;"", Y128&lt;&gt;""), 2, IF(OR(X128&lt;&gt;"", Y128&lt;&gt;""), 1, 0))</f>
        <v>2</v>
      </c>
      <c r="U128" s="355"/>
      <c r="V128" s="373">
        <f>IF(OR(R128="STAR", T128="", U128=""), T128,
"總數：" &amp; T128 &amp; CHAR(10) &amp;
"已維修：" &amp; U128 &amp; CHAR(10) &amp;
"未更換：" &amp; (T128 - U128))</f>
        <v>2</v>
      </c>
      <c r="W128" s="360" t="str">
        <f>IF(VLOOKUP(A128,'0919門市清單主檔'!B:E,4,FALSE)=0,"",VLOOKUP(A128,'0919門市清單主檔'!B:E,4,FALSE))</f>
        <v/>
      </c>
      <c r="X128" s="3" t="s">
        <v>4207</v>
      </c>
      <c r="Y128" s="5" t="s">
        <v>4208</v>
      </c>
      <c r="Z128" s="5" t="str">
        <f>IF(T128&gt;0,"STAR","")</f>
        <v>STAR</v>
      </c>
    </row>
    <row r="129" spans="1:26" ht="15.75" customHeight="1">
      <c r="A129" s="174">
        <v>5080</v>
      </c>
      <c r="B129" s="175" t="str">
        <f>VLOOKUP(A129,'0919門市清單主檔'!B:C,2,FALSE)</f>
        <v>三芝楓愛林</v>
      </c>
      <c r="C129" s="176" t="str">
        <f>VLOOKUP($A129,'0919門市清單主檔'!B:V,20,FALSE)</f>
        <v>新北市</v>
      </c>
      <c r="D129" s="177" t="str">
        <f>VLOOKUP($A129,'0919門市清單主檔'!B:V,21,FALSE)</f>
        <v>三芝區</v>
      </c>
      <c r="E129" s="178" t="str">
        <f>VLOOKUP(D129,區域表!A:B,2,FALSE)</f>
        <v>吳宗鴻</v>
      </c>
      <c r="F129" s="179" t="str">
        <f>IFERROR(IF(VLOOKUP(A129,門市狀態!A:D,4,FALSE)=0,"",VLOOKUP(A129,門市狀態!A:D,4,FALSE)),"")</f>
        <v/>
      </c>
      <c r="G129" s="180" t="s">
        <v>1742</v>
      </c>
      <c r="H129" s="181" t="str">
        <f>IF(I129&gt;0,(TEXT(I129,"yyyymmdd")&amp;$S$2&amp;A129&amp;$S$2&amp;B129&amp;$Q$2),"")</f>
        <v>20250512-5080-三芝楓愛林(定保)</v>
      </c>
      <c r="I129" s="184">
        <v>45789.679166666669</v>
      </c>
      <c r="J129" s="183" cm="1">
        <f t="array" ref="J129">IFERROR(INDEX(IM!$X$2:$X$650, MATCH(1, (IM!$F$2:$F$650=A129) * (ISNUMBER(SEARCH($C$1, IM!$AC$2:$AC$650))), 0)), "")</f>
        <v>45789.679166666669</v>
      </c>
      <c r="K129" s="154">
        <f>COUNTIFS(IM!F:F,A129,IM!AD:AD,"O",IM!X:X,"&gt;="&amp;$A$1,IM!X:X,"&lt;="&amp;$B$1)</f>
        <v>1</v>
      </c>
      <c r="L129" s="220" t="str" cm="1">
        <f t="array" ref="L129">IF(K129&gt;0,IFERROR(HYPERLINK("#'IM'!AC"&amp;MATCH(1,(IM!$F$1:$F$7700=A129)*(ISNUMBER(SEARCH("PMQ2",IM!$AC$1:$AC$7700))),0),"檢核"),"未登錄"),"")</f>
        <v>檢核</v>
      </c>
      <c r="M129" s="369" t="str">
        <f>Q129&amp;IF(R129&lt;&gt;"",$P$2,"")&amp;R129</f>
        <v>EDC</v>
      </c>
      <c r="N129" s="339" t="str" cm="1">
        <f t="array" ref="N129">IF(AND(
    SUMPRODUCT(
        (IM!$F$2:$F$2000=A129) *
        ISNUMBER(SEARCH("HUB", IM!$AC$2:$AC$2000)) *
        (IM!$X$2:$X$2000&gt;=$A$1) *
        (IM!$X$2:$X$2000&lt;=$B$1)*(W129="HUB")
    ) &gt; 0
), "HUB", "")</f>
        <v/>
      </c>
      <c r="O129" s="371" t="str">
        <f>IF(I129="","未到店",
IF(AND(S129&gt;I129, R129="STAR", NOT(AND(G129&lt;&gt;"萊到店 WebPOS", Q129&lt;&gt;"EDC"))), "完工已補裝",
IF(AND(G129&lt;&gt;"萊到店 WebPOS", Q129&lt;&gt;"EDC"), "EDC異常",
IF(AND(W129="HUB", N129=""), "HUB異常",
IF(OR(AND(Z129="STAR", R129="STAR"), AND(Z129&lt;&gt;"STAR", R129="")), "已完工", "STAR異常")
))))</f>
        <v>已完工</v>
      </c>
      <c r="P129" s="238" t="str">
        <f>(TEXT(I129,"yyyymmdd"))&amp;$S$2&amp;A129&amp;$S$2&amp;B129&amp;$Q$2</f>
        <v>20250512-5080-三芝楓愛林(定保)</v>
      </c>
      <c r="Q129" s="357" t="str" cm="1">
        <f t="array" ref="Q129">IF(AND(SUMPRODUCT((IM!$F$2:$F$2000=A129)*(ISNUMBER(SEARCH("EDC", IM!$AC$2:$AC$2000))))&gt;0), "EDC", "")</f>
        <v>EDC</v>
      </c>
      <c r="R129" s="358" t="str" cm="1">
        <f t="array" ref="R129">IF(AND(SUMPRODUCT((IM!$F$2:$F$2000=A129)*(ISNUMBER(SEARCH("STAR", IM!$AC$2:$AC$2000))))&gt;0), "STAR", "")</f>
        <v/>
      </c>
      <c r="S129" s="359" t="str" cm="1">
        <f t="array" ref="S129">IFERROR(INDEX(IM!$X$2:$X$650, MATCH(1, (IM!$F$2:$F$650=A129) * (ISNUMBER(SEARCH($D$1, IM!$AC$2:$AC$650))), 0)), "")</f>
        <v/>
      </c>
      <c r="T129" s="355">
        <f>IF(AND(X129&lt;&gt;"", Y129&lt;&gt;""), 2, IF(OR(X129&lt;&gt;"", Y129&lt;&gt;""), 1, 0))</f>
        <v>0</v>
      </c>
      <c r="U129" s="355"/>
      <c r="V129" s="373">
        <f>IF(OR(R129="STAR", T129="", U129=""), T129,
"總數：" &amp; T129 &amp; CHAR(10) &amp;
"已維修：" &amp; U129 &amp; CHAR(10) &amp;
"未更換：" &amp; (T129 - U129))</f>
        <v>0</v>
      </c>
      <c r="W129" s="360" t="str">
        <f>IF(VLOOKUP(A129,'0919門市清單主檔'!B:E,4,FALSE)=0,"",VLOOKUP(A129,'0919門市清單主檔'!B:E,4,FALSE))</f>
        <v/>
      </c>
      <c r="Y129" s="5"/>
      <c r="Z129" s="5" t="str">
        <f>IF(T129&gt;0,"STAR","")</f>
        <v/>
      </c>
    </row>
    <row r="130" spans="1:26" ht="15.75" customHeight="1">
      <c r="A130" s="174">
        <v>4739</v>
      </c>
      <c r="B130" s="175" t="str">
        <f>VLOOKUP(A130,'0919門市清單主檔'!B:C,2,FALSE)</f>
        <v>淡水櫻花店</v>
      </c>
      <c r="C130" s="176" t="str">
        <f>VLOOKUP($A130,'0919門市清單主檔'!B:V,20,FALSE)</f>
        <v>新北市</v>
      </c>
      <c r="D130" s="177" t="str">
        <f>VLOOKUP($A130,'0919門市清單主檔'!B:V,21,FALSE)</f>
        <v>淡水區</v>
      </c>
      <c r="E130" s="178" t="str">
        <f>VLOOKUP(D130,區域表!A:B,2,FALSE)</f>
        <v>吳宗鴻</v>
      </c>
      <c r="F130" s="179" t="str">
        <f>IFERROR(IF(VLOOKUP(A130,門市狀態!A:D,4,FALSE)=0,"",VLOOKUP(A130,門市狀態!A:D,4,FALSE)),"")</f>
        <v/>
      </c>
      <c r="G130" s="180" t="s">
        <v>1742</v>
      </c>
      <c r="H130" s="181" t="str">
        <f>IF(I130&gt;0,(TEXT(I130,"yyyymmdd")&amp;$S$2&amp;A130&amp;$S$2&amp;B130&amp;$Q$2),"")</f>
        <v>20250512-4739-淡水櫻花店(定保)</v>
      </c>
      <c r="I130" s="184">
        <v>45789.707638888889</v>
      </c>
      <c r="J130" s="183" cm="1">
        <f t="array" ref="J130">IFERROR(INDEX(IM!$X$2:$X$650, MATCH(1, (IM!$F$2:$F$650=A130) * (ISNUMBER(SEARCH($C$1, IM!$AC$2:$AC$650))), 0)), "")</f>
        <v>45789.707638888889</v>
      </c>
      <c r="K130" s="154">
        <f>COUNTIFS(IM!F:F,A130,IM!AD:AD,"O",IM!X:X,"&gt;="&amp;$A$1,IM!X:X,"&lt;="&amp;$B$1)</f>
        <v>1</v>
      </c>
      <c r="L130" s="220" t="str" cm="1">
        <f t="array" ref="L130">IF(K130&gt;0,IFERROR(HYPERLINK("#'IM'!AC"&amp;MATCH(1,(IM!$F$1:$F$7700=A130)*(ISNUMBER(SEARCH("PMQ2",IM!$AC$1:$AC$7700))),0),"檢核"),"未登錄"),"")</f>
        <v>檢核</v>
      </c>
      <c r="M130" s="369" t="str">
        <f>Q130&amp;IF(R130&lt;&gt;"",$P$2,"")&amp;R130</f>
        <v>EDC</v>
      </c>
      <c r="N130" s="339" t="str" cm="1">
        <f t="array" ref="N130">IF(AND(
    SUMPRODUCT(
        (IM!$F$2:$F$2000=A130) *
        ISNUMBER(SEARCH("HUB", IM!$AC$2:$AC$2000)) *
        (IM!$X$2:$X$2000&gt;=$A$1) *
        (IM!$X$2:$X$2000&lt;=$B$1)*(W130="HUB")
    ) &gt; 0
), "HUB", "")</f>
        <v/>
      </c>
      <c r="O130" s="371" t="str">
        <f>IF(I130="","未到店",
IF(AND(S130&gt;I130, R130="STAR", NOT(AND(G130&lt;&gt;"萊到店 WebPOS", Q130&lt;&gt;"EDC"))), "完工已補裝",
IF(AND(G130&lt;&gt;"萊到店 WebPOS", Q130&lt;&gt;"EDC"), "EDC異常",
IF(AND(W130="HUB", N130=""), "HUB異常",
IF(OR(AND(Z130="STAR", R130="STAR"), AND(Z130&lt;&gt;"STAR", R130="")), "已完工", "STAR異常")
))))</f>
        <v>STAR異常</v>
      </c>
      <c r="P130" s="238" t="str">
        <f>(TEXT(I130,"yyyymmdd"))&amp;$S$2&amp;A130&amp;$S$2&amp;B130&amp;$Q$2</f>
        <v>20250512-4739-淡水櫻花店(定保)</v>
      </c>
      <c r="Q130" s="357" t="str" cm="1">
        <f t="array" ref="Q130">IF(AND(SUMPRODUCT((IM!$F$2:$F$2000=A130)*(ISNUMBER(SEARCH("EDC", IM!$AC$2:$AC$2000))))&gt;0), "EDC", "")</f>
        <v>EDC</v>
      </c>
      <c r="R130" s="358" t="str" cm="1">
        <f t="array" ref="R130">IF(AND(SUMPRODUCT((IM!$F$2:$F$2000=A130)*(ISNUMBER(SEARCH("STAR", IM!$AC$2:$AC$2000))))&gt;0), "STAR", "")</f>
        <v/>
      </c>
      <c r="S130" s="359" t="str" cm="1">
        <f t="array" ref="S130">IFERROR(INDEX(IM!$X$2:$X$650, MATCH(1, (IM!$F$2:$F$650=A130) * (ISNUMBER(SEARCH($D$1, IM!$AC$2:$AC$650))), 0)), "")</f>
        <v/>
      </c>
      <c r="T130" s="355">
        <f>IF(AND(X130&lt;&gt;"", Y130&lt;&gt;""), 2, IF(OR(X130&lt;&gt;"", Y130&lt;&gt;""), 1, 0))</f>
        <v>1</v>
      </c>
      <c r="U130" s="355"/>
      <c r="V130" s="373">
        <f>IF(OR(R130="STAR", T130="", U130=""), T130,
"總數：" &amp; T130 &amp; CHAR(10) &amp;
"已維修：" &amp; U130 &amp; CHAR(10) &amp;
"未更換：" &amp; (T130 - U130))</f>
        <v>1</v>
      </c>
      <c r="W130" s="360" t="str">
        <f>IF(VLOOKUP(A130,'0919門市清單主檔'!B:E,4,FALSE)=0,"",VLOOKUP(A130,'0919門市清單主檔'!B:E,4,FALSE))</f>
        <v/>
      </c>
      <c r="Y130" s="5" t="s">
        <v>4333</v>
      </c>
      <c r="Z130" s="5" t="str">
        <f>IF(T130&gt;0,"STAR","")</f>
        <v>STAR</v>
      </c>
    </row>
    <row r="131" spans="1:26" ht="15.75" customHeight="1">
      <c r="A131" s="174">
        <v>4844</v>
      </c>
      <c r="B131" s="175" t="str">
        <f>VLOOKUP(A131,'0919門市清單主檔'!B:C,2,FALSE)</f>
        <v>三芝天涯店</v>
      </c>
      <c r="C131" s="176" t="str">
        <f>VLOOKUP($A131,'0919門市清單主檔'!B:V,20,FALSE)</f>
        <v>新北市</v>
      </c>
      <c r="D131" s="177" t="str">
        <f>VLOOKUP($A131,'0919門市清單主檔'!B:V,21,FALSE)</f>
        <v>三芝區</v>
      </c>
      <c r="E131" s="178" t="str">
        <f>VLOOKUP(D131,區域表!A:B,2,FALSE)</f>
        <v>吳宗鴻</v>
      </c>
      <c r="F131" s="179" t="str">
        <f>IFERROR(IF(VLOOKUP(A131,門市狀態!A:D,4,FALSE)=0,"",VLOOKUP(A131,門市狀態!A:D,4,FALSE)),"")</f>
        <v/>
      </c>
      <c r="G131" s="180" t="s">
        <v>1742</v>
      </c>
      <c r="H131" s="181" t="str">
        <f>IF(I131&gt;0,(TEXT(I131,"yyyymmdd")&amp;$S$2&amp;A131&amp;$S$2&amp;B131&amp;$Q$2),"")</f>
        <v>20250513-4844-三芝天涯店(定保)</v>
      </c>
      <c r="I131" s="184">
        <v>45790.420138888891</v>
      </c>
      <c r="J131" s="183" cm="1">
        <f t="array" ref="J131">IFERROR(INDEX(IM!$X$2:$X$650, MATCH(1, (IM!$F$2:$F$650=A131) * (ISNUMBER(SEARCH($C$1, IM!$AC$2:$AC$650))), 0)), "")</f>
        <v>45790.420138888891</v>
      </c>
      <c r="K131" s="154">
        <f>COUNTIFS(IM!F:F,A131,IM!AD:AD,"O",IM!X:X,"&gt;="&amp;$A$1,IM!X:X,"&lt;="&amp;$B$1)</f>
        <v>1</v>
      </c>
      <c r="L131" s="220" t="str" cm="1">
        <f t="array" ref="L131">IF(K131&gt;0,IFERROR(HYPERLINK("#'IM'!AC"&amp;MATCH(1,(IM!$F$1:$F$7700=A131)*(ISNUMBER(SEARCH("PMQ2",IM!$AC$1:$AC$7700))),0),"檢核"),"未登錄"),"")</f>
        <v>檢核</v>
      </c>
      <c r="M131" s="369" t="str">
        <f>Q131&amp;IF(R131&lt;&gt;"",$P$2,"")&amp;R131</f>
        <v>EDC</v>
      </c>
      <c r="N131" s="339" t="str" cm="1">
        <f t="array" ref="N131">IF(AND(
    SUMPRODUCT(
        (IM!$F$2:$F$2000=A131) *
        ISNUMBER(SEARCH("HUB", IM!$AC$2:$AC$2000)) *
        (IM!$X$2:$X$2000&gt;=$A$1) *
        (IM!$X$2:$X$2000&lt;=$B$1)*(W131="HUB")
    ) &gt; 0
), "HUB", "")</f>
        <v/>
      </c>
      <c r="O131" s="371" t="str">
        <f>IF(I131="","未到店",
IF(AND(S131&gt;I131, R131="STAR", NOT(AND(G131&lt;&gt;"萊到店 WebPOS", Q131&lt;&gt;"EDC"))), "完工已補裝",
IF(AND(G131&lt;&gt;"萊到店 WebPOS", Q131&lt;&gt;"EDC"), "EDC異常",
IF(AND(W131="HUB", N131=""), "HUB異常",
IF(OR(AND(Z131="STAR", R131="STAR"), AND(Z131&lt;&gt;"STAR", R131="")), "已完工", "STAR異常")
))))</f>
        <v>已完工</v>
      </c>
      <c r="P131" s="238" t="str">
        <f>(TEXT(I131,"yyyymmdd"))&amp;$S$2&amp;A131&amp;$S$2&amp;B131&amp;$Q$2</f>
        <v>20250513-4844-三芝天涯店(定保)</v>
      </c>
      <c r="Q131" s="357" t="str" cm="1">
        <f t="array" ref="Q131">IF(AND(SUMPRODUCT((IM!$F$2:$F$2000=A131)*(ISNUMBER(SEARCH("EDC", IM!$AC$2:$AC$2000))))&gt;0), "EDC", "")</f>
        <v>EDC</v>
      </c>
      <c r="R131" s="358" t="str" cm="1">
        <f t="array" ref="R131">IF(AND(SUMPRODUCT((IM!$F$2:$F$2000=A131)*(ISNUMBER(SEARCH("STAR", IM!$AC$2:$AC$2000))))&gt;0), "STAR", "")</f>
        <v/>
      </c>
      <c r="S131" s="359" t="str" cm="1">
        <f t="array" ref="S131">IFERROR(INDEX(IM!$X$2:$X$650, MATCH(1, (IM!$F$2:$F$650=A131) * (ISNUMBER(SEARCH($D$1, IM!$AC$2:$AC$650))), 0)), "")</f>
        <v/>
      </c>
      <c r="T131" s="355">
        <f>IF(AND(X131&lt;&gt;"", Y131&lt;&gt;""), 2, IF(OR(X131&lt;&gt;"", Y131&lt;&gt;""), 1, 0))</f>
        <v>0</v>
      </c>
      <c r="U131" s="355"/>
      <c r="V131" s="373">
        <f>IF(OR(R131="STAR", T131="", U131=""), T131,
"總數：" &amp; T131 &amp; CHAR(10) &amp;
"已維修：" &amp; U131 &amp; CHAR(10) &amp;
"未更換：" &amp; (T131 - U131))</f>
        <v>0</v>
      </c>
      <c r="W131" s="360" t="str">
        <f>IF(VLOOKUP(A131,'0919門市清單主檔'!B:E,4,FALSE)=0,"",VLOOKUP(A131,'0919門市清單主檔'!B:E,4,FALSE))</f>
        <v/>
      </c>
      <c r="Y131" s="5"/>
      <c r="Z131" s="5" t="str">
        <f>IF(T131&gt;0,"STAR","")</f>
        <v/>
      </c>
    </row>
    <row r="132" spans="1:26" ht="15.75" customHeight="1">
      <c r="A132" s="174">
        <v>2042</v>
      </c>
      <c r="B132" s="175" t="str">
        <f>VLOOKUP(A132,'0919門市清單主檔'!B:C,2,FALSE)</f>
        <v>三重中央北店</v>
      </c>
      <c r="C132" s="176" t="str">
        <f>VLOOKUP($A132,'0919門市清單主檔'!B:V,20,FALSE)</f>
        <v>新北市</v>
      </c>
      <c r="D132" s="177" t="str">
        <f>VLOOKUP($A132,'0919門市清單主檔'!B:V,21,FALSE)</f>
        <v>三重區</v>
      </c>
      <c r="E132" s="178" t="str">
        <f>VLOOKUP(D132,區域表!A:B,2,FALSE)</f>
        <v>吳宗鴻</v>
      </c>
      <c r="F132" s="179" t="str">
        <f>IFERROR(IF(VLOOKUP(A132,門市狀態!A:D,4,FALSE)=0,"",VLOOKUP(A132,門市狀態!A:D,4,FALSE)),"")</f>
        <v/>
      </c>
      <c r="G132" s="180" t="s">
        <v>1742</v>
      </c>
      <c r="H132" s="181" t="str">
        <f>IF(I132&gt;0,(TEXT(I132,"yyyymmdd")&amp;$S$2&amp;A132&amp;$S$2&amp;B132&amp;$Q$2),"")</f>
        <v>20250514-2042-三重中央北店(定保)</v>
      </c>
      <c r="I132" s="184">
        <v>45791.570833333331</v>
      </c>
      <c r="J132" s="183" cm="1">
        <f t="array" ref="J132">IFERROR(INDEX(IM!$X$2:$X$650, MATCH(1, (IM!$F$2:$F$650=A132) * (ISNUMBER(SEARCH($C$1, IM!$AC$2:$AC$650))), 0)), "")</f>
        <v>45791.570833333331</v>
      </c>
      <c r="K132" s="154">
        <f>COUNTIFS(IM!F:F,A132,IM!AD:AD,"O",IM!X:X,"&gt;="&amp;$A$1,IM!X:X,"&lt;="&amp;$B$1)</f>
        <v>2</v>
      </c>
      <c r="L132" s="220" t="str" cm="1">
        <f t="array" ref="L132">IF(K132&gt;0,IFERROR(HYPERLINK("#'IM'!AC"&amp;MATCH(1,(IM!$F$1:$F$7700=A132)*(ISNUMBER(SEARCH("PMQ2",IM!$AC$1:$AC$7700))),0),"檢核"),"未登錄"),"")</f>
        <v>檢核</v>
      </c>
      <c r="M132" s="369" t="str">
        <f>Q132&amp;IF(R132&lt;&gt;"",$P$2,"")&amp;R132</f>
        <v>EDC</v>
      </c>
      <c r="N132" s="339" t="str" cm="1">
        <f t="array" ref="N132">IF(AND(
    SUMPRODUCT(
        (IM!$F$2:$F$2000=A132) *
        ISNUMBER(SEARCH("HUB", IM!$AC$2:$AC$2000)) *
        (IM!$X$2:$X$2000&gt;=$A$1) *
        (IM!$X$2:$X$2000&lt;=$B$1)*(W132="HUB")
    ) &gt; 0
), "HUB", "")</f>
        <v/>
      </c>
      <c r="O132" s="371" t="str">
        <f>IF(I132="","未到店",
IF(AND(S132&gt;I132, R132="STAR", NOT(AND(G132&lt;&gt;"萊到店 WebPOS", Q132&lt;&gt;"EDC"))), "完工已補裝",
IF(AND(G132&lt;&gt;"萊到店 WebPOS", Q132&lt;&gt;"EDC"), "EDC異常",
IF(AND(W132="HUB", N132=""), "HUB異常",
IF(OR(AND(Z132="STAR", R132="STAR"), AND(Z132&lt;&gt;"STAR", R132="")), "已完工", "STAR異常")
))))</f>
        <v>STAR異常</v>
      </c>
      <c r="P132" s="238" t="str">
        <f>(TEXT(I132,"yyyymmdd"))&amp;$S$2&amp;A132&amp;$S$2&amp;B132&amp;$Q$2</f>
        <v>20250514-2042-三重中央北店(定保)</v>
      </c>
      <c r="Q132" s="357" t="str" cm="1">
        <f t="array" ref="Q132">IF(AND(SUMPRODUCT((IM!$F$2:$F$2000=A132)*(ISNUMBER(SEARCH("EDC", IM!$AC$2:$AC$2000))))&gt;0), "EDC", "")</f>
        <v>EDC</v>
      </c>
      <c r="R132" s="358" t="str" cm="1">
        <f t="array" ref="R132">IF(AND(SUMPRODUCT((IM!$F$2:$F$2000=A132)*(ISNUMBER(SEARCH("STAR", IM!$AC$2:$AC$2000))))&gt;0), "STAR", "")</f>
        <v/>
      </c>
      <c r="S132" s="359" t="str" cm="1">
        <f t="array" ref="S132">IFERROR(INDEX(IM!$X$2:$X$650, MATCH(1, (IM!$F$2:$F$650=A132) * (ISNUMBER(SEARCH($D$1, IM!$AC$2:$AC$650))), 0)), "")</f>
        <v/>
      </c>
      <c r="T132" s="355">
        <f>IF(AND(X132&lt;&gt;"", Y132&lt;&gt;""), 2, IF(OR(X132&lt;&gt;"", Y132&lt;&gt;""), 1, 0))</f>
        <v>2</v>
      </c>
      <c r="U132" s="355"/>
      <c r="V132" s="373">
        <f>IF(OR(R132="STAR", T132="", U132=""), T132,
"總數：" &amp; T132 &amp; CHAR(10) &amp;
"已維修：" &amp; U132 &amp; CHAR(10) &amp;
"未更換：" &amp; (T132 - U132))</f>
        <v>2</v>
      </c>
      <c r="W132" s="360" t="str">
        <f>IF(VLOOKUP(A132,'0919門市清單主檔'!B:E,4,FALSE)=0,"",VLOOKUP(A132,'0919門市清單主檔'!B:E,4,FALSE))</f>
        <v/>
      </c>
      <c r="X132" s="3" t="s">
        <v>4281</v>
      </c>
      <c r="Y132" s="5" t="s">
        <v>4282</v>
      </c>
      <c r="Z132" s="5" t="str">
        <f>IF(T132&gt;0,"STAR","")</f>
        <v>STAR</v>
      </c>
    </row>
    <row r="133" spans="1:26" ht="15.75" customHeight="1">
      <c r="A133" s="174">
        <v>2303</v>
      </c>
      <c r="B133" s="175" t="str">
        <f>VLOOKUP(A133,'0919門市清單主檔'!B:C,2,FALSE)</f>
        <v>三重三和夜市</v>
      </c>
      <c r="C133" s="176" t="str">
        <f>VLOOKUP($A133,'0919門市清單主檔'!B:V,20,FALSE)</f>
        <v>新北市</v>
      </c>
      <c r="D133" s="177" t="str">
        <f>VLOOKUP($A133,'0919門市清單主檔'!B:V,21,FALSE)</f>
        <v>三重區</v>
      </c>
      <c r="E133" s="178" t="str">
        <f>VLOOKUP(D133,區域表!A:B,2,FALSE)</f>
        <v>吳宗鴻</v>
      </c>
      <c r="F133" s="179" t="str">
        <f>IFERROR(IF(VLOOKUP(A133,門市狀態!A:D,4,FALSE)=0,"",VLOOKUP(A133,門市狀態!A:D,4,FALSE)),"")</f>
        <v/>
      </c>
      <c r="G133" s="180" t="s">
        <v>1742</v>
      </c>
      <c r="H133" s="181" t="str">
        <f>IF(I133&gt;0,(TEXT(I133,"yyyymmdd")&amp;$S$2&amp;A133&amp;$S$2&amp;B133&amp;$Q$2),"")</f>
        <v>20250514-2303-三重三和夜市(定保)</v>
      </c>
      <c r="I133" s="184">
        <v>45791.595138888886</v>
      </c>
      <c r="J133" s="183" cm="1">
        <f t="array" ref="J133">IFERROR(INDEX(IM!$X$2:$X$650, MATCH(1, (IM!$F$2:$F$650=A133) * (ISNUMBER(SEARCH($C$1, IM!$AC$2:$AC$650))), 0)), "")</f>
        <v>45791.595138888886</v>
      </c>
      <c r="K133" s="154">
        <f>COUNTIFS(IM!F:F,A133,IM!AD:AD,"O",IM!X:X,"&gt;="&amp;$A$1,IM!X:X,"&lt;="&amp;$B$1)</f>
        <v>1</v>
      </c>
      <c r="L133" s="220" t="str" cm="1">
        <f t="array" ref="L133">IF(K133&gt;0,IFERROR(HYPERLINK("#'IM'!AC"&amp;MATCH(1,(IM!$F$1:$F$7700=A133)*(ISNUMBER(SEARCH("PMQ2",IM!$AC$1:$AC$7700))),0),"檢核"),"未登錄"),"")</f>
        <v>檢核</v>
      </c>
      <c r="M133" s="369" t="str">
        <f>Q133&amp;IF(R133&lt;&gt;"",$P$2,"")&amp;R133</f>
        <v>EDC</v>
      </c>
      <c r="N133" s="339" t="str" cm="1">
        <f t="array" ref="N133">IF(AND(
    SUMPRODUCT(
        (IM!$F$2:$F$2000=A133) *
        ISNUMBER(SEARCH("HUB", IM!$AC$2:$AC$2000)) *
        (IM!$X$2:$X$2000&gt;=$A$1) *
        (IM!$X$2:$X$2000&lt;=$B$1)*(W133="HUB")
    ) &gt; 0
), "HUB", "")</f>
        <v/>
      </c>
      <c r="O133" s="371" t="str">
        <f>IF(I133="","未到店",
IF(AND(S133&gt;I133, R133="STAR", NOT(AND(G133&lt;&gt;"萊到店 WebPOS", Q133&lt;&gt;"EDC"))), "完工已補裝",
IF(AND(G133&lt;&gt;"萊到店 WebPOS", Q133&lt;&gt;"EDC"), "EDC異常",
IF(AND(W133="HUB", N133=""), "HUB異常",
IF(OR(AND(Z133="STAR", R133="STAR"), AND(Z133&lt;&gt;"STAR", R133="")), "已完工", "STAR異常")
))))</f>
        <v>STAR異常</v>
      </c>
      <c r="P133" s="238" t="str">
        <f>(TEXT(I133,"yyyymmdd"))&amp;$S$2&amp;A133&amp;$S$2&amp;B133&amp;$Q$2</f>
        <v>20250514-2303-三重三和夜市(定保)</v>
      </c>
      <c r="Q133" s="357" t="str" cm="1">
        <f t="array" ref="Q133">IF(AND(SUMPRODUCT((IM!$F$2:$F$2000=A133)*(ISNUMBER(SEARCH("EDC", IM!$AC$2:$AC$2000))))&gt;0), "EDC", "")</f>
        <v>EDC</v>
      </c>
      <c r="R133" s="358" t="str" cm="1">
        <f t="array" ref="R133">IF(AND(SUMPRODUCT((IM!$F$2:$F$2000=A133)*(ISNUMBER(SEARCH("STAR", IM!$AC$2:$AC$2000))))&gt;0), "STAR", "")</f>
        <v/>
      </c>
      <c r="S133" s="359" t="str" cm="1">
        <f t="array" ref="S133">IFERROR(INDEX(IM!$X$2:$X$650, MATCH(1, (IM!$F$2:$F$650=A133) * (ISNUMBER(SEARCH($D$1, IM!$AC$2:$AC$650))), 0)), "")</f>
        <v/>
      </c>
      <c r="T133" s="355">
        <f>IF(AND(X133&lt;&gt;"", Y133&lt;&gt;""), 2, IF(OR(X133&lt;&gt;"", Y133&lt;&gt;""), 1, 0))</f>
        <v>2</v>
      </c>
      <c r="U133" s="355"/>
      <c r="V133" s="373">
        <f>IF(OR(R133="STAR", T133="", U133=""), T133,
"總數：" &amp; T133 &amp; CHAR(10) &amp;
"已維修：" &amp; U133 &amp; CHAR(10) &amp;
"未更換：" &amp; (T133 - U133))</f>
        <v>2</v>
      </c>
      <c r="W133" s="360" t="str">
        <f>IF(VLOOKUP(A133,'0919門市清單主檔'!B:E,4,FALSE)=0,"",VLOOKUP(A133,'0919門市清單主檔'!B:E,4,FALSE))</f>
        <v/>
      </c>
      <c r="X133" s="3" t="s">
        <v>4305</v>
      </c>
      <c r="Y133" s="5" t="s">
        <v>4306</v>
      </c>
      <c r="Z133" s="5" t="str">
        <f>IF(T133&gt;0,"STAR","")</f>
        <v>STAR</v>
      </c>
    </row>
    <row r="134" spans="1:26" ht="15.75" customHeight="1">
      <c r="A134" s="174">
        <v>4397</v>
      </c>
      <c r="B134" s="175" t="str">
        <f>VLOOKUP(A134,'0919門市清單主檔'!B:C,2,FALSE)</f>
        <v>三重仁旺店</v>
      </c>
      <c r="C134" s="176" t="str">
        <f>VLOOKUP($A134,'0919門市清單主檔'!B:V,20,FALSE)</f>
        <v>新北市</v>
      </c>
      <c r="D134" s="177" t="str">
        <f>VLOOKUP($A134,'0919門市清單主檔'!B:V,21,FALSE)</f>
        <v>三重區</v>
      </c>
      <c r="E134" s="178" t="str">
        <f>VLOOKUP(D134,區域表!A:B,2,FALSE)</f>
        <v>吳宗鴻</v>
      </c>
      <c r="F134" s="179" t="str">
        <f>IFERROR(IF(VLOOKUP(A134,門市狀態!A:D,4,FALSE)=0,"",VLOOKUP(A134,門市狀態!A:D,4,FALSE)),"")</f>
        <v/>
      </c>
      <c r="G134" s="180" t="s">
        <v>1742</v>
      </c>
      <c r="H134" s="181" t="str">
        <f>IF(I134&gt;0,(TEXT(I134,"yyyymmdd")&amp;$S$2&amp;A134&amp;$S$2&amp;B134&amp;$Q$2),"")</f>
        <v>20250514-4397-三重仁旺店(定保)</v>
      </c>
      <c r="I134" s="184">
        <v>45791.613888888889</v>
      </c>
      <c r="J134" s="183" cm="1">
        <f t="array" ref="J134">IFERROR(INDEX(IM!$X$2:$X$650, MATCH(1, (IM!$F$2:$F$650=A134) * (ISNUMBER(SEARCH($C$1, IM!$AC$2:$AC$650))), 0)), "")</f>
        <v>45791.613888888889</v>
      </c>
      <c r="K134" s="154">
        <f>COUNTIFS(IM!F:F,A134,IM!AD:AD,"O",IM!X:X,"&gt;="&amp;$A$1,IM!X:X,"&lt;="&amp;$B$1)</f>
        <v>1</v>
      </c>
      <c r="L134" s="220" t="str" cm="1">
        <f t="array" ref="L134">IF(K134&gt;0,IFERROR(HYPERLINK("#'IM'!AC"&amp;MATCH(1,(IM!$F$1:$F$7700=A134)*(ISNUMBER(SEARCH("PMQ2",IM!$AC$1:$AC$7700))),0),"檢核"),"未登錄"),"")</f>
        <v>檢核</v>
      </c>
      <c r="M134" s="369" t="str">
        <f>Q134&amp;IF(R134&lt;&gt;"",$P$2,"")&amp;R134</f>
        <v>EDC</v>
      </c>
      <c r="N134" s="339" t="str" cm="1">
        <f t="array" ref="N134">IF(AND(
    SUMPRODUCT(
        (IM!$F$2:$F$2000=A134) *
        ISNUMBER(SEARCH("HUB", IM!$AC$2:$AC$2000)) *
        (IM!$X$2:$X$2000&gt;=$A$1) *
        (IM!$X$2:$X$2000&lt;=$B$1)*(W134="HUB")
    ) &gt; 0
), "HUB", "")</f>
        <v/>
      </c>
      <c r="O134" s="371" t="str">
        <f>IF(I134="","未到店",
IF(AND(S134&gt;I134, R134="STAR", NOT(AND(G134&lt;&gt;"萊到店 WebPOS", Q134&lt;&gt;"EDC"))), "完工已補裝",
IF(AND(G134&lt;&gt;"萊到店 WebPOS", Q134&lt;&gt;"EDC"), "EDC異常",
IF(AND(W134="HUB", N134=""), "HUB異常",
IF(OR(AND(Z134="STAR", R134="STAR"), AND(Z134&lt;&gt;"STAR", R134="")), "已完工", "STAR異常")
))))</f>
        <v>STAR異常</v>
      </c>
      <c r="P134" s="238" t="str">
        <f>(TEXT(I134,"yyyymmdd"))&amp;$S$2&amp;A134&amp;$S$2&amp;B134&amp;$Q$2</f>
        <v>20250514-4397-三重仁旺店(定保)</v>
      </c>
      <c r="Q134" s="357" t="str" cm="1">
        <f t="array" ref="Q134">IF(AND(SUMPRODUCT((IM!$F$2:$F$2000=A134)*(ISNUMBER(SEARCH("EDC", IM!$AC$2:$AC$2000))))&gt;0), "EDC", "")</f>
        <v>EDC</v>
      </c>
      <c r="R134" s="358" t="str" cm="1">
        <f t="array" ref="R134">IF(AND(SUMPRODUCT((IM!$F$2:$F$2000=A134)*(ISNUMBER(SEARCH("STAR", IM!$AC$2:$AC$2000))))&gt;0), "STAR", "")</f>
        <v/>
      </c>
      <c r="S134" s="359" t="str" cm="1">
        <f t="array" ref="S134">IFERROR(INDEX(IM!$X$2:$X$650, MATCH(1, (IM!$F$2:$F$650=A134) * (ISNUMBER(SEARCH($D$1, IM!$AC$2:$AC$650))), 0)), "")</f>
        <v/>
      </c>
      <c r="T134" s="355">
        <f>IF(AND(X134&lt;&gt;"", Y134&lt;&gt;""), 2, IF(OR(X134&lt;&gt;"", Y134&lt;&gt;""), 1, 0))</f>
        <v>2</v>
      </c>
      <c r="U134" s="355"/>
      <c r="V134" s="373">
        <f>IF(OR(R134="STAR", T134="", U134=""), T134,
"總數：" &amp; T134 &amp; CHAR(10) &amp;
"已維修：" &amp; U134 &amp; CHAR(10) &amp;
"未更換：" &amp; (T134 - U134))</f>
        <v>2</v>
      </c>
      <c r="W134" s="360" t="str">
        <f>IF(VLOOKUP(A134,'0919門市清單主檔'!B:E,4,FALSE)=0,"",VLOOKUP(A134,'0919門市清單主檔'!B:E,4,FALSE))</f>
        <v/>
      </c>
      <c r="X134" s="3" t="s">
        <v>4214</v>
      </c>
      <c r="Y134" s="5" t="s">
        <v>4215</v>
      </c>
      <c r="Z134" s="5" t="str">
        <f>IF(T134&gt;0,"STAR","")</f>
        <v>STAR</v>
      </c>
    </row>
    <row r="135" spans="1:26" ht="15.75" customHeight="1">
      <c r="A135" s="174">
        <v>4352</v>
      </c>
      <c r="B135" s="175" t="str">
        <f>VLOOKUP(A135,'0919門市清單主檔'!B:C,2,FALSE)</f>
        <v>三重公園店</v>
      </c>
      <c r="C135" s="176" t="str">
        <f>VLOOKUP($A135,'0919門市清單主檔'!B:V,20,FALSE)</f>
        <v>新北市</v>
      </c>
      <c r="D135" s="177" t="str">
        <f>VLOOKUP($A135,'0919門市清單主檔'!B:V,21,FALSE)</f>
        <v>三重區</v>
      </c>
      <c r="E135" s="178" t="str">
        <f>VLOOKUP(D135,區域表!A:B,2,FALSE)</f>
        <v>吳宗鴻</v>
      </c>
      <c r="F135" s="179" t="str">
        <f>IFERROR(IF(VLOOKUP(A135,門市狀態!A:D,4,FALSE)=0,"",VLOOKUP(A135,門市狀態!A:D,4,FALSE)),"")</f>
        <v/>
      </c>
      <c r="G135" s="180" t="s">
        <v>1742</v>
      </c>
      <c r="H135" s="181" t="str">
        <f>IF(I135&gt;0,(TEXT(I135,"yyyymmdd")&amp;$S$2&amp;A135&amp;$S$2&amp;B135&amp;$Q$2),"")</f>
        <v>20250514-4352-三重公園店(定保)</v>
      </c>
      <c r="I135" s="184">
        <v>45791.634722222225</v>
      </c>
      <c r="J135" s="183" cm="1">
        <f t="array" ref="J135">IFERROR(INDEX(IM!$X$2:$X$650, MATCH(1, (IM!$F$2:$F$650=A135) * (ISNUMBER(SEARCH($C$1, IM!$AC$2:$AC$650))), 0)), "")</f>
        <v>45791.634722222225</v>
      </c>
      <c r="K135" s="154">
        <f>COUNTIFS(IM!F:F,A135,IM!AD:AD,"O",IM!X:X,"&gt;="&amp;$A$1,IM!X:X,"&lt;="&amp;$B$1)</f>
        <v>1</v>
      </c>
      <c r="L135" s="220" t="str" cm="1">
        <f t="array" ref="L135">IF(K135&gt;0,IFERROR(HYPERLINK("#'IM'!AC"&amp;MATCH(1,(IM!$F$1:$F$7700=A135)*(ISNUMBER(SEARCH("PMQ2",IM!$AC$1:$AC$7700))),0),"檢核"),"未登錄"),"")</f>
        <v>檢核</v>
      </c>
      <c r="M135" s="369" t="str">
        <f>Q135&amp;IF(R135&lt;&gt;"",$P$2,"")&amp;R135</f>
        <v>EDC</v>
      </c>
      <c r="N135" s="339" t="str" cm="1">
        <f t="array" ref="N135">IF(AND(
    SUMPRODUCT(
        (IM!$F$2:$F$2000=A135) *
        ISNUMBER(SEARCH("HUB", IM!$AC$2:$AC$2000)) *
        (IM!$X$2:$X$2000&gt;=$A$1) *
        (IM!$X$2:$X$2000&lt;=$B$1)*(W135="HUB")
    ) &gt; 0
), "HUB", "")</f>
        <v/>
      </c>
      <c r="O135" s="371" t="str">
        <f>IF(I135="","未到店",
IF(AND(S135&gt;I135, R135="STAR", NOT(AND(G135&lt;&gt;"萊到店 WebPOS", Q135&lt;&gt;"EDC"))), "完工已補裝",
IF(AND(G135&lt;&gt;"萊到店 WebPOS", Q135&lt;&gt;"EDC"), "EDC異常",
IF(AND(W135="HUB", N135=""), "HUB異常",
IF(OR(AND(Z135="STAR", R135="STAR"), AND(Z135&lt;&gt;"STAR", R135="")), "已完工", "STAR異常")
))))</f>
        <v>STAR異常</v>
      </c>
      <c r="P135" s="238" t="str">
        <f>(TEXT(I135,"yyyymmdd"))&amp;$S$2&amp;A135&amp;$S$2&amp;B135&amp;$Q$2</f>
        <v>20250514-4352-三重公園店(定保)</v>
      </c>
      <c r="Q135" s="357" t="str" cm="1">
        <f t="array" ref="Q135">IF(AND(SUMPRODUCT((IM!$F$2:$F$2000=A135)*(ISNUMBER(SEARCH("EDC", IM!$AC$2:$AC$2000))))&gt;0), "EDC", "")</f>
        <v>EDC</v>
      </c>
      <c r="R135" s="358" t="str" cm="1">
        <f t="array" ref="R135">IF(AND(SUMPRODUCT((IM!$F$2:$F$2000=A135)*(ISNUMBER(SEARCH("STAR", IM!$AC$2:$AC$2000))))&gt;0), "STAR", "")</f>
        <v/>
      </c>
      <c r="S135" s="359" t="str" cm="1">
        <f t="array" ref="S135">IFERROR(INDEX(IM!$X$2:$X$650, MATCH(1, (IM!$F$2:$F$650=A135) * (ISNUMBER(SEARCH($D$1, IM!$AC$2:$AC$650))), 0)), "")</f>
        <v/>
      </c>
      <c r="T135" s="355">
        <f>IF(AND(X135&lt;&gt;"", Y135&lt;&gt;""), 2, IF(OR(X135&lt;&gt;"", Y135&lt;&gt;""), 1, 0))</f>
        <v>2</v>
      </c>
      <c r="U135" s="355"/>
      <c r="V135" s="373">
        <f>IF(OR(R135="STAR", T135="", U135=""), T135,
"總數：" &amp; T135 &amp; CHAR(10) &amp;
"已維修：" &amp; U135 &amp; CHAR(10) &amp;
"未更換：" &amp; (T135 - U135))</f>
        <v>2</v>
      </c>
      <c r="W135" s="360" t="str">
        <f>IF(VLOOKUP(A135,'0919門市清單主檔'!B:E,4,FALSE)=0,"",VLOOKUP(A135,'0919門市清單主檔'!B:E,4,FALSE))</f>
        <v/>
      </c>
      <c r="X135" s="3" t="s">
        <v>4322</v>
      </c>
      <c r="Y135" s="5" t="s">
        <v>4323</v>
      </c>
      <c r="Z135" s="5" t="str">
        <f>IF(T135&gt;0,"STAR","")</f>
        <v>STAR</v>
      </c>
    </row>
    <row r="136" spans="1:26" ht="15.75" customHeight="1">
      <c r="A136" s="174" t="s">
        <v>23</v>
      </c>
      <c r="B136" s="175" t="str">
        <f>VLOOKUP(A136,'0919門市清單主檔'!B:C,2,FALSE)</f>
        <v>三重中興北二</v>
      </c>
      <c r="C136" s="176" t="str">
        <f>VLOOKUP($A136,'0919門市清單主檔'!B:V,20,FALSE)</f>
        <v>新北市</v>
      </c>
      <c r="D136" s="177" t="str">
        <f>VLOOKUP($A136,'0919門市清單主檔'!B:V,21,FALSE)</f>
        <v>三重區</v>
      </c>
      <c r="E136" s="178" t="str">
        <f>VLOOKUP(D136,區域表!A:B,2,FALSE)</f>
        <v>吳宗鴻</v>
      </c>
      <c r="F136" s="179" t="str">
        <f>IFERROR(IF(VLOOKUP(A136,門市狀態!A:D,4,FALSE)=0,"",VLOOKUP(A136,門市狀態!A:D,4,FALSE)),"")</f>
        <v/>
      </c>
      <c r="G136" s="180" t="s">
        <v>1742</v>
      </c>
      <c r="H136" s="181" t="str">
        <f>IF(I136&gt;0,(TEXT(I136,"yyyymmdd")&amp;$S$2&amp;A136&amp;$S$2&amp;B136&amp;$Q$2),"")</f>
        <v>20250515-D138-三重中興北二(定保)</v>
      </c>
      <c r="I136" s="184">
        <v>45792.493750000001</v>
      </c>
      <c r="J136" s="183" cm="1">
        <f t="array" ref="J136">IFERROR(INDEX(IM!$X$2:$X$650, MATCH(1, (IM!$F$2:$F$650=A136) * (ISNUMBER(SEARCH($C$1, IM!$AC$2:$AC$650))), 0)), "")</f>
        <v>45792.493750000001</v>
      </c>
      <c r="K136" s="154">
        <f>COUNTIFS(IM!F:F,A136,IM!AD:AD,"O",IM!X:X,"&gt;="&amp;$A$1,IM!X:X,"&lt;="&amp;$B$1)</f>
        <v>1</v>
      </c>
      <c r="L136" s="220" t="str" cm="1">
        <f t="array" ref="L136">IF(K136&gt;0,IFERROR(HYPERLINK("#'IM'!AC"&amp;MATCH(1,(IM!$F$1:$F$7700=A136)*(ISNUMBER(SEARCH("PMQ2",IM!$AC$1:$AC$7700))),0),"檢核"),"未登錄"),"")</f>
        <v>檢核</v>
      </c>
      <c r="M136" s="369" t="str">
        <f>Q136&amp;IF(R136&lt;&gt;"",$P$2,"")&amp;R136</f>
        <v>EDC+STAR</v>
      </c>
      <c r="N136" s="339" t="str" cm="1">
        <f t="array" ref="N136">IF(AND(
    SUMPRODUCT(
        (IM!$F$2:$F$2000=A136) *
        ISNUMBER(SEARCH("HUB", IM!$AC$2:$AC$2000)) *
        (IM!$X$2:$X$2000&gt;=$A$1) *
        (IM!$X$2:$X$2000&lt;=$B$1)*(W136="HUB")
    ) &gt; 0
), "HUB", "")</f>
        <v/>
      </c>
      <c r="O136" s="371" t="str">
        <f>IF(I136="","未到店",
IF(AND(S136&gt;I136, R136="STAR", NOT(AND(G136&lt;&gt;"萊到店 WebPOS", Q136&lt;&gt;"EDC"))), "完工已補裝",
IF(AND(G136&lt;&gt;"萊到店 WebPOS", Q136&lt;&gt;"EDC"), "EDC異常",
IF(AND(W136="HUB", N136=""), "HUB異常",
IF(OR(AND(Z136="STAR", R136="STAR"), AND(Z136&lt;&gt;"STAR", R136="")), "已完工", "STAR異常")
))))</f>
        <v>完工已補裝</v>
      </c>
      <c r="P136" s="238" t="str">
        <f>(TEXT(I136,"yyyymmdd"))&amp;$S$2&amp;A136&amp;$S$2&amp;B136&amp;$Q$2</f>
        <v>20250515-D138-三重中興北二(定保)</v>
      </c>
      <c r="Q136" s="357" t="str" cm="1">
        <f t="array" ref="Q136">IF(AND(SUMPRODUCT((IM!$F$2:$F$2000=A136)*(ISNUMBER(SEARCH("EDC", IM!$AC$2:$AC$2000))))&gt;0), "EDC", "")</f>
        <v>EDC</v>
      </c>
      <c r="R136" s="358" t="str" cm="1">
        <f t="array" ref="R136">IF(AND(SUMPRODUCT((IM!$F$2:$F$2000=A136)*(ISNUMBER(SEARCH("STAR", IM!$AC$2:$AC$2000))))&gt;0), "STAR", "")</f>
        <v>STAR</v>
      </c>
      <c r="S136" s="359" cm="1">
        <f t="array" ref="S136">IFERROR(INDEX(IM!$X$2:$X$650, MATCH(1, (IM!$F$2:$F$650=A136) * (ISNUMBER(SEARCH($D$1, IM!$AC$2:$AC$650))), 0)), "")</f>
        <v>45798.604166666664</v>
      </c>
      <c r="T136" s="355">
        <f>IF(AND(X136&lt;&gt;"", Y136&lt;&gt;""), 2, IF(OR(X136&lt;&gt;"", Y136&lt;&gt;""), 1, 0))</f>
        <v>2</v>
      </c>
      <c r="U136" s="355">
        <v>1</v>
      </c>
      <c r="V136" s="373">
        <f>IF(OR(R136="STAR", T136="", U136=""), T136,
"總數：" &amp; T136 &amp; CHAR(10) &amp;
"已維修：" &amp; U136 &amp; CHAR(10) &amp;
"未更換：" &amp; (T136 - U136))</f>
        <v>2</v>
      </c>
      <c r="W136" s="360" t="str">
        <f>IF(VLOOKUP(A136,'0919門市清單主檔'!B:E,4,FALSE)=0,"",VLOOKUP(A136,'0919門市清單主檔'!B:E,4,FALSE))</f>
        <v/>
      </c>
      <c r="X136" s="3" t="s">
        <v>4262</v>
      </c>
      <c r="Y136" s="5" t="s">
        <v>4263</v>
      </c>
      <c r="Z136" s="5" t="str">
        <f>IF(T136&gt;0,"STAR","")</f>
        <v>STAR</v>
      </c>
    </row>
    <row r="137" spans="1:26" ht="15.75" customHeight="1">
      <c r="A137" s="174">
        <v>4036</v>
      </c>
      <c r="B137" s="175" t="str">
        <f>VLOOKUP(A137,'0919門市清單主檔'!B:C,2,FALSE)</f>
        <v>蘆洲永樂店</v>
      </c>
      <c r="C137" s="176" t="str">
        <f>VLOOKUP($A137,'0919門市清單主檔'!B:V,20,FALSE)</f>
        <v>新北市</v>
      </c>
      <c r="D137" s="177" t="str">
        <f>VLOOKUP($A137,'0919門市清單主檔'!B:V,21,FALSE)</f>
        <v>蘆洲區</v>
      </c>
      <c r="E137" s="178" t="str">
        <f>VLOOKUP(D137,區域表!A:B,2,FALSE)</f>
        <v>吳宗鴻</v>
      </c>
      <c r="F137" s="179" t="str">
        <f>IFERROR(IF(VLOOKUP(A137,門市狀態!A:D,4,FALSE)=0,"",VLOOKUP(A137,門市狀態!A:D,4,FALSE)),"")</f>
        <v/>
      </c>
      <c r="G137" s="180" t="s">
        <v>1742</v>
      </c>
      <c r="H137" s="181" t="str">
        <f>IF(I137&gt;0,(TEXT(I137,"yyyymmdd")&amp;$S$2&amp;A137&amp;$S$2&amp;B137&amp;$Q$2),"")</f>
        <v>20250515-4036-蘆洲永樂店(定保)</v>
      </c>
      <c r="I137" s="184">
        <v>45792.577777777777</v>
      </c>
      <c r="J137" s="183" cm="1">
        <f t="array" ref="J137">IFERROR(INDEX(IM!$X$2:$X$650, MATCH(1, (IM!$F$2:$F$650=A137) * (ISNUMBER(SEARCH($C$1, IM!$AC$2:$AC$650))), 0)), "")</f>
        <v>45792.577777777777</v>
      </c>
      <c r="K137" s="154">
        <f>COUNTIFS(IM!F:F,A137,IM!AD:AD,"O",IM!X:X,"&gt;="&amp;$A$1,IM!X:X,"&lt;="&amp;$B$1)</f>
        <v>1</v>
      </c>
      <c r="L137" s="220" t="str" cm="1">
        <f t="array" ref="L137">IF(K137&gt;0,IFERROR(HYPERLINK("#'IM'!AC"&amp;MATCH(1,(IM!$F$1:$F$7700=A137)*(ISNUMBER(SEARCH("PMQ2",IM!$AC$1:$AC$7700))),0),"檢核"),"未登錄"),"")</f>
        <v>檢核</v>
      </c>
      <c r="M137" s="369" t="str">
        <f>Q137&amp;IF(R137&lt;&gt;"",$P$2,"")&amp;R137</f>
        <v>EDC</v>
      </c>
      <c r="N137" s="339" t="str" cm="1">
        <f t="array" ref="N137">IF(AND(
    SUMPRODUCT(
        (IM!$F$2:$F$2000=A137) *
        ISNUMBER(SEARCH("HUB", IM!$AC$2:$AC$2000)) *
        (IM!$X$2:$X$2000&gt;=$A$1) *
        (IM!$X$2:$X$2000&lt;=$B$1)*(W137="HUB")
    ) &gt; 0
), "HUB", "")</f>
        <v/>
      </c>
      <c r="O137" s="371" t="str">
        <f>IF(I137="","未到店",
IF(AND(S137&gt;I137, R137="STAR", NOT(AND(G137&lt;&gt;"萊到店 WebPOS", Q137&lt;&gt;"EDC"))), "完工已補裝",
IF(AND(G137&lt;&gt;"萊到店 WebPOS", Q137&lt;&gt;"EDC"), "EDC異常",
IF(AND(W137="HUB", N137=""), "HUB異常",
IF(OR(AND(Z137="STAR", R137="STAR"), AND(Z137&lt;&gt;"STAR", R137="")), "已完工", "STAR異常")
))))</f>
        <v>STAR異常</v>
      </c>
      <c r="P137" s="238" t="str">
        <f>(TEXT(I137,"yyyymmdd"))&amp;$S$2&amp;A137&amp;$S$2&amp;B137&amp;$Q$2</f>
        <v>20250515-4036-蘆洲永樂店(定保)</v>
      </c>
      <c r="Q137" s="357" t="str" cm="1">
        <f t="array" ref="Q137">IF(AND(SUMPRODUCT((IM!$F$2:$F$2000=A137)*(ISNUMBER(SEARCH("EDC", IM!$AC$2:$AC$2000))))&gt;0), "EDC", "")</f>
        <v>EDC</v>
      </c>
      <c r="R137" s="358" t="str" cm="1">
        <f t="array" ref="R137">IF(AND(SUMPRODUCT((IM!$F$2:$F$2000=A137)*(ISNUMBER(SEARCH("STAR", IM!$AC$2:$AC$2000))))&gt;0), "STAR", "")</f>
        <v/>
      </c>
      <c r="S137" s="359" t="str" cm="1">
        <f t="array" ref="S137">IFERROR(INDEX(IM!$X$2:$X$650, MATCH(1, (IM!$F$2:$F$650=A137) * (ISNUMBER(SEARCH($D$1, IM!$AC$2:$AC$650))), 0)), "")</f>
        <v/>
      </c>
      <c r="T137" s="355">
        <f>IF(AND(X137&lt;&gt;"", Y137&lt;&gt;""), 2, IF(OR(X137&lt;&gt;"", Y137&lt;&gt;""), 1, 0))</f>
        <v>1</v>
      </c>
      <c r="U137" s="355"/>
      <c r="V137" s="373">
        <f>IF(OR(R137="STAR", T137="", U137=""), T137,
"總數：" &amp; T137 &amp; CHAR(10) &amp;
"已維修：" &amp; U137 &amp; CHAR(10) &amp;
"未更換：" &amp; (T137 - U137))</f>
        <v>1</v>
      </c>
      <c r="W137" s="360" t="str">
        <f>IF(VLOOKUP(A137,'0919門市清單主檔'!B:E,4,FALSE)=0,"",VLOOKUP(A137,'0919門市清單主檔'!B:E,4,FALSE))</f>
        <v/>
      </c>
      <c r="X137" s="3" t="s">
        <v>4154</v>
      </c>
      <c r="Y137" s="5"/>
      <c r="Z137" s="5" t="str">
        <f>IF(T137&gt;0,"STAR","")</f>
        <v>STAR</v>
      </c>
    </row>
    <row r="138" spans="1:26" ht="15.75" customHeight="1">
      <c r="A138" s="174">
        <v>2301</v>
      </c>
      <c r="B138" s="175" t="str">
        <f>VLOOKUP(A138,'0919門市清單主檔'!B:C,2,FALSE)</f>
        <v>蘆洲樂平店</v>
      </c>
      <c r="C138" s="176" t="str">
        <f>VLOOKUP($A138,'0919門市清單主檔'!B:V,20,FALSE)</f>
        <v>新北市</v>
      </c>
      <c r="D138" s="177" t="str">
        <f>VLOOKUP($A138,'0919門市清單主檔'!B:V,21,FALSE)</f>
        <v>蘆洲區</v>
      </c>
      <c r="E138" s="178" t="str">
        <f>VLOOKUP(D138,區域表!A:B,2,FALSE)</f>
        <v>吳宗鴻</v>
      </c>
      <c r="F138" s="179" t="str">
        <f>IFERROR(IF(VLOOKUP(A138,門市狀態!A:D,4,FALSE)=0,"",VLOOKUP(A138,門市狀態!A:D,4,FALSE)),"")</f>
        <v/>
      </c>
      <c r="G138" s="180" t="s">
        <v>1742</v>
      </c>
      <c r="H138" s="181" t="str">
        <f>IF(I138&gt;0,(TEXT(I138,"yyyymmdd")&amp;$S$2&amp;A138&amp;$S$2&amp;B138&amp;$Q$2),"")</f>
        <v>20250515-2301-蘆洲樂平店(定保)</v>
      </c>
      <c r="I138" s="184">
        <v>45792.606249999997</v>
      </c>
      <c r="J138" s="183" cm="1">
        <f t="array" ref="J138">IFERROR(INDEX(IM!$X$2:$X$650, MATCH(1, (IM!$F$2:$F$650=A138) * (ISNUMBER(SEARCH($C$1, IM!$AC$2:$AC$650))), 0)), "")</f>
        <v>45792.606249999997</v>
      </c>
      <c r="K138" s="154">
        <f>COUNTIFS(IM!F:F,A138,IM!AD:AD,"O",IM!X:X,"&gt;="&amp;$A$1,IM!X:X,"&lt;="&amp;$B$1)</f>
        <v>1</v>
      </c>
      <c r="L138" s="220" t="str" cm="1">
        <f t="array" ref="L138">IF(K138&gt;0,IFERROR(HYPERLINK("#'IM'!AC"&amp;MATCH(1,(IM!$F$1:$F$7700=A138)*(ISNUMBER(SEARCH("PMQ2",IM!$AC$1:$AC$7700))),0),"檢核"),"未登錄"),"")</f>
        <v>檢核</v>
      </c>
      <c r="M138" s="369" t="str">
        <f>Q138&amp;IF(R138&lt;&gt;"",$P$2,"")&amp;R138</f>
        <v>EDC</v>
      </c>
      <c r="N138" s="339" t="str" cm="1">
        <f t="array" ref="N138">IF(AND(
    SUMPRODUCT(
        (IM!$F$2:$F$2000=A138) *
        ISNUMBER(SEARCH("HUB", IM!$AC$2:$AC$2000)) *
        (IM!$X$2:$X$2000&gt;=$A$1) *
        (IM!$X$2:$X$2000&lt;=$B$1)*(W138="HUB")
    ) &gt; 0
), "HUB", "")</f>
        <v/>
      </c>
      <c r="O138" s="371" t="str">
        <f>IF(I138="","未到店",
IF(AND(S138&gt;I138, R138="STAR", NOT(AND(G138&lt;&gt;"萊到店 WebPOS", Q138&lt;&gt;"EDC"))), "完工已補裝",
IF(AND(G138&lt;&gt;"萊到店 WebPOS", Q138&lt;&gt;"EDC"), "EDC異常",
IF(AND(W138="HUB", N138=""), "HUB異常",
IF(OR(AND(Z138="STAR", R138="STAR"), AND(Z138&lt;&gt;"STAR", R138="")), "已完工", "STAR異常")
))))</f>
        <v>STAR異常</v>
      </c>
      <c r="P138" s="238" t="str">
        <f>(TEXT(I138,"yyyymmdd"))&amp;$S$2&amp;A138&amp;$S$2&amp;B138&amp;$Q$2</f>
        <v>20250515-2301-蘆洲樂平店(定保)</v>
      </c>
      <c r="Q138" s="357" t="str" cm="1">
        <f t="array" ref="Q138">IF(AND(SUMPRODUCT((IM!$F$2:$F$2000=A138)*(ISNUMBER(SEARCH("EDC", IM!$AC$2:$AC$2000))))&gt;0), "EDC", "")</f>
        <v>EDC</v>
      </c>
      <c r="R138" s="358" t="str" cm="1">
        <f t="array" ref="R138">IF(AND(SUMPRODUCT((IM!$F$2:$F$2000=A138)*(ISNUMBER(SEARCH("STAR", IM!$AC$2:$AC$2000))))&gt;0), "STAR", "")</f>
        <v/>
      </c>
      <c r="S138" s="359" t="str" cm="1">
        <f t="array" ref="S138">IFERROR(INDEX(IM!$X$2:$X$650, MATCH(1, (IM!$F$2:$F$650=A138) * (ISNUMBER(SEARCH($D$1, IM!$AC$2:$AC$650))), 0)), "")</f>
        <v/>
      </c>
      <c r="T138" s="355">
        <f>IF(AND(X138&lt;&gt;"", Y138&lt;&gt;""), 2, IF(OR(X138&lt;&gt;"", Y138&lt;&gt;""), 1, 0))</f>
        <v>2</v>
      </c>
      <c r="U138" s="355"/>
      <c r="V138" s="373">
        <f>IF(OR(R138="STAR", T138="", U138=""), T138,
"總數：" &amp; T138 &amp; CHAR(10) &amp;
"已維修：" &amp; U138 &amp; CHAR(10) &amp;
"未更換：" &amp; (T138 - U138))</f>
        <v>2</v>
      </c>
      <c r="W138" s="360" t="str">
        <f>IF(VLOOKUP(A138,'0919門市清單主檔'!B:E,4,FALSE)=0,"",VLOOKUP(A138,'0919門市清單主檔'!B:E,4,FALSE))</f>
        <v/>
      </c>
      <c r="X138" s="3" t="s">
        <v>4160</v>
      </c>
      <c r="Y138" s="5" t="s">
        <v>4161</v>
      </c>
      <c r="Z138" s="5" t="str">
        <f>IF(T138&gt;0,"STAR","")</f>
        <v>STAR</v>
      </c>
    </row>
    <row r="139" spans="1:26" ht="15.75" customHeight="1">
      <c r="A139" s="174">
        <v>4923</v>
      </c>
      <c r="B139" s="175" t="str">
        <f>VLOOKUP(A139,'0919門市清單主檔'!B:C,2,FALSE)</f>
        <v>蘆洲永平店</v>
      </c>
      <c r="C139" s="176" t="str">
        <f>VLOOKUP($A139,'0919門市清單主檔'!B:V,20,FALSE)</f>
        <v>新北市</v>
      </c>
      <c r="D139" s="177" t="str">
        <f>VLOOKUP($A139,'0919門市清單主檔'!B:V,21,FALSE)</f>
        <v>蘆洲區</v>
      </c>
      <c r="E139" s="178" t="str">
        <f>VLOOKUP(D139,區域表!A:B,2,FALSE)</f>
        <v>吳宗鴻</v>
      </c>
      <c r="F139" s="179" t="str">
        <f>IFERROR(IF(VLOOKUP(A139,門市狀態!A:D,4,FALSE)=0,"",VLOOKUP(A139,門市狀態!A:D,4,FALSE)),"")</f>
        <v/>
      </c>
      <c r="G139" s="180" t="s">
        <v>1742</v>
      </c>
      <c r="H139" s="181" t="str">
        <f>IF(I139&gt;0,(TEXT(I139,"yyyymmdd")&amp;$S$2&amp;A139&amp;$S$2&amp;B139&amp;$Q$2),"")</f>
        <v>20250515-4923-蘆洲永平店(定保)</v>
      </c>
      <c r="I139" s="184">
        <v>45792.627083333333</v>
      </c>
      <c r="J139" s="183" cm="1">
        <f t="array" ref="J139">IFERROR(INDEX(IM!$X$2:$X$650, MATCH(1, (IM!$F$2:$F$650=A139) * (ISNUMBER(SEARCH($C$1, IM!$AC$2:$AC$650))), 0)), "")</f>
        <v>45792.627083333333</v>
      </c>
      <c r="K139" s="154">
        <f>COUNTIFS(IM!F:F,A139,IM!AD:AD,"O",IM!X:X,"&gt;="&amp;$A$1,IM!X:X,"&lt;="&amp;$B$1)</f>
        <v>1</v>
      </c>
      <c r="L139" s="220" t="str" cm="1">
        <f t="array" ref="L139">IF(K139&gt;0,IFERROR(HYPERLINK("#'IM'!AC"&amp;MATCH(1,(IM!$F$1:$F$7700=A139)*(ISNUMBER(SEARCH("PMQ2",IM!$AC$1:$AC$7700))),0),"檢核"),"未登錄"),"")</f>
        <v>檢核</v>
      </c>
      <c r="M139" s="369" t="str">
        <f>Q139&amp;IF(R139&lt;&gt;"",$P$2,"")&amp;R139</f>
        <v>EDC</v>
      </c>
      <c r="N139" s="339" t="str" cm="1">
        <f t="array" ref="N139">IF(AND(
    SUMPRODUCT(
        (IM!$F$2:$F$2000=A139) *
        ISNUMBER(SEARCH("HUB", IM!$AC$2:$AC$2000)) *
        (IM!$X$2:$X$2000&gt;=$A$1) *
        (IM!$X$2:$X$2000&lt;=$B$1)*(W139="HUB")
    ) &gt; 0
), "HUB", "")</f>
        <v/>
      </c>
      <c r="O139" s="371" t="str">
        <f>IF(I139="","未到店",
IF(AND(S139&gt;I139, R139="STAR", NOT(AND(G139&lt;&gt;"萊到店 WebPOS", Q139&lt;&gt;"EDC"))), "完工已補裝",
IF(AND(G139&lt;&gt;"萊到店 WebPOS", Q139&lt;&gt;"EDC"), "EDC異常",
IF(AND(W139="HUB", N139=""), "HUB異常",
IF(OR(AND(Z139="STAR", R139="STAR"), AND(Z139&lt;&gt;"STAR", R139="")), "已完工", "STAR異常")
))))</f>
        <v>STAR異常</v>
      </c>
      <c r="P139" s="238" t="str">
        <f>(TEXT(I139,"yyyymmdd"))&amp;$S$2&amp;A139&amp;$S$2&amp;B139&amp;$Q$2</f>
        <v>20250515-4923-蘆洲永平店(定保)</v>
      </c>
      <c r="Q139" s="357" t="str" cm="1">
        <f t="array" ref="Q139">IF(AND(SUMPRODUCT((IM!$F$2:$F$2000=A139)*(ISNUMBER(SEARCH("EDC", IM!$AC$2:$AC$2000))))&gt;0), "EDC", "")</f>
        <v>EDC</v>
      </c>
      <c r="R139" s="358" t="str" cm="1">
        <f t="array" ref="R139">IF(AND(SUMPRODUCT((IM!$F$2:$F$2000=A139)*(ISNUMBER(SEARCH("STAR", IM!$AC$2:$AC$2000))))&gt;0), "STAR", "")</f>
        <v/>
      </c>
      <c r="S139" s="359" t="str" cm="1">
        <f t="array" ref="S139">IFERROR(INDEX(IM!$X$2:$X$650, MATCH(1, (IM!$F$2:$F$650=A139) * (ISNUMBER(SEARCH($D$1, IM!$AC$2:$AC$650))), 0)), "")</f>
        <v/>
      </c>
      <c r="T139" s="355">
        <f>IF(AND(X139&lt;&gt;"", Y139&lt;&gt;""), 2, IF(OR(X139&lt;&gt;"", Y139&lt;&gt;""), 1, 0))</f>
        <v>1</v>
      </c>
      <c r="U139" s="355"/>
      <c r="V139" s="373">
        <f>IF(OR(R139="STAR", T139="", U139=""), T139,
"總數：" &amp; T139 &amp; CHAR(10) &amp;
"已維修：" &amp; U139 &amp; CHAR(10) &amp;
"未更換：" &amp; (T139 - U139))</f>
        <v>1</v>
      </c>
      <c r="W139" s="360" t="str">
        <f>IF(VLOOKUP(A139,'0919門市清單主檔'!B:E,4,FALSE)=0,"",VLOOKUP(A139,'0919門市清單主檔'!B:E,4,FALSE))</f>
        <v/>
      </c>
      <c r="Y139" s="5" t="s">
        <v>4347</v>
      </c>
      <c r="Z139" s="5" t="str">
        <f>IF(T139&gt;0,"STAR","")</f>
        <v>STAR</v>
      </c>
    </row>
    <row r="140" spans="1:26" ht="15.75" customHeight="1">
      <c r="A140" s="174">
        <v>5057</v>
      </c>
      <c r="B140" s="175" t="str">
        <f>VLOOKUP(A140,'0919門市清單主檔'!B:C,2,FALSE)</f>
        <v>新莊中港店</v>
      </c>
      <c r="C140" s="176" t="str">
        <f>VLOOKUP($A140,'0919門市清單主檔'!B:V,20,FALSE)</f>
        <v>新北市</v>
      </c>
      <c r="D140" s="177" t="str">
        <f>VLOOKUP($A140,'0919門市清單主檔'!B:V,21,FALSE)</f>
        <v>新莊區</v>
      </c>
      <c r="E140" s="178" t="str">
        <f>VLOOKUP(D140,區域表!A:B,2,FALSE)</f>
        <v>湯家瑋</v>
      </c>
      <c r="F140" s="179" t="str">
        <f>IFERROR(IF(VLOOKUP(A140,門市狀態!A:D,4,FALSE)=0,"",VLOOKUP(A140,門市狀態!A:D,4,FALSE)),"")</f>
        <v/>
      </c>
      <c r="G140" s="180" t="s">
        <v>1742</v>
      </c>
      <c r="H140" s="181" t="str">
        <f>IF(I140&gt;0,(TEXT(I140,"yyyymmdd")&amp;$S$2&amp;A140&amp;$S$2&amp;B140&amp;$Q$2),"")</f>
        <v>20250516-5057-新莊中港店(定保)</v>
      </c>
      <c r="I140" s="184">
        <v>45793.416666666664</v>
      </c>
      <c r="J140" s="183" cm="1">
        <f t="array" ref="J140">IFERROR(INDEX(IM!$X$2:$X$650, MATCH(1, (IM!$F$2:$F$650=A140) * (ISNUMBER(SEARCH($C$1, IM!$AC$2:$AC$650))), 0)), "")</f>
        <v>45793.416666666664</v>
      </c>
      <c r="K140" s="154">
        <f>COUNTIFS(IM!F:F,A140,IM!AD:AD,"O",IM!X:X,"&gt;="&amp;$A$1,IM!X:X,"&lt;="&amp;$B$1)</f>
        <v>1</v>
      </c>
      <c r="L140" s="220" t="str" cm="1">
        <f t="array" ref="L140">IF(K140&gt;0,IFERROR(HYPERLINK("#'IM'!AC"&amp;MATCH(1,(IM!$F$1:$F$7700=A140)*(ISNUMBER(SEARCH("PMQ2",IM!$AC$1:$AC$7700))),0),"檢核"),"未登錄"),"")</f>
        <v>檢核</v>
      </c>
      <c r="M140" s="369" t="str">
        <f>Q140&amp;IF(R140&lt;&gt;"",$P$2,"")&amp;R140</f>
        <v>EDC</v>
      </c>
      <c r="N140" s="339" t="str" cm="1">
        <f t="array" ref="N140">IF(AND(
    SUMPRODUCT(
        (IM!$F$2:$F$2000=A140) *
        ISNUMBER(SEARCH("HUB", IM!$AC$2:$AC$2000)) *
        (IM!$X$2:$X$2000&gt;=$A$1) *
        (IM!$X$2:$X$2000&lt;=$B$1)*(W140="HUB")
    ) &gt; 0
), "HUB", "")</f>
        <v/>
      </c>
      <c r="O140" s="371" t="str">
        <f>IF(I140="","未到店",
IF(AND(S140&gt;I140, R140="STAR", NOT(AND(G140&lt;&gt;"萊到店 WebPOS", Q140&lt;&gt;"EDC"))), "完工已補裝",
IF(AND(G140&lt;&gt;"萊到店 WebPOS", Q140&lt;&gt;"EDC"), "EDC異常",
IF(AND(W140="HUB", N140=""), "HUB異常",
IF(OR(AND(Z140="STAR", R140="STAR"), AND(Z140&lt;&gt;"STAR", R140="")), "已完工", "STAR異常")
))))</f>
        <v>STAR異常</v>
      </c>
      <c r="P140" s="238" t="str">
        <f>(TEXT(I140,"yyyymmdd"))&amp;$S$2&amp;A140&amp;$S$2&amp;B140&amp;$Q$2</f>
        <v>20250516-5057-新莊中港店(定保)</v>
      </c>
      <c r="Q140" s="357" t="str" cm="1">
        <f t="array" ref="Q140">IF(AND(SUMPRODUCT((IM!$F$2:$F$2000=A140)*(ISNUMBER(SEARCH("EDC", IM!$AC$2:$AC$2000))))&gt;0), "EDC", "")</f>
        <v>EDC</v>
      </c>
      <c r="R140" s="358" t="str" cm="1">
        <f t="array" ref="R140">IF(AND(SUMPRODUCT((IM!$F$2:$F$2000=A140)*(ISNUMBER(SEARCH("STAR", IM!$AC$2:$AC$2000))))&gt;0), "STAR", "")</f>
        <v/>
      </c>
      <c r="S140" s="359" t="str" cm="1">
        <f t="array" ref="S140">IFERROR(INDEX(IM!$X$2:$X$650, MATCH(1, (IM!$F$2:$F$650=A140) * (ISNUMBER(SEARCH($D$1, IM!$AC$2:$AC$650))), 0)), "")</f>
        <v/>
      </c>
      <c r="T140" s="355">
        <f>IF(AND(X140&lt;&gt;"", Y140&lt;&gt;""), 2, IF(OR(X140&lt;&gt;"", Y140&lt;&gt;""), 1, 0))</f>
        <v>2</v>
      </c>
      <c r="U140" s="355"/>
      <c r="V140" s="373">
        <f>IF(OR(R140="STAR", T140="", U140=""), T140,
"總數：" &amp; T140 &amp; CHAR(10) &amp;
"已維修：" &amp; U140 &amp; CHAR(10) &amp;
"未更換：" &amp; (T140 - U140))</f>
        <v>2</v>
      </c>
      <c r="W140" s="360" t="str">
        <f>IF(VLOOKUP(A140,'0919門市清單主檔'!B:E,4,FALSE)=0,"",VLOOKUP(A140,'0919門市清單主檔'!B:E,4,FALSE))</f>
        <v/>
      </c>
      <c r="X140" s="3" t="s">
        <v>4412</v>
      </c>
      <c r="Y140" s="5" t="s">
        <v>4413</v>
      </c>
      <c r="Z140" s="5" t="str">
        <f>IF(T140&gt;0,"STAR","")</f>
        <v>STAR</v>
      </c>
    </row>
    <row r="141" spans="1:26" ht="15.75" customHeight="1">
      <c r="A141" s="174">
        <v>3380</v>
      </c>
      <c r="B141" s="175" t="str">
        <f>VLOOKUP(A141,'0919門市清單主檔'!B:C,2,FALSE)</f>
        <v>北縣莊勝店</v>
      </c>
      <c r="C141" s="176" t="str">
        <f>VLOOKUP($A141,'0919門市清單主檔'!B:V,20,FALSE)</f>
        <v>新北市</v>
      </c>
      <c r="D141" s="177" t="str">
        <f>VLOOKUP($A141,'0919門市清單主檔'!B:V,21,FALSE)</f>
        <v>新莊區</v>
      </c>
      <c r="E141" s="178" t="str">
        <f>VLOOKUP(D141,區域表!A:B,2,FALSE)</f>
        <v>湯家瑋</v>
      </c>
      <c r="F141" s="179" t="str">
        <f>IFERROR(IF(VLOOKUP(A141,門市狀態!A:D,4,FALSE)=0,"",VLOOKUP(A141,門市狀態!A:D,4,FALSE)),"")</f>
        <v/>
      </c>
      <c r="G141" s="180" t="s">
        <v>1742</v>
      </c>
      <c r="H141" s="181" t="str">
        <f>IF(I141&gt;0,(TEXT(I141,"yyyymmdd")&amp;$S$2&amp;A141&amp;$S$2&amp;B141&amp;$Q$2),"")</f>
        <v>20250519-3380-北縣莊勝店(定保)</v>
      </c>
      <c r="I141" s="184">
        <v>45796.576388888891</v>
      </c>
      <c r="J141" s="183" cm="1">
        <f t="array" ref="J141">IFERROR(INDEX(IM!$X$2:$X$650, MATCH(1, (IM!$F$2:$F$650=A141) * (ISNUMBER(SEARCH($C$1, IM!$AC$2:$AC$650))), 0)), "")</f>
        <v>45796.576388888891</v>
      </c>
      <c r="K141" s="154">
        <f>COUNTIFS(IM!F:F,A141,IM!AD:AD,"O",IM!X:X,"&gt;="&amp;$A$1,IM!X:X,"&lt;="&amp;$B$1)</f>
        <v>1</v>
      </c>
      <c r="L141" s="220" t="str" cm="1">
        <f t="array" ref="L141">IF(K141&gt;0,IFERROR(HYPERLINK("#'IM'!AC"&amp;MATCH(1,(IM!$F$1:$F$7700=A141)*(ISNUMBER(SEARCH("PMQ2",IM!$AC$1:$AC$7700))),0),"檢核"),"未登錄"),"")</f>
        <v>檢核</v>
      </c>
      <c r="M141" s="369" t="str">
        <f>Q141&amp;IF(R141&lt;&gt;"",$P$2,"")&amp;R141</f>
        <v>EDC+STAR</v>
      </c>
      <c r="N141" s="339" t="str" cm="1">
        <f t="array" ref="N141">IF(AND(
    SUMPRODUCT(
        (IM!$F$2:$F$2000=A141) *
        ISNUMBER(SEARCH("HUB", IM!$AC$2:$AC$2000)) *
        (IM!$X$2:$X$2000&gt;=$A$1) *
        (IM!$X$2:$X$2000&lt;=$B$1)*(W141="HUB")
    ) &gt; 0
), "HUB", "")</f>
        <v/>
      </c>
      <c r="O141" s="371" t="str">
        <f>IF(I141="","未到店",
IF(AND(S141&gt;I141, R141="STAR", NOT(AND(G141&lt;&gt;"萊到店 WebPOS", Q141&lt;&gt;"EDC"))), "完工已補裝",
IF(AND(G141&lt;&gt;"萊到店 WebPOS", Q141&lt;&gt;"EDC"), "EDC異常",
IF(AND(W141="HUB", N141=""), "HUB異常",
IF(OR(AND(Z141="STAR", R141="STAR"), AND(Z141&lt;&gt;"STAR", R141="")), "已完工", "STAR異常")
))))</f>
        <v>已完工</v>
      </c>
      <c r="P141" s="238" t="str">
        <f>(TEXT(I141,"yyyymmdd"))&amp;$S$2&amp;A141&amp;$S$2&amp;B141&amp;$Q$2</f>
        <v>20250519-3380-北縣莊勝店(定保)</v>
      </c>
      <c r="Q141" s="357" t="str" cm="1">
        <f t="array" ref="Q141">IF(AND(SUMPRODUCT((IM!$F$2:$F$2000=A141)*(ISNUMBER(SEARCH("EDC", IM!$AC$2:$AC$2000))))&gt;0), "EDC", "")</f>
        <v>EDC</v>
      </c>
      <c r="R141" s="358" t="str" cm="1">
        <f t="array" ref="R141">IF(AND(SUMPRODUCT((IM!$F$2:$F$2000=A141)*(ISNUMBER(SEARCH("STAR", IM!$AC$2:$AC$2000))))&gt;0), "STAR", "")</f>
        <v>STAR</v>
      </c>
      <c r="S141" s="359" cm="1">
        <f t="array" ref="S141">IFERROR(INDEX(IM!$X$2:$X$650, MATCH(1, (IM!$F$2:$F$650=A141) * (ISNUMBER(SEARCH($D$1, IM!$AC$2:$AC$650))), 0)), "")</f>
        <v>45796.576388888891</v>
      </c>
      <c r="T141" s="355">
        <f>IF(AND(X141&lt;&gt;"", Y141&lt;&gt;""), 2, IF(OR(X141&lt;&gt;"", Y141&lt;&gt;""), 1, 0))</f>
        <v>1</v>
      </c>
      <c r="U141" s="355"/>
      <c r="V141" s="373">
        <f>IF(OR(R141="STAR", T141="", U141=""), T141,
"總數：" &amp; T141 &amp; CHAR(10) &amp;
"已維修：" &amp; U141 &amp; CHAR(10) &amp;
"未更換：" &amp; (T141 - U141))</f>
        <v>1</v>
      </c>
      <c r="W141" s="360" t="str">
        <f>IF(VLOOKUP(A141,'0919門市清單主檔'!B:E,4,FALSE)=0,"",VLOOKUP(A141,'0919門市清單主檔'!B:E,4,FALSE))</f>
        <v/>
      </c>
      <c r="Y141" s="5" t="s">
        <v>4157</v>
      </c>
      <c r="Z141" s="5" t="str">
        <f>IF(T141&gt;0,"STAR","")</f>
        <v>STAR</v>
      </c>
    </row>
    <row r="142" spans="1:26" ht="15.75" customHeight="1">
      <c r="A142" s="174">
        <v>4167</v>
      </c>
      <c r="B142" s="175" t="str">
        <f>VLOOKUP(A142,'0919門市清單主檔'!B:C,2,FALSE)</f>
        <v>板橋松翠店</v>
      </c>
      <c r="C142" s="176" t="str">
        <f>VLOOKUP($A142,'0919門市清單主檔'!B:V,20,FALSE)</f>
        <v>新北市</v>
      </c>
      <c r="D142" s="177" t="str">
        <f>VLOOKUP($A142,'0919門市清單主檔'!B:V,21,FALSE)</f>
        <v>板橋區</v>
      </c>
      <c r="E142" s="178" t="str">
        <f>VLOOKUP(D142,區域表!A:B,2,FALSE)</f>
        <v>狄澤洋</v>
      </c>
      <c r="F142" s="179" t="str">
        <f>IFERROR(IF(VLOOKUP(A142,門市狀態!A:D,4,FALSE)=0,"",VLOOKUP(A142,門市狀態!A:D,4,FALSE)),"")</f>
        <v/>
      </c>
      <c r="G142" s="180" t="s">
        <v>1742</v>
      </c>
      <c r="H142" s="181" t="str">
        <f>IF(I142&gt;0,(TEXT(I142,"yyyymmdd")&amp;$S$2&amp;A142&amp;$S$2&amp;B142&amp;$Q$2),"")</f>
        <v>20250519-4167-板橋松翠店(定保)</v>
      </c>
      <c r="I142" s="184">
        <v>45796.663194444445</v>
      </c>
      <c r="J142" s="183" cm="1">
        <f t="array" ref="J142">IFERROR(INDEX(IM!$X$2:$X$650, MATCH(1, (IM!$F$2:$F$650=A142) * (ISNUMBER(SEARCH($C$1, IM!$AC$2:$AC$650))), 0)), "")</f>
        <v>45796.663194444445</v>
      </c>
      <c r="K142" s="154">
        <f>COUNTIFS(IM!F:F,A142,IM!AD:AD,"O",IM!X:X,"&gt;="&amp;$A$1,IM!X:X,"&lt;="&amp;$B$1)</f>
        <v>1</v>
      </c>
      <c r="L142" s="220" t="str" cm="1">
        <f t="array" ref="L142">IF(K142&gt;0,IFERROR(HYPERLINK("#'IM'!AC"&amp;MATCH(1,(IM!$F$1:$F$7700=A142)*(ISNUMBER(SEARCH("PMQ2",IM!$AC$1:$AC$7700))),0),"檢核"),"未登錄"),"")</f>
        <v>檢核</v>
      </c>
      <c r="M142" s="369" t="str">
        <f>Q142&amp;IF(R142&lt;&gt;"",$P$2,"")&amp;R142</f>
        <v>EDC+STAR</v>
      </c>
      <c r="N142" s="339" t="str" cm="1">
        <f t="array" ref="N142">IF(AND(
    SUMPRODUCT(
        (IM!$F$2:$F$2000=A142) *
        ISNUMBER(SEARCH("HUB", IM!$AC$2:$AC$2000)) *
        (IM!$X$2:$X$2000&gt;=$A$1) *
        (IM!$X$2:$X$2000&lt;=$B$1)*(W142="HUB")
    ) &gt; 0
), "HUB", "")</f>
        <v/>
      </c>
      <c r="O142" s="371" t="str">
        <f>IF(I142="","未到店",
IF(AND(S142&gt;I142, R142="STAR", NOT(AND(G142&lt;&gt;"萊到店 WebPOS", Q142&lt;&gt;"EDC"))), "完工已補裝",
IF(AND(G142&lt;&gt;"萊到店 WebPOS", Q142&lt;&gt;"EDC"), "EDC異常",
IF(AND(W142="HUB", N142=""), "HUB異常",
IF(OR(AND(Z142="STAR", R142="STAR"), AND(Z142&lt;&gt;"STAR", R142="")), "已完工", "STAR異常")
))))</f>
        <v>已完工</v>
      </c>
      <c r="P142" s="238" t="str">
        <f>(TEXT(I142,"yyyymmdd"))&amp;$S$2&amp;A142&amp;$S$2&amp;B142&amp;$Q$2</f>
        <v>20250519-4167-板橋松翠店(定保)</v>
      </c>
      <c r="Q142" s="357" t="str" cm="1">
        <f t="array" ref="Q142">IF(AND(SUMPRODUCT((IM!$F$2:$F$2000=A142)*(ISNUMBER(SEARCH("EDC", IM!$AC$2:$AC$2000))))&gt;0), "EDC", "")</f>
        <v>EDC</v>
      </c>
      <c r="R142" s="358" t="str" cm="1">
        <f t="array" ref="R142">IF(AND(SUMPRODUCT((IM!$F$2:$F$2000=A142)*(ISNUMBER(SEARCH("STAR", IM!$AC$2:$AC$2000))))&gt;0), "STAR", "")</f>
        <v>STAR</v>
      </c>
      <c r="S142" s="359" cm="1">
        <f t="array" ref="S142">IFERROR(INDEX(IM!$X$2:$X$650, MATCH(1, (IM!$F$2:$F$650=A142) * (ISNUMBER(SEARCH($D$1, IM!$AC$2:$AC$650))), 0)), "")</f>
        <v>45796.663194444445</v>
      </c>
      <c r="T142" s="355">
        <f>IF(AND(X142&lt;&gt;"", Y142&lt;&gt;""), 2, IF(OR(X142&lt;&gt;"", Y142&lt;&gt;""), 1, 0))</f>
        <v>2</v>
      </c>
      <c r="U142" s="355"/>
      <c r="V142" s="373">
        <f>IF(OR(R142="STAR", T142="", U142=""), T142,
"總數：" &amp; T142 &amp; CHAR(10) &amp;
"已維修：" &amp; U142 &amp; CHAR(10) &amp;
"未更換：" &amp; (T142 - U142))</f>
        <v>2</v>
      </c>
      <c r="W142" s="360" t="str">
        <f>IF(VLOOKUP(A142,'0919門市清單主檔'!B:E,4,FALSE)=0,"",VLOOKUP(A142,'0919門市清單主檔'!B:E,4,FALSE))</f>
        <v/>
      </c>
      <c r="X142" s="3" t="s">
        <v>4269</v>
      </c>
      <c r="Y142" s="5" t="s">
        <v>4270</v>
      </c>
      <c r="Z142" s="5" t="str">
        <f>IF(T142&gt;0,"STAR","")</f>
        <v>STAR</v>
      </c>
    </row>
    <row r="143" spans="1:26" ht="15.75" customHeight="1">
      <c r="A143" s="174" t="s">
        <v>34</v>
      </c>
      <c r="B143" s="175" t="str">
        <f>VLOOKUP(A143,'0919門市清單主檔'!B:C,2,FALSE)</f>
        <v>板橋寶翠店</v>
      </c>
      <c r="C143" s="176" t="str">
        <f>VLOOKUP($A143,'0919門市清單主檔'!B:V,20,FALSE)</f>
        <v>新北市</v>
      </c>
      <c r="D143" s="177" t="str">
        <f>VLOOKUP($A143,'0919門市清單主檔'!B:V,21,FALSE)</f>
        <v>板橋區</v>
      </c>
      <c r="E143" s="178" t="str">
        <f>VLOOKUP(D143,區域表!A:B,2,FALSE)</f>
        <v>狄澤洋</v>
      </c>
      <c r="F143" s="179" t="str">
        <f>IFERROR(IF(VLOOKUP(A143,門市狀態!A:D,4,FALSE)=0,"",VLOOKUP(A143,門市狀態!A:D,4,FALSE)),"")</f>
        <v/>
      </c>
      <c r="G143" s="180" t="s">
        <v>1742</v>
      </c>
      <c r="H143" s="181" t="str">
        <f>IF(I143&gt;0,(TEXT(I143,"yyyymmdd")&amp;$S$2&amp;A143&amp;$S$2&amp;B143&amp;$Q$2),"")</f>
        <v>20250520-D767-板橋寶翠店(定保)</v>
      </c>
      <c r="I143" s="184">
        <v>45797.510416666664</v>
      </c>
      <c r="J143" s="183" cm="1">
        <f t="array" ref="J143">IFERROR(INDEX(IM!$X$2:$X$650, MATCH(1, (IM!$F$2:$F$650=A143) * (ISNUMBER(SEARCH($C$1, IM!$AC$2:$AC$650))), 0)), "")</f>
        <v>45797.510416666664</v>
      </c>
      <c r="K143" s="154">
        <f>COUNTIFS(IM!F:F,A143,IM!AD:AD,"O",IM!X:X,"&gt;="&amp;$A$1,IM!X:X,"&lt;="&amp;$B$1)</f>
        <v>1</v>
      </c>
      <c r="L143" s="220" t="str" cm="1">
        <f t="array" ref="L143">IF(K143&gt;0,IFERROR(HYPERLINK("#'IM'!AC"&amp;MATCH(1,(IM!$F$1:$F$7700=A143)*(ISNUMBER(SEARCH("PMQ2",IM!$AC$1:$AC$7700))),0),"檢核"),"未登錄"),"")</f>
        <v>檢核</v>
      </c>
      <c r="M143" s="369" t="str">
        <f>Q143&amp;IF(R143&lt;&gt;"",$P$2,"")&amp;R143</f>
        <v>EDC+STAR</v>
      </c>
      <c r="N143" s="339" t="str" cm="1">
        <f t="array" ref="N143">IF(AND(
    SUMPRODUCT(
        (IM!$F$2:$F$2000=A143) *
        ISNUMBER(SEARCH("HUB", IM!$AC$2:$AC$2000)) *
        (IM!$X$2:$X$2000&gt;=$A$1) *
        (IM!$X$2:$X$2000&lt;=$B$1)*(W143="HUB")
    ) &gt; 0
), "HUB", "")</f>
        <v/>
      </c>
      <c r="O143" s="371" t="str">
        <f>IF(I143="","未到店",
IF(AND(S143&gt;I143, R143="STAR", NOT(AND(G143&lt;&gt;"萊到店 WebPOS", Q143&lt;&gt;"EDC"))), "完工已補裝",
IF(AND(G143&lt;&gt;"萊到店 WebPOS", Q143&lt;&gt;"EDC"), "EDC異常",
IF(AND(W143="HUB", N143=""), "HUB異常",
IF(OR(AND(Z143="STAR", R143="STAR"), AND(Z143&lt;&gt;"STAR", R143="")), "已完工", "STAR異常")
))))</f>
        <v>已完工</v>
      </c>
      <c r="P143" s="238" t="str">
        <f>(TEXT(I143,"yyyymmdd"))&amp;$S$2&amp;A143&amp;$S$2&amp;B143&amp;$Q$2</f>
        <v>20250520-D767-板橋寶翠店(定保)</v>
      </c>
      <c r="Q143" s="357" t="str" cm="1">
        <f t="array" ref="Q143">IF(AND(SUMPRODUCT((IM!$F$2:$F$2000=A143)*(ISNUMBER(SEARCH("EDC", IM!$AC$2:$AC$2000))))&gt;0), "EDC", "")</f>
        <v>EDC</v>
      </c>
      <c r="R143" s="358" t="str" cm="1">
        <f t="array" ref="R143">IF(AND(SUMPRODUCT((IM!$F$2:$F$2000=A143)*(ISNUMBER(SEARCH("STAR", IM!$AC$2:$AC$2000))))&gt;0), "STAR", "")</f>
        <v>STAR</v>
      </c>
      <c r="S143" s="359" cm="1">
        <f t="array" ref="S143">IFERROR(INDEX(IM!$X$2:$X$650, MATCH(1, (IM!$F$2:$F$650=A143) * (ISNUMBER(SEARCH($D$1, IM!$AC$2:$AC$650))), 0)), "")</f>
        <v>45797.510416666664</v>
      </c>
      <c r="T143" s="355">
        <f>IF(AND(X143&lt;&gt;"", Y143&lt;&gt;""), 2, IF(OR(X143&lt;&gt;"", Y143&lt;&gt;""), 1, 0))</f>
        <v>2</v>
      </c>
      <c r="U143" s="355"/>
      <c r="V143" s="373">
        <f>IF(OR(R143="STAR", T143="", U143=""), T143,
"總數：" &amp; T143 &amp; CHAR(10) &amp;
"已維修：" &amp; U143 &amp; CHAR(10) &amp;
"未更換：" &amp; (T143 - U143))</f>
        <v>2</v>
      </c>
      <c r="W143" s="360" t="str">
        <f>IF(VLOOKUP(A143,'0919門市清單主檔'!B:E,4,FALSE)=0,"",VLOOKUP(A143,'0919門市清單主檔'!B:E,4,FALSE))</f>
        <v/>
      </c>
      <c r="X143" s="3" t="s">
        <v>4152</v>
      </c>
      <c r="Y143" s="5" t="s">
        <v>4153</v>
      </c>
      <c r="Z143" s="5" t="str">
        <f>IF(T143&gt;0,"STAR","")</f>
        <v>STAR</v>
      </c>
    </row>
    <row r="144" spans="1:26" ht="15.75" customHeight="1">
      <c r="A144" s="174" t="s">
        <v>22</v>
      </c>
      <c r="B144" s="175" t="str">
        <f>VLOOKUP(A144,'0919門市清單主檔'!B:C,2,FALSE)</f>
        <v>三重中興北</v>
      </c>
      <c r="C144" s="176" t="str">
        <f>VLOOKUP($A144,'0919門市清單主檔'!B:V,20,FALSE)</f>
        <v>新北市</v>
      </c>
      <c r="D144" s="177" t="str">
        <f>VLOOKUP($A144,'0919門市清單主檔'!B:V,21,FALSE)</f>
        <v>三重區</v>
      </c>
      <c r="E144" s="178" t="str">
        <f>VLOOKUP(D144,區域表!A:B,2,FALSE)</f>
        <v>吳宗鴻</v>
      </c>
      <c r="F144" s="179" t="str">
        <f>IFERROR(IF(VLOOKUP(A144,門市狀態!A:D,4,FALSE)=0,"",VLOOKUP(A144,門市狀態!A:D,4,FALSE)),"")</f>
        <v/>
      </c>
      <c r="G144" s="180" t="s">
        <v>1742</v>
      </c>
      <c r="H144" s="181" t="str">
        <f>IF(I144&gt;0,(TEXT(I144,"yyyymmdd")&amp;$S$2&amp;A144&amp;$S$2&amp;B144&amp;$Q$2),"")</f>
        <v>20250520-D087-三重中興北(定保)</v>
      </c>
      <c r="I144" s="184">
        <v>45797.682638888888</v>
      </c>
      <c r="J144" s="183" cm="1">
        <f t="array" ref="J144">IFERROR(INDEX(IM!$X$2:$X$650, MATCH(1, (IM!$F$2:$F$650=A144) * (ISNUMBER(SEARCH($C$1, IM!$AC$2:$AC$650))), 0)), "")</f>
        <v>45797.682638888888</v>
      </c>
      <c r="K144" s="154">
        <f>COUNTIFS(IM!F:F,A144,IM!AD:AD,"O",IM!X:X,"&gt;="&amp;$A$1,IM!X:X,"&lt;="&amp;$B$1)</f>
        <v>1</v>
      </c>
      <c r="L144" s="220" t="str" cm="1">
        <f t="array" ref="L144">IF(K144&gt;0,IFERROR(HYPERLINK("#'IM'!AC"&amp;MATCH(1,(IM!$F$1:$F$7700=A144)*(ISNUMBER(SEARCH("PMQ2",IM!$AC$1:$AC$7700))),0),"檢核"),"未登錄"),"")</f>
        <v>檢核</v>
      </c>
      <c r="M144" s="369" t="str">
        <f>Q144&amp;IF(R144&lt;&gt;"",$P$2,"")&amp;R144</f>
        <v>EDC+STAR</v>
      </c>
      <c r="N144" s="339" t="str" cm="1">
        <f t="array" ref="N144">IF(AND(
    SUMPRODUCT(
        (IM!$F$2:$F$2000=A144) *
        ISNUMBER(SEARCH("HUB", IM!$AC$2:$AC$2000)) *
        (IM!$X$2:$X$2000&gt;=$A$1) *
        (IM!$X$2:$X$2000&lt;=$B$1)*(W144="HUB")
    ) &gt; 0
), "HUB", "")</f>
        <v/>
      </c>
      <c r="O144" s="371" t="str">
        <f>IF(I144="","未到店",
IF(AND(S144&gt;I144, R144="STAR", NOT(AND(G144&lt;&gt;"萊到店 WebPOS", Q144&lt;&gt;"EDC"))), "完工已補裝",
IF(AND(G144&lt;&gt;"萊到店 WebPOS", Q144&lt;&gt;"EDC"), "EDC異常",
IF(AND(W144="HUB", N144=""), "HUB異常",
IF(OR(AND(Z144="STAR", R144="STAR"), AND(Z144&lt;&gt;"STAR", R144="")), "已完工", "STAR異常")
))))</f>
        <v>已完工</v>
      </c>
      <c r="P144" s="238" t="str">
        <f>(TEXT(I144,"yyyymmdd"))&amp;$S$2&amp;A144&amp;$S$2&amp;B144&amp;$Q$2</f>
        <v>20250520-D087-三重中興北(定保)</v>
      </c>
      <c r="Q144" s="357" t="str" cm="1">
        <f t="array" ref="Q144">IF(AND(SUMPRODUCT((IM!$F$2:$F$2000=A144)*(ISNUMBER(SEARCH("EDC", IM!$AC$2:$AC$2000))))&gt;0), "EDC", "")</f>
        <v>EDC</v>
      </c>
      <c r="R144" s="358" t="str" cm="1">
        <f t="array" ref="R144">IF(AND(SUMPRODUCT((IM!$F$2:$F$2000=A144)*(ISNUMBER(SEARCH("STAR", IM!$AC$2:$AC$2000))))&gt;0), "STAR", "")</f>
        <v>STAR</v>
      </c>
      <c r="S144" s="359" cm="1">
        <f t="array" ref="S144">IFERROR(INDEX(IM!$X$2:$X$650, MATCH(1, (IM!$F$2:$F$650=A144) * (ISNUMBER(SEARCH($D$1, IM!$AC$2:$AC$650))), 0)), "")</f>
        <v>45797.682638888888</v>
      </c>
      <c r="T144" s="355">
        <f>IF(AND(X144&lt;&gt;"", Y144&lt;&gt;""), 2, IF(OR(X144&lt;&gt;"", Y144&lt;&gt;""), 1, 0))</f>
        <v>1</v>
      </c>
      <c r="U144" s="355"/>
      <c r="V144" s="373">
        <f>IF(OR(R144="STAR", T144="", U144=""), T144,
"總數：" &amp; T144 &amp; CHAR(10) &amp;
"已維修：" &amp; U144 &amp; CHAR(10) &amp;
"未更換：" &amp; (T144 - U144))</f>
        <v>1</v>
      </c>
      <c r="W144" s="360" t="str">
        <f>IF(VLOOKUP(A144,'0919門市清單主檔'!B:E,4,FALSE)=0,"",VLOOKUP(A144,'0919門市清單主檔'!B:E,4,FALSE))</f>
        <v/>
      </c>
      <c r="Y144" s="5" t="s">
        <v>4261</v>
      </c>
      <c r="Z144" s="5" t="str">
        <f>IF(T144&gt;0,"STAR","")</f>
        <v>STAR</v>
      </c>
    </row>
    <row r="145" spans="1:26" ht="15.75" customHeight="1">
      <c r="A145" s="174">
        <v>4483</v>
      </c>
      <c r="B145" s="175" t="str">
        <f>VLOOKUP(A145,'0919門市清單主檔'!B:C,2,FALSE)</f>
        <v>林口築夢店</v>
      </c>
      <c r="C145" s="176" t="str">
        <f>VLOOKUP($A145,'0919門市清單主檔'!B:V,20,FALSE)</f>
        <v>新北市</v>
      </c>
      <c r="D145" s="177" t="str">
        <f>VLOOKUP($A145,'0919門市清單主檔'!B:V,21,FALSE)</f>
        <v>林口區</v>
      </c>
      <c r="E145" s="178" t="str">
        <f>VLOOKUP(D145,區域表!A:B,2,FALSE)</f>
        <v>湯家瑋</v>
      </c>
      <c r="F145" s="179" t="str">
        <f>IFERROR(IF(VLOOKUP(A145,門市狀態!A:D,4,FALSE)=0,"",VLOOKUP(A145,門市狀態!A:D,4,FALSE)),"")</f>
        <v/>
      </c>
      <c r="G145" s="180" t="s">
        <v>1742</v>
      </c>
      <c r="H145" s="181" t="str">
        <f>IF(I145&gt;0,(TEXT(I145,"yyyymmdd")&amp;$S$2&amp;A145&amp;$S$2&amp;B145&amp;$Q$2),"")</f>
        <v>20250521-4483-林口築夢店(定保)</v>
      </c>
      <c r="I145" s="184">
        <v>45798.5</v>
      </c>
      <c r="J145" s="183" cm="1">
        <f t="array" ref="J145">IFERROR(INDEX(IM!$X$2:$X$650, MATCH(1, (IM!$F$2:$F$650=A145) * (ISNUMBER(SEARCH($C$1, IM!$AC$2:$AC$650))), 0)), "")</f>
        <v>45798.5</v>
      </c>
      <c r="K145" s="154">
        <f>COUNTIFS(IM!F:F,A145,IM!AD:AD,"O",IM!X:X,"&gt;="&amp;$A$1,IM!X:X,"&lt;="&amp;$B$1)</f>
        <v>2</v>
      </c>
      <c r="L145" s="220" t="str" cm="1">
        <f t="array" ref="L145">IF(K145&gt;0,IFERROR(HYPERLINK("#'IM'!AC"&amp;MATCH(1,(IM!$F$1:$F$7700=A145)*(ISNUMBER(SEARCH("PMQ2",IM!$AC$1:$AC$7700))),0),"檢核"),"未登錄"),"")</f>
        <v>檢核</v>
      </c>
      <c r="M145" s="369" t="str">
        <f>Q145&amp;IF(R145&lt;&gt;"",$P$2,"")&amp;R145</f>
        <v>EDC+STAR</v>
      </c>
      <c r="N145" s="339" t="str" cm="1">
        <f t="array" ref="N145">IF(AND(
    SUMPRODUCT(
        (IM!$F$2:$F$2000=A145) *
        ISNUMBER(SEARCH("HUB", IM!$AC$2:$AC$2000)) *
        (IM!$X$2:$X$2000&gt;=$A$1) *
        (IM!$X$2:$X$2000&lt;=$B$1)*(W145="HUB")
    ) &gt; 0
), "HUB", "")</f>
        <v/>
      </c>
      <c r="O145" s="371" t="str">
        <f>IF(I145="","未到店",
IF(AND(S145&gt;I145, R145="STAR", NOT(AND(G145&lt;&gt;"萊到店 WebPOS", Q145&lt;&gt;"EDC"))), "完工已補裝",
IF(AND(G145&lt;&gt;"萊到店 WebPOS", Q145&lt;&gt;"EDC"), "EDC異常",
IF(AND(W145="HUB", N145=""), "HUB異常",
IF(OR(AND(Z145="STAR", R145="STAR"), AND(Z145&lt;&gt;"STAR", R145="")), "已完工", "STAR異常")
))))</f>
        <v>已完工</v>
      </c>
      <c r="P145" s="238" t="str">
        <f>(TEXT(I145,"yyyymmdd"))&amp;$S$2&amp;A145&amp;$S$2&amp;B145&amp;$Q$2</f>
        <v>20250521-4483-林口築夢店(定保)</v>
      </c>
      <c r="Q145" s="357" t="str" cm="1">
        <f t="array" ref="Q145">IF(AND(SUMPRODUCT((IM!$F$2:$F$2000=A145)*(ISNUMBER(SEARCH("EDC", IM!$AC$2:$AC$2000))))&gt;0), "EDC", "")</f>
        <v>EDC</v>
      </c>
      <c r="R145" s="358" t="str" cm="1">
        <f t="array" ref="R145">IF(AND(SUMPRODUCT((IM!$F$2:$F$2000=A145)*(ISNUMBER(SEARCH("STAR", IM!$AC$2:$AC$2000))))&gt;0), "STAR", "")</f>
        <v>STAR</v>
      </c>
      <c r="S145" s="359" cm="1">
        <f t="array" ref="S145">IFERROR(INDEX(IM!$X$2:$X$650, MATCH(1, (IM!$F$2:$F$650=A145) * (ISNUMBER(SEARCH($D$1, IM!$AC$2:$AC$650))), 0)), "")</f>
        <v>45798.5</v>
      </c>
      <c r="T145" s="355">
        <f>IF(AND(X145&lt;&gt;"", Y145&lt;&gt;""), 2, IF(OR(X145&lt;&gt;"", Y145&lt;&gt;""), 1, 0))</f>
        <v>1</v>
      </c>
      <c r="U145" s="355"/>
      <c r="V145" s="373">
        <f>IF(OR(R145="STAR", T145="", U145=""), T145,
"總數：" &amp; T145 &amp; CHAR(10) &amp;
"已維修：" &amp; U145 &amp; CHAR(10) &amp;
"未更換：" &amp; (T145 - U145))</f>
        <v>1</v>
      </c>
      <c r="W145" s="360" t="str">
        <f>IF(VLOOKUP(A145,'0919門市清單主檔'!B:E,4,FALSE)=0,"",VLOOKUP(A145,'0919門市清單主檔'!B:E,4,FALSE))</f>
        <v/>
      </c>
      <c r="X145" s="3" t="s">
        <v>4401</v>
      </c>
      <c r="Y145" s="5"/>
      <c r="Z145" s="5" t="str">
        <f>IF(T145&gt;0,"STAR","")</f>
        <v>STAR</v>
      </c>
    </row>
    <row r="146" spans="1:26" ht="15.75" customHeight="1">
      <c r="A146" s="174">
        <v>4514</v>
      </c>
      <c r="B146" s="175" t="str">
        <f>VLOOKUP(A146,'0919門市清單主檔'!B:C,2,FALSE)</f>
        <v>林口老師店</v>
      </c>
      <c r="C146" s="176" t="str">
        <f>VLOOKUP($A146,'0919門市清單主檔'!B:V,20,FALSE)</f>
        <v>新北市</v>
      </c>
      <c r="D146" s="177" t="str">
        <f>VLOOKUP($A146,'0919門市清單主檔'!B:V,21,FALSE)</f>
        <v>林口區</v>
      </c>
      <c r="E146" s="178" t="str">
        <f>VLOOKUP(D146,區域表!A:B,2,FALSE)</f>
        <v>湯家瑋</v>
      </c>
      <c r="F146" s="179" t="str">
        <f>IFERROR(IF(VLOOKUP(A146,門市狀態!A:D,4,FALSE)=0,"",VLOOKUP(A146,門市狀態!A:D,4,FALSE)),"")</f>
        <v/>
      </c>
      <c r="G146" s="180" t="s">
        <v>1742</v>
      </c>
      <c r="H146" s="181" t="str">
        <f>IF(I146&gt;0,(TEXT(I146,"yyyymmdd")&amp;$S$2&amp;A146&amp;$S$2&amp;B146&amp;$Q$2),"")</f>
        <v>20250521-4514-林口老師店(定保)</v>
      </c>
      <c r="I146" s="184">
        <v>45798.618055555555</v>
      </c>
      <c r="J146" s="183" cm="1">
        <f t="array" ref="J146">IFERROR(INDEX(IM!$X$2:$X$650, MATCH(1, (IM!$F$2:$F$650=A146) * (ISNUMBER(SEARCH($C$1, IM!$AC$2:$AC$650))), 0)), "")</f>
        <v>45798.618055555555</v>
      </c>
      <c r="K146" s="154">
        <f>COUNTIFS(IM!F:F,A146,IM!AD:AD,"O",IM!X:X,"&gt;="&amp;$A$1,IM!X:X,"&lt;="&amp;$B$1)</f>
        <v>1</v>
      </c>
      <c r="L146" s="220" t="str" cm="1">
        <f t="array" ref="L146">IF(K146&gt;0,IFERROR(HYPERLINK("#'IM'!AC"&amp;MATCH(1,(IM!$F$1:$F$7700=A146)*(ISNUMBER(SEARCH("PMQ2",IM!$AC$1:$AC$7700))),0),"檢核"),"未登錄"),"")</f>
        <v>檢核</v>
      </c>
      <c r="M146" s="369" t="str">
        <f>Q146&amp;IF(R146&lt;&gt;"",$P$2,"")&amp;R146</f>
        <v>EDC</v>
      </c>
      <c r="N146" s="339" t="str" cm="1">
        <f t="array" ref="N146">IF(AND(
    SUMPRODUCT(
        (IM!$F$2:$F$2000=A146) *
        ISNUMBER(SEARCH("HUB", IM!$AC$2:$AC$2000)) *
        (IM!$X$2:$X$2000&gt;=$A$1) *
        (IM!$X$2:$X$2000&lt;=$B$1)*(W146="HUB")
    ) &gt; 0
), "HUB", "")</f>
        <v/>
      </c>
      <c r="O146" s="371" t="str">
        <f>IF(I146="","未到店",
IF(AND(S146&gt;I146, R146="STAR", NOT(AND(G146&lt;&gt;"萊到店 WebPOS", Q146&lt;&gt;"EDC"))), "完工已補裝",
IF(AND(G146&lt;&gt;"萊到店 WebPOS", Q146&lt;&gt;"EDC"), "EDC異常",
IF(AND(W146="HUB", N146=""), "HUB異常",
IF(OR(AND(Z146="STAR", R146="STAR"), AND(Z146&lt;&gt;"STAR", R146="")), "已完工", "STAR異常")
))))</f>
        <v>已完工</v>
      </c>
      <c r="P146" s="238" t="str">
        <f>(TEXT(I146,"yyyymmdd"))&amp;$S$2&amp;A146&amp;$S$2&amp;B146&amp;$Q$2</f>
        <v>20250521-4514-林口老師店(定保)</v>
      </c>
      <c r="Q146" s="357" t="str" cm="1">
        <f t="array" ref="Q146">IF(AND(SUMPRODUCT((IM!$F$2:$F$2000=A146)*(ISNUMBER(SEARCH("EDC", IM!$AC$2:$AC$2000))))&gt;0), "EDC", "")</f>
        <v>EDC</v>
      </c>
      <c r="R146" s="358" t="str" cm="1">
        <f t="array" ref="R146">IF(AND(SUMPRODUCT((IM!$F$2:$F$2000=A146)*(ISNUMBER(SEARCH("STAR", IM!$AC$2:$AC$2000))))&gt;0), "STAR", "")</f>
        <v/>
      </c>
      <c r="S146" s="359" t="str" cm="1">
        <f t="array" ref="S146">IFERROR(INDEX(IM!$X$2:$X$650, MATCH(1, (IM!$F$2:$F$650=A146) * (ISNUMBER(SEARCH($D$1, IM!$AC$2:$AC$650))), 0)), "")</f>
        <v/>
      </c>
      <c r="T146" s="355">
        <f>IF(AND(X146&lt;&gt;"", Y146&lt;&gt;""), 2, IF(OR(X146&lt;&gt;"", Y146&lt;&gt;""), 1, 0))</f>
        <v>0</v>
      </c>
      <c r="U146" s="355"/>
      <c r="V146" s="373">
        <f>IF(OR(R146="STAR", T146="", U146=""), T146,
"總數：" &amp; T146 &amp; CHAR(10) &amp;
"已維修：" &amp; U146 &amp; CHAR(10) &amp;
"未更換：" &amp; (T146 - U146))</f>
        <v>0</v>
      </c>
      <c r="W146" s="360" t="str">
        <f>IF(VLOOKUP(A146,'0919門市清單主檔'!B:E,4,FALSE)=0,"",VLOOKUP(A146,'0919門市清單主檔'!B:E,4,FALSE))</f>
        <v/>
      </c>
      <c r="Y146" s="5"/>
      <c r="Z146" s="5" t="str">
        <f>IF(T146&gt;0,"STAR","")</f>
        <v/>
      </c>
    </row>
    <row r="147" spans="1:26" ht="15.75" customHeight="1">
      <c r="A147" s="174">
        <v>3137</v>
      </c>
      <c r="B147" s="175" t="str">
        <f>VLOOKUP(A147,'0919門市清單主檔'!B:C,2,FALSE)</f>
        <v>北縣黎明店</v>
      </c>
      <c r="C147" s="176" t="str">
        <f>VLOOKUP($A147,'0919門市清單主檔'!B:V,20,FALSE)</f>
        <v>新北市</v>
      </c>
      <c r="D147" s="177" t="str">
        <f>VLOOKUP($A147,'0919門市清單主檔'!B:V,21,FALSE)</f>
        <v>泰山區</v>
      </c>
      <c r="E147" s="178" t="str">
        <f>VLOOKUP(D147,區域表!A:B,2,FALSE)</f>
        <v>湯家瑋</v>
      </c>
      <c r="F147" s="179" t="str">
        <f>IFERROR(IF(VLOOKUP(A147,門市狀態!A:D,4,FALSE)=0,"",VLOOKUP(A147,門市狀態!A:D,4,FALSE)),"")</f>
        <v/>
      </c>
      <c r="G147" s="180" t="s">
        <v>4081</v>
      </c>
      <c r="H147" s="181" t="str">
        <f>IF(I147&gt;0,(TEXT(I147,"yyyymmdd")&amp;$S$2&amp;A147&amp;$S$2&amp;B147&amp;$Q$2),"")</f>
        <v>20250521-3137-北縣黎明店(定保)</v>
      </c>
      <c r="I147" s="184">
        <v>45798.635416666664</v>
      </c>
      <c r="J147" s="183" cm="1">
        <f t="array" ref="J147">IFERROR(INDEX(IM!$X$2:$X$650, MATCH(1, (IM!$F$2:$F$650=A147) * (ISNUMBER(SEARCH($C$1, IM!$AC$2:$AC$650))), 0)), "")</f>
        <v>45798.635416666664</v>
      </c>
      <c r="K147" s="154">
        <f>COUNTIFS(IM!F:F,A147,IM!AD:AD,"O",IM!X:X,"&gt;="&amp;$A$1,IM!X:X,"&lt;="&amp;$B$1)</f>
        <v>1</v>
      </c>
      <c r="L147" s="220" t="str" cm="1">
        <f t="array" ref="L147">IF(K147&gt;0,IFERROR(HYPERLINK("#'IM'!AC"&amp;MATCH(1,(IM!$F$1:$F$7700=A147)*(ISNUMBER(SEARCH("PMQ2",IM!$AC$1:$AC$7700))),0),"檢核"),"未登錄"),"")</f>
        <v>檢核</v>
      </c>
      <c r="M147" s="369" t="str">
        <f>Q147&amp;IF(R147&lt;&gt;"",$P$2,"")&amp;R147</f>
        <v>EDC</v>
      </c>
      <c r="N147" s="339" t="str" cm="1">
        <f t="array" ref="N147">IF(AND(
    SUMPRODUCT(
        (IM!$F$2:$F$2000=A147) *
        ISNUMBER(SEARCH("HUB", IM!$AC$2:$AC$2000)) *
        (IM!$X$2:$X$2000&gt;=$A$1) *
        (IM!$X$2:$X$2000&lt;=$B$1)*(W147="HUB")
    ) &gt; 0
), "HUB", "")</f>
        <v/>
      </c>
      <c r="O147" s="371" t="str">
        <f>IF(I147="","未到店",
IF(AND(S147&gt;I147, R147="STAR", NOT(AND(G147&lt;&gt;"萊到店 WebPOS", Q147&lt;&gt;"EDC"))), "完工已補裝",
IF(AND(G147&lt;&gt;"萊到店 WebPOS", Q147&lt;&gt;"EDC"), "EDC異常",
IF(AND(W147="HUB", N147=""), "HUB異常",
IF(OR(AND(Z147="STAR", R147="STAR"), AND(Z147&lt;&gt;"STAR", R147="")), "已完工", "STAR異常")
))))</f>
        <v>已完工</v>
      </c>
      <c r="P147" s="238" t="str">
        <f>(TEXT(I147,"yyyymmdd"))&amp;$S$2&amp;A147&amp;$S$2&amp;B147&amp;$Q$2</f>
        <v>20250521-3137-北縣黎明店(定保)</v>
      </c>
      <c r="Q147" s="357" t="str" cm="1">
        <f t="array" ref="Q147">IF(AND(SUMPRODUCT((IM!$F$2:$F$2000=A147)*(ISNUMBER(SEARCH("EDC", IM!$AC$2:$AC$2000))))&gt;0), "EDC", "")</f>
        <v>EDC</v>
      </c>
      <c r="R147" s="358" t="str" cm="1">
        <f t="array" ref="R147">IF(AND(SUMPRODUCT((IM!$F$2:$F$2000=A147)*(ISNUMBER(SEARCH("STAR", IM!$AC$2:$AC$2000))))&gt;0), "STAR", "")</f>
        <v/>
      </c>
      <c r="S147" s="359" t="str" cm="1">
        <f t="array" ref="S147">IFERROR(INDEX(IM!$X$2:$X$650, MATCH(1, (IM!$F$2:$F$650=A147) * (ISNUMBER(SEARCH($D$1, IM!$AC$2:$AC$650))), 0)), "")</f>
        <v/>
      </c>
      <c r="T147" s="355">
        <f>IF(AND(X147&lt;&gt;"", Y147&lt;&gt;""), 2, IF(OR(X147&lt;&gt;"", Y147&lt;&gt;""), 1, 0))</f>
        <v>0</v>
      </c>
      <c r="U147" s="355"/>
      <c r="V147" s="373">
        <f>IF(OR(R147="STAR", T147="", U147=""), T147,
"總數：" &amp; T147 &amp; CHAR(10) &amp;
"已維修：" &amp; U147 &amp; CHAR(10) &amp;
"未更換：" &amp; (T147 - U147))</f>
        <v>0</v>
      </c>
      <c r="W147" s="360" t="str">
        <f>IF(VLOOKUP(A147,'0919門市清單主檔'!B:E,4,FALSE)=0,"",VLOOKUP(A147,'0919門市清單主檔'!B:E,4,FALSE))</f>
        <v/>
      </c>
      <c r="Y147" s="5"/>
      <c r="Z147" s="5" t="str">
        <f>IF(T147&gt;0,"STAR","")</f>
        <v/>
      </c>
    </row>
    <row r="148" spans="1:26" ht="15.75" customHeight="1">
      <c r="A148" s="174">
        <v>4977</v>
      </c>
      <c r="B148" s="175" t="str">
        <f>VLOOKUP(A148,'0919門市清單主檔'!B:C,2,FALSE)</f>
        <v>三重初戀店</v>
      </c>
      <c r="C148" s="176" t="str">
        <f>VLOOKUP($A148,'0919門市清單主檔'!B:V,20,FALSE)</f>
        <v>新北市</v>
      </c>
      <c r="D148" s="177" t="str">
        <f>VLOOKUP($A148,'0919門市清單主檔'!B:V,21,FALSE)</f>
        <v>三重區</v>
      </c>
      <c r="E148" s="178" t="str">
        <f>VLOOKUP(D148,區域表!A:B,2,FALSE)</f>
        <v>吳宗鴻</v>
      </c>
      <c r="F148" s="179" t="str">
        <f>IFERROR(IF(VLOOKUP(A148,門市狀態!A:D,4,FALSE)=0,"",VLOOKUP(A148,門市狀態!A:D,4,FALSE)),"")</f>
        <v/>
      </c>
      <c r="G148" s="180" t="s">
        <v>1742</v>
      </c>
      <c r="H148" s="181" t="str">
        <f>IF(I148&gt;0,(TEXT(I148,"yyyymmdd")&amp;$S$2&amp;A148&amp;$S$2&amp;B148&amp;$Q$2),"")</f>
        <v>20250521-4977-三重初戀店(定保)</v>
      </c>
      <c r="I148" s="184">
        <v>45798.665972222225</v>
      </c>
      <c r="J148" s="183" cm="1">
        <f t="array" ref="J148">IFERROR(INDEX(IM!$X$2:$X$650, MATCH(1, (IM!$F$2:$F$650=A148) * (ISNUMBER(SEARCH($C$1, IM!$AC$2:$AC$650))), 0)), "")</f>
        <v>45798.665972222225</v>
      </c>
      <c r="K148" s="154">
        <f>COUNTIFS(IM!F:F,A148,IM!AD:AD,"O",IM!X:X,"&gt;="&amp;$A$1,IM!X:X,"&lt;="&amp;$B$1)</f>
        <v>1</v>
      </c>
      <c r="L148" s="220" t="str" cm="1">
        <f t="array" ref="L148">IF(K148&gt;0,IFERROR(HYPERLINK("#'IM'!AC"&amp;MATCH(1,(IM!$F$1:$F$7700=A148)*(ISNUMBER(SEARCH("PMQ2",IM!$AC$1:$AC$7700))),0),"檢核"),"未登錄"),"")</f>
        <v>檢核</v>
      </c>
      <c r="M148" s="369" t="str">
        <f>Q148&amp;IF(R148&lt;&gt;"",$P$2,"")&amp;R148</f>
        <v>EDC+STAR</v>
      </c>
      <c r="N148" s="339" t="str" cm="1">
        <f t="array" ref="N148">IF(AND(
    SUMPRODUCT(
        (IM!$F$2:$F$2000=A148) *
        ISNUMBER(SEARCH("HUB", IM!$AC$2:$AC$2000)) *
        (IM!$X$2:$X$2000&gt;=$A$1) *
        (IM!$X$2:$X$2000&lt;=$B$1)*(W148="HUB")
    ) &gt; 0
), "HUB", "")</f>
        <v/>
      </c>
      <c r="O148" s="371" t="str">
        <f>IF(I148="","未到店",
IF(AND(S148&gt;I148, R148="STAR", NOT(AND(G148&lt;&gt;"萊到店 WebPOS", Q148&lt;&gt;"EDC"))), "完工已補裝",
IF(AND(G148&lt;&gt;"萊到店 WebPOS", Q148&lt;&gt;"EDC"), "EDC異常",
IF(AND(W148="HUB", N148=""), "HUB異常",
IF(OR(AND(Z148="STAR", R148="STAR"), AND(Z148&lt;&gt;"STAR", R148="")), "已完工", "STAR異常")
))))</f>
        <v>已完工</v>
      </c>
      <c r="P148" s="238" t="str">
        <f>(TEXT(I148,"yyyymmdd"))&amp;$S$2&amp;A148&amp;$S$2&amp;B148&amp;$Q$2</f>
        <v>20250521-4977-三重初戀店(定保)</v>
      </c>
      <c r="Q148" s="357" t="str" cm="1">
        <f t="array" ref="Q148">IF(AND(SUMPRODUCT((IM!$F$2:$F$2000=A148)*(ISNUMBER(SEARCH("EDC", IM!$AC$2:$AC$2000))))&gt;0), "EDC", "")</f>
        <v>EDC</v>
      </c>
      <c r="R148" s="358" t="str" cm="1">
        <f t="array" ref="R148">IF(AND(SUMPRODUCT((IM!$F$2:$F$2000=A148)*(ISNUMBER(SEARCH("STAR", IM!$AC$2:$AC$2000))))&gt;0), "STAR", "")</f>
        <v>STAR</v>
      </c>
      <c r="S148" s="359" cm="1">
        <f t="array" ref="S148">IFERROR(INDEX(IM!$X$2:$X$650, MATCH(1, (IM!$F$2:$F$650=A148) * (ISNUMBER(SEARCH($D$1, IM!$AC$2:$AC$650))), 0)), "")</f>
        <v>45743.524305555555</v>
      </c>
      <c r="T148" s="355">
        <f>IF(AND(X148&lt;&gt;"", Y148&lt;&gt;""), 2, IF(OR(X148&lt;&gt;"", Y148&lt;&gt;""), 1, 0))</f>
        <v>2</v>
      </c>
      <c r="U148" s="355"/>
      <c r="V148" s="373">
        <f>IF(OR(R148="STAR", T148="", U148=""), T148,
"總數：" &amp; T148 &amp; CHAR(10) &amp;
"已維修：" &amp; U148 &amp; CHAR(10) &amp;
"未更換：" &amp; (T148 - U148))</f>
        <v>2</v>
      </c>
      <c r="W148" s="360" t="str">
        <f>IF(VLOOKUP(A148,'0919門市清單主檔'!B:E,4,FALSE)=0,"",VLOOKUP(A148,'0919門市清單主檔'!B:E,4,FALSE))</f>
        <v/>
      </c>
      <c r="X148" s="3" t="s">
        <v>4244</v>
      </c>
      <c r="Y148" s="5" t="s">
        <v>4245</v>
      </c>
      <c r="Z148" s="5" t="str">
        <f>IF(T148&gt;0,"STAR","")</f>
        <v>STAR</v>
      </c>
    </row>
    <row r="149" spans="1:26" ht="15.75" customHeight="1">
      <c r="A149" s="174">
        <v>3890</v>
      </c>
      <c r="B149" s="175" t="str">
        <f>VLOOKUP(A149,'0919門市清單主檔'!B:C,2,FALSE)</f>
        <v>三重美堤店</v>
      </c>
      <c r="C149" s="176" t="str">
        <f>VLOOKUP($A149,'0919門市清單主檔'!B:V,20,FALSE)</f>
        <v>新北市</v>
      </c>
      <c r="D149" s="177" t="str">
        <f>VLOOKUP($A149,'0919門市清單主檔'!B:V,21,FALSE)</f>
        <v>三重區</v>
      </c>
      <c r="E149" s="178" t="str">
        <f>VLOOKUP(D149,區域表!A:B,2,FALSE)</f>
        <v>吳宗鴻</v>
      </c>
      <c r="F149" s="179" t="str">
        <f>IFERROR(IF(VLOOKUP(A149,門市狀態!A:D,4,FALSE)=0,"",VLOOKUP(A149,門市狀態!A:D,4,FALSE)),"")</f>
        <v/>
      </c>
      <c r="G149" s="180" t="s">
        <v>1742</v>
      </c>
      <c r="H149" s="181" t="str">
        <f>IF(I149&gt;0,(TEXT(I149,"yyyymmdd")&amp;$S$2&amp;A149&amp;$S$2&amp;B149&amp;$Q$2),"")</f>
        <v>20250523-3890-三重美堤店(定保)</v>
      </c>
      <c r="I149" s="184">
        <v>45800.494444444441</v>
      </c>
      <c r="J149" s="183" cm="1">
        <f t="array" ref="J149">IFERROR(INDEX(IM!$X$2:$X$650, MATCH(1, (IM!$F$2:$F$650=A149) * (ISNUMBER(SEARCH($C$1, IM!$AC$2:$AC$650))), 0)), "")</f>
        <v>45800.494444444441</v>
      </c>
      <c r="K149" s="154">
        <f>COUNTIFS(IM!F:F,A149,IM!AD:AD,"O",IM!X:X,"&gt;="&amp;$A$1,IM!X:X,"&lt;="&amp;$B$1)</f>
        <v>1</v>
      </c>
      <c r="L149" s="220" t="str" cm="1">
        <f t="array" ref="L149">IF(K149&gt;0,IFERROR(HYPERLINK("#'IM'!AC"&amp;MATCH(1,(IM!$F$1:$F$7700=A149)*(ISNUMBER(SEARCH("PMQ2",IM!$AC$1:$AC$7700))),0),"檢核"),"未登錄"),"")</f>
        <v>檢核</v>
      </c>
      <c r="M149" s="369" t="str">
        <f>Q149&amp;IF(R149&lt;&gt;"",$P$2,"")&amp;R149</f>
        <v>EDC+STAR</v>
      </c>
      <c r="N149" s="339" t="str" cm="1">
        <f t="array" ref="N149">IF(AND(
    SUMPRODUCT(
        (IM!$F$2:$F$2000=A149) *
        ISNUMBER(SEARCH("HUB", IM!$AC$2:$AC$2000)) *
        (IM!$X$2:$X$2000&gt;=$A$1) *
        (IM!$X$2:$X$2000&lt;=$B$1)*(W149="HUB")
    ) &gt; 0
), "HUB", "")</f>
        <v/>
      </c>
      <c r="O149" s="371" t="str">
        <f>IF(I149="","未到店",
IF(AND(S149&gt;I149, R149="STAR", NOT(AND(G149&lt;&gt;"萊到店 WebPOS", Q149&lt;&gt;"EDC"))), "完工已補裝",
IF(AND(G149&lt;&gt;"萊到店 WebPOS", Q149&lt;&gt;"EDC"), "EDC異常",
IF(AND(W149="HUB", N149=""), "HUB異常",
IF(OR(AND(Z149="STAR", R149="STAR"), AND(Z149&lt;&gt;"STAR", R149="")), "已完工", "STAR異常")
))))</f>
        <v>已完工</v>
      </c>
      <c r="P149" s="238" t="str">
        <f>(TEXT(I149,"yyyymmdd"))&amp;$S$2&amp;A149&amp;$S$2&amp;B149&amp;$Q$2</f>
        <v>20250523-3890-三重美堤店(定保)</v>
      </c>
      <c r="Q149" s="357" t="str" cm="1">
        <f t="array" ref="Q149">IF(AND(SUMPRODUCT((IM!$F$2:$F$2000=A149)*(ISNUMBER(SEARCH("EDC", IM!$AC$2:$AC$2000))))&gt;0), "EDC", "")</f>
        <v>EDC</v>
      </c>
      <c r="R149" s="358" t="str" cm="1">
        <f t="array" ref="R149">IF(AND(SUMPRODUCT((IM!$F$2:$F$2000=A149)*(ISNUMBER(SEARCH("STAR", IM!$AC$2:$AC$2000))))&gt;0), "STAR", "")</f>
        <v>STAR</v>
      </c>
      <c r="S149" s="359" cm="1">
        <f t="array" ref="S149">IFERROR(INDEX(IM!$X$2:$X$650, MATCH(1, (IM!$F$2:$F$650=A149) * (ISNUMBER(SEARCH($D$1, IM!$AC$2:$AC$650))), 0)), "")</f>
        <v>45800.494444444441</v>
      </c>
      <c r="T149" s="355">
        <f>IF(AND(X149&lt;&gt;"", Y149&lt;&gt;""), 2, IF(OR(X149&lt;&gt;"", Y149&lt;&gt;""), 1, 0))</f>
        <v>2</v>
      </c>
      <c r="U149" s="355"/>
      <c r="V149" s="373">
        <f>IF(OR(R149="STAR", T149="", U149=""), T149,
"總數：" &amp; T149 &amp; CHAR(10) &amp;
"已維修：" &amp; U149 &amp; CHAR(10) &amp;
"未更換：" &amp; (T149 - U149))</f>
        <v>2</v>
      </c>
      <c r="W149" s="360" t="str">
        <f>IF(VLOOKUP(A149,'0919門市清單主檔'!B:E,4,FALSE)=0,"",VLOOKUP(A149,'0919門市清單主檔'!B:E,4,FALSE))</f>
        <v/>
      </c>
      <c r="X149" s="3" t="s">
        <v>4141</v>
      </c>
      <c r="Y149" s="5" t="s">
        <v>4142</v>
      </c>
      <c r="Z149" s="5" t="str">
        <f>IF(T149&gt;0,"STAR","")</f>
        <v>STAR</v>
      </c>
    </row>
    <row r="150" spans="1:26" ht="15.75" customHeight="1">
      <c r="A150" s="174">
        <v>4388</v>
      </c>
      <c r="B150" s="175" t="str">
        <f>VLOOKUP(A150,'0919門市清單主檔'!B:C,2,FALSE)</f>
        <v>三重薔薇店</v>
      </c>
      <c r="C150" s="176" t="str">
        <f>VLOOKUP($A150,'0919門市清單主檔'!B:V,20,FALSE)</f>
        <v>新北市</v>
      </c>
      <c r="D150" s="177" t="str">
        <f>VLOOKUP($A150,'0919門市清單主檔'!B:V,21,FALSE)</f>
        <v>三重區</v>
      </c>
      <c r="E150" s="178" t="str">
        <f>VLOOKUP(D150,區域表!A:B,2,FALSE)</f>
        <v>吳宗鴻</v>
      </c>
      <c r="F150" s="179" t="str">
        <f>IFERROR(IF(VLOOKUP(A150,門市狀態!A:D,4,FALSE)=0,"",VLOOKUP(A150,門市狀態!A:D,4,FALSE)),"")</f>
        <v/>
      </c>
      <c r="G150" s="180" t="s">
        <v>1742</v>
      </c>
      <c r="H150" s="181" t="str">
        <f>IF(I150&gt;0,(TEXT(I150,"yyyymmdd")&amp;$S$2&amp;A150&amp;$S$2&amp;B150&amp;$Q$2),"")</f>
        <v>20250523-4388-三重薔薇店(定保)</v>
      </c>
      <c r="I150" s="184">
        <v>45800.67083333333</v>
      </c>
      <c r="J150" s="183" cm="1">
        <f t="array" ref="J150">IFERROR(INDEX(IM!$X$2:$X$650, MATCH(1, (IM!$F$2:$F$650=A150) * (ISNUMBER(SEARCH($C$1, IM!$AC$2:$AC$650))), 0)), "")</f>
        <v>45800.67083333333</v>
      </c>
      <c r="K150" s="154">
        <f>COUNTIFS(IM!F:F,A150,IM!AD:AD,"O",IM!X:X,"&gt;="&amp;$A$1,IM!X:X,"&lt;="&amp;$B$1)</f>
        <v>1</v>
      </c>
      <c r="L150" s="220" t="str" cm="1">
        <f t="array" ref="L150">IF(K150&gt;0,IFERROR(HYPERLINK("#'IM'!AC"&amp;MATCH(1,(IM!$F$1:$F$7700=A150)*(ISNUMBER(SEARCH("PMQ2",IM!$AC$1:$AC$7700))),0),"檢核"),"未登錄"),"")</f>
        <v>檢核</v>
      </c>
      <c r="M150" s="369" t="str">
        <f>Q150&amp;IF(R150&lt;&gt;"",$P$2,"")&amp;R150</f>
        <v>EDC+STAR</v>
      </c>
      <c r="N150" s="339" t="str" cm="1">
        <f t="array" ref="N150">IF(AND(
    SUMPRODUCT(
        (IM!$F$2:$F$2000=A150) *
        ISNUMBER(SEARCH("HUB", IM!$AC$2:$AC$2000)) *
        (IM!$X$2:$X$2000&gt;=$A$1) *
        (IM!$X$2:$X$2000&lt;=$B$1)*(W150="HUB")
    ) &gt; 0
), "HUB", "")</f>
        <v/>
      </c>
      <c r="O150" s="371" t="str">
        <f>IF(I150="","未到店",
IF(AND(S150&gt;I150, R150="STAR", NOT(AND(G150&lt;&gt;"萊到店 WebPOS", Q150&lt;&gt;"EDC"))), "完工已補裝",
IF(AND(G150&lt;&gt;"萊到店 WebPOS", Q150&lt;&gt;"EDC"), "EDC異常",
IF(AND(W150="HUB", N150=""), "HUB異常",
IF(OR(AND(Z150="STAR", R150="STAR"), AND(Z150&lt;&gt;"STAR", R150="")), "已完工", "STAR異常")
))))</f>
        <v>已完工</v>
      </c>
      <c r="P150" s="238" t="str">
        <f>(TEXT(I150,"yyyymmdd"))&amp;$S$2&amp;A150&amp;$S$2&amp;B150&amp;$Q$2</f>
        <v>20250523-4388-三重薔薇店(定保)</v>
      </c>
      <c r="Q150" s="357" t="str" cm="1">
        <f t="array" ref="Q150">IF(AND(SUMPRODUCT((IM!$F$2:$F$2000=A150)*(ISNUMBER(SEARCH("EDC", IM!$AC$2:$AC$2000))))&gt;0), "EDC", "")</f>
        <v>EDC</v>
      </c>
      <c r="R150" s="358" t="str" cm="1">
        <f t="array" ref="R150">IF(AND(SUMPRODUCT((IM!$F$2:$F$2000=A150)*(ISNUMBER(SEARCH("STAR", IM!$AC$2:$AC$2000))))&gt;0), "STAR", "")</f>
        <v>STAR</v>
      </c>
      <c r="S150" s="359" cm="1">
        <f t="array" ref="S150">IFERROR(INDEX(IM!$X$2:$X$650, MATCH(1, (IM!$F$2:$F$650=A150) * (ISNUMBER(SEARCH($D$1, IM!$AC$2:$AC$650))), 0)), "")</f>
        <v>45800.67083333333</v>
      </c>
      <c r="T150" s="355">
        <f>IF(AND(X150&lt;&gt;"", Y150&lt;&gt;""), 2, IF(OR(X150&lt;&gt;"", Y150&lt;&gt;""), 1, 0))</f>
        <v>2</v>
      </c>
      <c r="U150" s="355"/>
      <c r="V150" s="373">
        <f>IF(OR(R150="STAR", T150="", U150=""), T150,
"總數：" &amp; T150 &amp; CHAR(10) &amp;
"已維修：" &amp; U150 &amp; CHAR(10) &amp;
"未更換：" &amp; (T150 - U150))</f>
        <v>2</v>
      </c>
      <c r="W150" s="360" t="str">
        <f>IF(VLOOKUP(A150,'0919門市清單主檔'!B:E,4,FALSE)=0,"",VLOOKUP(A150,'0919門市清單主檔'!B:E,4,FALSE))</f>
        <v/>
      </c>
      <c r="X150" s="3" t="s">
        <v>4290</v>
      </c>
      <c r="Y150" s="5" t="s">
        <v>4291</v>
      </c>
      <c r="Z150" s="5" t="str">
        <f>IF(T150&gt;0,"STAR","")</f>
        <v>STAR</v>
      </c>
    </row>
    <row r="151" spans="1:26" ht="15.75" customHeight="1">
      <c r="A151" s="174">
        <v>4341</v>
      </c>
      <c r="B151" s="175" t="str">
        <f>VLOOKUP(A151,'0919門市清單主檔'!B:C,2,FALSE)</f>
        <v>新莊莊美店</v>
      </c>
      <c r="C151" s="176" t="str">
        <f>VLOOKUP($A151,'0919門市清單主檔'!B:V,20,FALSE)</f>
        <v>新北市</v>
      </c>
      <c r="D151" s="177" t="str">
        <f>VLOOKUP($A151,'0919門市清單主檔'!B:V,21,FALSE)</f>
        <v>新莊區</v>
      </c>
      <c r="E151" s="178" t="str">
        <f>VLOOKUP(D151,區域表!A:B,2,FALSE)</f>
        <v>湯家瑋</v>
      </c>
      <c r="F151" s="179" t="str">
        <f>IFERROR(IF(VLOOKUP(A151,門市狀態!A:D,4,FALSE)=0,"",VLOOKUP(A151,門市狀態!A:D,4,FALSE)),"")</f>
        <v/>
      </c>
      <c r="G151" s="180" t="s">
        <v>1742</v>
      </c>
      <c r="H151" s="181" t="str">
        <f>IF(I151&gt;0,(TEXT(I151,"yyyymmdd")&amp;$S$2&amp;A151&amp;$S$2&amp;B151&amp;$Q$2),"")</f>
        <v>20250526-4341-新莊莊美店(定保)</v>
      </c>
      <c r="I151" s="184">
        <v>45803.5</v>
      </c>
      <c r="J151" s="183" cm="1">
        <f t="array" ref="J151">IFERROR(INDEX(IM!$X$2:$X$650, MATCH(1, (IM!$F$2:$F$650=A151) * (ISNUMBER(SEARCH($C$1, IM!$AC$2:$AC$650))), 0)), "")</f>
        <v>45803.5</v>
      </c>
      <c r="K151" s="154">
        <f>COUNTIFS(IM!F:F,A151,IM!AD:AD,"O",IM!X:X,"&gt;="&amp;$A$1,IM!X:X,"&lt;="&amp;$B$1)</f>
        <v>1</v>
      </c>
      <c r="L151" s="220" t="str" cm="1">
        <f t="array" ref="L151">IF(K151&gt;0,IFERROR(HYPERLINK("#'IM'!AC"&amp;MATCH(1,(IM!$F$1:$F$7700=A151)*(ISNUMBER(SEARCH("PMQ2",IM!$AC$1:$AC$7700))),0),"檢核"),"未登錄"),"")</f>
        <v>檢核</v>
      </c>
      <c r="M151" s="369" t="str">
        <f>Q151&amp;IF(R151&lt;&gt;"",$P$2,"")&amp;R151</f>
        <v>EDC+STAR</v>
      </c>
      <c r="N151" s="339" t="str" cm="1">
        <f t="array" ref="N151">IF(AND(
    SUMPRODUCT(
        (IM!$F$2:$F$2000=A151) *
        ISNUMBER(SEARCH("HUB", IM!$AC$2:$AC$2000)) *
        (IM!$X$2:$X$2000&gt;=$A$1) *
        (IM!$X$2:$X$2000&lt;=$B$1)*(W151="HUB")
    ) &gt; 0
), "HUB", "")</f>
        <v/>
      </c>
      <c r="O151" s="371" t="str">
        <f>IF(I151="","未到店",
IF(AND(S151&gt;I151, R151="STAR", NOT(AND(G151&lt;&gt;"萊到店 WebPOS", Q151&lt;&gt;"EDC"))), "完工已補裝",
IF(AND(G151&lt;&gt;"萊到店 WebPOS", Q151&lt;&gt;"EDC"), "EDC異常",
IF(AND(W151="HUB", N151=""), "HUB異常",
IF(OR(AND(Z151="STAR", R151="STAR"), AND(Z151&lt;&gt;"STAR", R151="")), "已完工", "STAR異常")
))))</f>
        <v>已完工</v>
      </c>
      <c r="P151" s="238" t="str">
        <f>(TEXT(I151,"yyyymmdd"))&amp;$S$2&amp;A151&amp;$S$2&amp;B151&amp;$Q$2</f>
        <v>20250526-4341-新莊莊美店(定保)</v>
      </c>
      <c r="Q151" s="357" t="str" cm="1">
        <f t="array" ref="Q151">IF(AND(SUMPRODUCT((IM!$F$2:$F$2000=A151)*(ISNUMBER(SEARCH("EDC", IM!$AC$2:$AC$2000))))&gt;0), "EDC", "")</f>
        <v>EDC</v>
      </c>
      <c r="R151" s="358" t="str" cm="1">
        <f t="array" ref="R151">IF(AND(SUMPRODUCT((IM!$F$2:$F$2000=A151)*(ISNUMBER(SEARCH("STAR", IM!$AC$2:$AC$2000))))&gt;0), "STAR", "")</f>
        <v>STAR</v>
      </c>
      <c r="S151" s="359" cm="1">
        <f t="array" ref="S151">IFERROR(INDEX(IM!$X$2:$X$650, MATCH(1, (IM!$F$2:$F$650=A151) * (ISNUMBER(SEARCH($D$1, IM!$AC$2:$AC$650))), 0)), "")</f>
        <v>45803.5</v>
      </c>
      <c r="T151" s="355">
        <f>IF(AND(X151&lt;&gt;"", Y151&lt;&gt;""), 2, IF(OR(X151&lt;&gt;"", Y151&lt;&gt;""), 1, 0))</f>
        <v>2</v>
      </c>
      <c r="U151" s="355"/>
      <c r="V151" s="373">
        <f>IF(OR(R151="STAR", T151="", U151=""), T151,
"總數：" &amp; T151 &amp; CHAR(10) &amp;
"已維修：" &amp; U151 &amp; CHAR(10) &amp;
"未更換：" &amp; (T151 - U151))</f>
        <v>2</v>
      </c>
      <c r="W151" s="360" t="str">
        <f>IF(VLOOKUP(A151,'0919門市清單主檔'!B:E,4,FALSE)=0,"",VLOOKUP(A151,'0919門市清單主檔'!B:E,4,FALSE))</f>
        <v/>
      </c>
      <c r="X151" s="3" t="s">
        <v>4405</v>
      </c>
      <c r="Y151" s="5" t="s">
        <v>4406</v>
      </c>
      <c r="Z151" s="5" t="str">
        <f>IF(T151&gt;0,"STAR","")</f>
        <v>STAR</v>
      </c>
    </row>
    <row r="152" spans="1:26" ht="15.75" customHeight="1">
      <c r="A152" s="174">
        <v>3751</v>
      </c>
      <c r="B152" s="175" t="str">
        <f>VLOOKUP(A152,'0919門市清單主檔'!B:C,2,FALSE)</f>
        <v>淡水真理大</v>
      </c>
      <c r="C152" s="176" t="str">
        <f>VLOOKUP($A152,'0919門市清單主檔'!B:V,20,FALSE)</f>
        <v>新北市</v>
      </c>
      <c r="D152" s="177" t="str">
        <f>VLOOKUP($A152,'0919門市清單主檔'!B:V,21,FALSE)</f>
        <v>淡水區</v>
      </c>
      <c r="E152" s="178" t="str">
        <f>VLOOKUP(D152,區域表!A:B,2,FALSE)</f>
        <v>吳宗鴻</v>
      </c>
      <c r="F152" s="179" t="str">
        <f>IFERROR(IF(VLOOKUP(A152,門市狀態!A:D,4,FALSE)=0,"",VLOOKUP(A152,門市狀態!A:D,4,FALSE)),"")</f>
        <v/>
      </c>
      <c r="G152" s="180" t="s">
        <v>4081</v>
      </c>
      <c r="H152" s="181" t="str">
        <f>IF(I152&gt;0,(TEXT(I152,"yyyymmdd")&amp;$S$2&amp;A152&amp;$S$2&amp;B152&amp;$Q$2),"")</f>
        <v>20250526-3751-淡水真理大(定保)</v>
      </c>
      <c r="I152" s="184">
        <v>45803.519444444442</v>
      </c>
      <c r="J152" s="183" cm="1">
        <f t="array" ref="J152">IFERROR(INDEX(IM!$X$2:$X$650, MATCH(1, (IM!$F$2:$F$650=A152) * (ISNUMBER(SEARCH($C$1, IM!$AC$2:$AC$650))), 0)), "")</f>
        <v>45803.519444444442</v>
      </c>
      <c r="K152" s="154">
        <f>COUNTIFS(IM!F:F,A152,IM!AD:AD,"O",IM!X:X,"&gt;="&amp;$A$1,IM!X:X,"&lt;="&amp;$B$1)</f>
        <v>1</v>
      </c>
      <c r="L152" s="220" t="str" cm="1">
        <f t="array" ref="L152">IF(K152&gt;0,IFERROR(HYPERLINK("#'IM'!AC"&amp;MATCH(1,(IM!$F$1:$F$7700=A152)*(ISNUMBER(SEARCH("PMQ2",IM!$AC$1:$AC$7700))),0),"檢核"),"未登錄"),"")</f>
        <v>檢核</v>
      </c>
      <c r="M152" s="369" t="str">
        <f>Q152&amp;IF(R152&lt;&gt;"",$P$2,"")&amp;R152</f>
        <v>EDC+STAR</v>
      </c>
      <c r="N152" s="339" t="str" cm="1">
        <f t="array" ref="N152">IF(AND(
    SUMPRODUCT(
        (IM!$F$2:$F$2000=A152) *
        ISNUMBER(SEARCH("HUB", IM!$AC$2:$AC$2000)) *
        (IM!$X$2:$X$2000&gt;=$A$1) *
        (IM!$X$2:$X$2000&lt;=$B$1)*(W152="HUB")
    ) &gt; 0
), "HUB", "")</f>
        <v/>
      </c>
      <c r="O152" s="371" t="str">
        <f>IF(I152="","未到店",
IF(AND(S152&gt;I152, R152="STAR", NOT(AND(G152&lt;&gt;"萊到店 WebPOS", Q152&lt;&gt;"EDC"))), "完工已補裝",
IF(AND(G152&lt;&gt;"萊到店 WebPOS", Q152&lt;&gt;"EDC"), "EDC異常",
IF(AND(W152="HUB", N152=""), "HUB異常",
IF(OR(AND(Z152="STAR", R152="STAR"), AND(Z152&lt;&gt;"STAR", R152="")), "已完工", "STAR異常")
))))</f>
        <v>已完工</v>
      </c>
      <c r="P152" s="238" t="str">
        <f>(TEXT(I152,"yyyymmdd"))&amp;$S$2&amp;A152&amp;$S$2&amp;B152&amp;$Q$2</f>
        <v>20250526-3751-淡水真理大(定保)</v>
      </c>
      <c r="Q152" s="357" t="str" cm="1">
        <f t="array" ref="Q152">IF(AND(SUMPRODUCT((IM!$F$2:$F$2000=A152)*(ISNUMBER(SEARCH("EDC", IM!$AC$2:$AC$2000))))&gt;0), "EDC", "")</f>
        <v>EDC</v>
      </c>
      <c r="R152" s="358" t="str" cm="1">
        <f t="array" ref="R152">IF(AND(SUMPRODUCT((IM!$F$2:$F$2000=A152)*(ISNUMBER(SEARCH("STAR", IM!$AC$2:$AC$2000))))&gt;0), "STAR", "")</f>
        <v>STAR</v>
      </c>
      <c r="S152" s="359" cm="1">
        <f t="array" ref="S152">IFERROR(INDEX(IM!$X$2:$X$650, MATCH(1, (IM!$F$2:$F$650=A152) * (ISNUMBER(SEARCH($D$1, IM!$AC$2:$AC$650))), 0)), "")</f>
        <v>45803.519444444442</v>
      </c>
      <c r="T152" s="355">
        <f>IF(AND(X152&lt;&gt;"", Y152&lt;&gt;""), 2, IF(OR(X152&lt;&gt;"", Y152&lt;&gt;""), 1, 0))</f>
        <v>2</v>
      </c>
      <c r="U152" s="355"/>
      <c r="V152" s="373">
        <f>IF(OR(R152="STAR", T152="", U152=""), T152,
"總數：" &amp; T152 &amp; CHAR(10) &amp;
"已維修：" &amp; U152 &amp; CHAR(10) &amp;
"未更換：" &amp; (T152 - U152))</f>
        <v>2</v>
      </c>
      <c r="W152" s="360" t="str">
        <f>IF(VLOOKUP(A152,'0919門市清單主檔'!B:E,4,FALSE)=0,"",VLOOKUP(A152,'0919門市清單主檔'!B:E,4,FALSE))</f>
        <v/>
      </c>
      <c r="X152" s="3" t="s">
        <v>4328</v>
      </c>
      <c r="Y152" s="5" t="s">
        <v>4329</v>
      </c>
      <c r="Z152" s="5" t="str">
        <f>IF(T152&gt;0,"STAR","")</f>
        <v>STAR</v>
      </c>
    </row>
    <row r="153" spans="1:26" ht="15.75" customHeight="1">
      <c r="A153" s="174">
        <v>4093</v>
      </c>
      <c r="B153" s="175" t="str">
        <f>VLOOKUP(A153,'0919門市清單主檔'!B:C,2,FALSE)</f>
        <v>淡水新市一</v>
      </c>
      <c r="C153" s="176" t="str">
        <f>VLOOKUP($A153,'0919門市清單主檔'!B:V,20,FALSE)</f>
        <v>新北市</v>
      </c>
      <c r="D153" s="177" t="str">
        <f>VLOOKUP($A153,'0919門市清單主檔'!B:V,21,FALSE)</f>
        <v>淡水區</v>
      </c>
      <c r="E153" s="178" t="str">
        <f>VLOOKUP(D153,區域表!A:B,2,FALSE)</f>
        <v>吳宗鴻</v>
      </c>
      <c r="F153" s="179" t="str">
        <f>IFERROR(IF(VLOOKUP(A153,門市狀態!A:D,4,FALSE)=0,"",VLOOKUP(A153,門市狀態!A:D,4,FALSE)),"")</f>
        <v/>
      </c>
      <c r="G153" s="180" t="s">
        <v>1742</v>
      </c>
      <c r="H153" s="181" t="str">
        <f>IF(I153&gt;0,(TEXT(I153,"yyyymmdd")&amp;$S$2&amp;A153&amp;$S$2&amp;B153&amp;$Q$2),"")</f>
        <v>20250526-4093-淡水新市一(定保)</v>
      </c>
      <c r="I153" s="184">
        <v>45803.555555555555</v>
      </c>
      <c r="J153" s="183" cm="1">
        <f t="array" ref="J153">IFERROR(INDEX(IM!$X$2:$X$650, MATCH(1, (IM!$F$2:$F$650=A153) * (ISNUMBER(SEARCH($C$1, IM!$AC$2:$AC$650))), 0)), "")</f>
        <v>45803.555555555555</v>
      </c>
      <c r="K153" s="154">
        <f>COUNTIFS(IM!F:F,A153,IM!AD:AD,"O",IM!X:X,"&gt;="&amp;$A$1,IM!X:X,"&lt;="&amp;$B$1)</f>
        <v>1</v>
      </c>
      <c r="L153" s="220" t="str" cm="1">
        <f t="array" ref="L153">IF(K153&gt;0,IFERROR(HYPERLINK("#'IM'!AC"&amp;MATCH(1,(IM!$F$1:$F$7700=A153)*(ISNUMBER(SEARCH("PMQ2",IM!$AC$1:$AC$7700))),0),"檢核"),"未登錄"),"")</f>
        <v>檢核</v>
      </c>
      <c r="M153" s="369" t="str">
        <f>Q153&amp;IF(R153&lt;&gt;"",$P$2,"")&amp;R153</f>
        <v>EDC+STAR</v>
      </c>
      <c r="N153" s="339" t="str" cm="1">
        <f t="array" ref="N153">IF(AND(
    SUMPRODUCT(
        (IM!$F$2:$F$2000=A153) *
        ISNUMBER(SEARCH("HUB", IM!$AC$2:$AC$2000)) *
        (IM!$X$2:$X$2000&gt;=$A$1) *
        (IM!$X$2:$X$2000&lt;=$B$1)*(W153="HUB")
    ) &gt; 0
), "HUB", "")</f>
        <v/>
      </c>
      <c r="O153" s="371" t="str">
        <f>IF(I153="","未到店",
IF(AND(S153&gt;I153, R153="STAR", NOT(AND(G153&lt;&gt;"萊到店 WebPOS", Q153&lt;&gt;"EDC"))), "完工已補裝",
IF(AND(G153&lt;&gt;"萊到店 WebPOS", Q153&lt;&gt;"EDC"), "EDC異常",
IF(AND(W153="HUB", N153=""), "HUB異常",
IF(OR(AND(Z153="STAR", R153="STAR"), AND(Z153&lt;&gt;"STAR", R153="")), "已完工", "STAR異常")
))))</f>
        <v>已完工</v>
      </c>
      <c r="P153" s="238" t="str">
        <f>(TEXT(I153,"yyyymmdd"))&amp;$S$2&amp;A153&amp;$S$2&amp;B153&amp;$Q$2</f>
        <v>20250526-4093-淡水新市一(定保)</v>
      </c>
      <c r="Q153" s="357" t="str" cm="1">
        <f t="array" ref="Q153">IF(AND(SUMPRODUCT((IM!$F$2:$F$2000=A153)*(ISNUMBER(SEARCH("EDC", IM!$AC$2:$AC$2000))))&gt;0), "EDC", "")</f>
        <v>EDC</v>
      </c>
      <c r="R153" s="358" t="str" cm="1">
        <f t="array" ref="R153">IF(AND(SUMPRODUCT((IM!$F$2:$F$2000=A153)*(ISNUMBER(SEARCH("STAR", IM!$AC$2:$AC$2000))))&gt;0), "STAR", "")</f>
        <v>STAR</v>
      </c>
      <c r="S153" s="359" cm="1">
        <f t="array" ref="S153">IFERROR(INDEX(IM!$X$2:$X$650, MATCH(1, (IM!$F$2:$F$650=A153) * (ISNUMBER(SEARCH($D$1, IM!$AC$2:$AC$650))), 0)), "")</f>
        <v>45803.555555555555</v>
      </c>
      <c r="T153" s="355">
        <f>IF(AND(X153&lt;&gt;"", Y153&lt;&gt;""), 2, IF(OR(X153&lt;&gt;"", Y153&lt;&gt;""), 1, 0))</f>
        <v>1</v>
      </c>
      <c r="U153" s="355"/>
      <c r="V153" s="373">
        <f>IF(OR(R153="STAR", T153="", U153=""), T153,
"總數：" &amp; T153 &amp; CHAR(10) &amp;
"已維修：" &amp; U153 &amp; CHAR(10) &amp;
"未更換：" &amp; (T153 - U153))</f>
        <v>1</v>
      </c>
      <c r="W153" s="360" t="str">
        <f>IF(VLOOKUP(A153,'0919門市清單主檔'!B:E,4,FALSE)=0,"",VLOOKUP(A153,'0919門市清單主檔'!B:E,4,FALSE))</f>
        <v/>
      </c>
      <c r="Y153" s="5" t="s">
        <v>4330</v>
      </c>
      <c r="Z153" s="5" t="str">
        <f>IF(T153&gt;0,"STAR","")</f>
        <v>STAR</v>
      </c>
    </row>
    <row r="154" spans="1:26" ht="15.75" customHeight="1">
      <c r="A154" s="174">
        <v>4228</v>
      </c>
      <c r="B154" s="175" t="str">
        <f>VLOOKUP(A154,'0919門市清單主檔'!B:C,2,FALSE)</f>
        <v>新莊頭前公園</v>
      </c>
      <c r="C154" s="176" t="str">
        <f>VLOOKUP($A154,'0919門市清單主檔'!B:V,20,FALSE)</f>
        <v>新北市</v>
      </c>
      <c r="D154" s="177" t="str">
        <f>VLOOKUP($A154,'0919門市清單主檔'!B:V,21,FALSE)</f>
        <v>新莊區</v>
      </c>
      <c r="E154" s="178" t="str">
        <f>VLOOKUP(D154,區域表!A:B,2,FALSE)</f>
        <v>湯家瑋</v>
      </c>
      <c r="F154" s="179" t="str">
        <f>IFERROR(IF(VLOOKUP(A154,門市狀態!A:D,4,FALSE)=0,"",VLOOKUP(A154,門市狀態!A:D,4,FALSE)),"")</f>
        <v/>
      </c>
      <c r="G154" s="180" t="s">
        <v>1742</v>
      </c>
      <c r="H154" s="181" t="str">
        <f>IF(I154&gt;0,(TEXT(I154,"yyyymmdd")&amp;$S$2&amp;A154&amp;$S$2&amp;B154&amp;$Q$2),"")</f>
        <v>20250526-4228-新莊頭前公園(定保)</v>
      </c>
      <c r="I154" s="184">
        <v>45803.5625</v>
      </c>
      <c r="J154" s="183" cm="1">
        <f t="array" ref="J154">IFERROR(INDEX(IM!$X$2:$X$650, MATCH(1, (IM!$F$2:$F$650=A154) * (ISNUMBER(SEARCH($C$1, IM!$AC$2:$AC$650))), 0)), "")</f>
        <v>45803.5625</v>
      </c>
      <c r="K154" s="154">
        <f>COUNTIFS(IM!F:F,A154,IM!AD:AD,"O",IM!X:X,"&gt;="&amp;$A$1,IM!X:X,"&lt;="&amp;$B$1)</f>
        <v>1</v>
      </c>
      <c r="L154" s="220" t="str" cm="1">
        <f t="array" ref="L154">IF(K154&gt;0,IFERROR(HYPERLINK("#'IM'!AC"&amp;MATCH(1,(IM!$F$1:$F$7700=A154)*(ISNUMBER(SEARCH("PMQ2",IM!$AC$1:$AC$7700))),0),"檢核"),"未登錄"),"")</f>
        <v>檢核</v>
      </c>
      <c r="M154" s="369" t="str">
        <f>Q154&amp;IF(R154&lt;&gt;"",$P$2,"")&amp;R154</f>
        <v>EDC+STAR</v>
      </c>
      <c r="N154" s="339" t="str" cm="1">
        <f t="array" ref="N154">IF(AND(
    SUMPRODUCT(
        (IM!$F$2:$F$2000=A154) *
        ISNUMBER(SEARCH("HUB", IM!$AC$2:$AC$2000)) *
        (IM!$X$2:$X$2000&gt;=$A$1) *
        (IM!$X$2:$X$2000&lt;=$B$1)*(W154="HUB")
    ) &gt; 0
), "HUB", "")</f>
        <v/>
      </c>
      <c r="O154" s="371" t="str">
        <f>IF(I154="","未到店",
IF(AND(S154&gt;I154, R154="STAR", NOT(AND(G154&lt;&gt;"萊到店 WebPOS", Q154&lt;&gt;"EDC"))), "完工已補裝",
IF(AND(G154&lt;&gt;"萊到店 WebPOS", Q154&lt;&gt;"EDC"), "EDC異常",
IF(AND(W154="HUB", N154=""), "HUB異常",
IF(OR(AND(Z154="STAR", R154="STAR"), AND(Z154&lt;&gt;"STAR", R154="")), "已完工", "STAR異常")
))))</f>
        <v>已完工</v>
      </c>
      <c r="P154" s="238" t="str">
        <f>(TEXT(I154,"yyyymmdd"))&amp;$S$2&amp;A154&amp;$S$2&amp;B154&amp;$Q$2</f>
        <v>20250526-4228-新莊頭前公園(定保)</v>
      </c>
      <c r="Q154" s="357" t="str" cm="1">
        <f t="array" ref="Q154">IF(AND(SUMPRODUCT((IM!$F$2:$F$2000=A154)*(ISNUMBER(SEARCH("EDC", IM!$AC$2:$AC$2000))))&gt;0), "EDC", "")</f>
        <v>EDC</v>
      </c>
      <c r="R154" s="358" t="str" cm="1">
        <f t="array" ref="R154">IF(AND(SUMPRODUCT((IM!$F$2:$F$2000=A154)*(ISNUMBER(SEARCH("STAR", IM!$AC$2:$AC$2000))))&gt;0), "STAR", "")</f>
        <v>STAR</v>
      </c>
      <c r="S154" s="359" cm="1">
        <f t="array" ref="S154">IFERROR(INDEX(IM!$X$2:$X$650, MATCH(1, (IM!$F$2:$F$650=A154) * (ISNUMBER(SEARCH($D$1, IM!$AC$2:$AC$650))), 0)), "")</f>
        <v>45803.5625</v>
      </c>
      <c r="T154" s="355">
        <f>IF(AND(X154&lt;&gt;"", Y154&lt;&gt;""), 2, IF(OR(X154&lt;&gt;"", Y154&lt;&gt;""), 1, 0))</f>
        <v>2</v>
      </c>
      <c r="U154" s="355"/>
      <c r="V154" s="373">
        <f>IF(OR(R154="STAR", T154="", U154=""), T154,
"總數：" &amp; T154 &amp; CHAR(10) &amp;
"已維修：" &amp; U154 &amp; CHAR(10) &amp;
"未更換：" &amp; (T154 - U154))</f>
        <v>2</v>
      </c>
      <c r="W154" s="360" t="str">
        <f>IF(VLOOKUP(A154,'0919門市清單主檔'!B:E,4,FALSE)=0,"",VLOOKUP(A154,'0919門市清單主檔'!B:E,4,FALSE))</f>
        <v/>
      </c>
      <c r="X154" s="3" t="s">
        <v>4418</v>
      </c>
      <c r="Y154" s="5" t="s">
        <v>4419</v>
      </c>
      <c r="Z154" s="5" t="str">
        <f>IF(T154&gt;0,"STAR","")</f>
        <v>STAR</v>
      </c>
    </row>
    <row r="155" spans="1:26" ht="15.75" customHeight="1">
      <c r="A155" s="174">
        <v>4153</v>
      </c>
      <c r="B155" s="175" t="str">
        <f>VLOOKUP(A155,'0919門市清單主檔'!B:C,2,FALSE)</f>
        <v>淡水莊園店</v>
      </c>
      <c r="C155" s="176" t="str">
        <f>VLOOKUP($A155,'0919門市清單主檔'!B:V,20,FALSE)</f>
        <v>新北市</v>
      </c>
      <c r="D155" s="177" t="str">
        <f>VLOOKUP($A155,'0919門市清單主檔'!B:V,21,FALSE)</f>
        <v>淡水區</v>
      </c>
      <c r="E155" s="178" t="str">
        <f>VLOOKUP(D155,區域表!A:B,2,FALSE)</f>
        <v>吳宗鴻</v>
      </c>
      <c r="F155" s="179" t="str">
        <f>IFERROR(IF(VLOOKUP(A155,門市狀態!A:D,4,FALSE)=0,"",VLOOKUP(A155,門市狀態!A:D,4,FALSE)),"")</f>
        <v/>
      </c>
      <c r="G155" s="180" t="s">
        <v>1742</v>
      </c>
      <c r="H155" s="181" t="str">
        <f>IF(I155&gt;0,(TEXT(I155,"yyyymmdd")&amp;$S$2&amp;A155&amp;$S$2&amp;B155&amp;$Q$2),"")</f>
        <v>20250526-4153-淡水莊園店(定保)</v>
      </c>
      <c r="I155" s="184">
        <v>45803.603472222225</v>
      </c>
      <c r="J155" s="183" cm="1">
        <f t="array" ref="J155">IFERROR(INDEX(IM!$X$2:$X$650, MATCH(1, (IM!$F$2:$F$650=A155) * (ISNUMBER(SEARCH($C$1, IM!$AC$2:$AC$650))), 0)), "")</f>
        <v>45803.603472222225</v>
      </c>
      <c r="K155" s="154">
        <f>COUNTIFS(IM!F:F,A155,IM!AD:AD,"O",IM!X:X,"&gt;="&amp;$A$1,IM!X:X,"&lt;="&amp;$B$1)</f>
        <v>1</v>
      </c>
      <c r="L155" s="220" t="str" cm="1">
        <f t="array" ref="L155">IF(K155&gt;0,IFERROR(HYPERLINK("#'IM'!AC"&amp;MATCH(1,(IM!$F$1:$F$7700=A155)*(ISNUMBER(SEARCH("PMQ2",IM!$AC$1:$AC$7700))),0),"檢核"),"未登錄"),"")</f>
        <v>檢核</v>
      </c>
      <c r="M155" s="369" t="str">
        <f>Q155&amp;IF(R155&lt;&gt;"",$P$2,"")&amp;R155</f>
        <v>EDC+STAR</v>
      </c>
      <c r="N155" s="339" t="str" cm="1">
        <f t="array" ref="N155">IF(AND(
    SUMPRODUCT(
        (IM!$F$2:$F$2000=A155) *
        ISNUMBER(SEARCH("HUB", IM!$AC$2:$AC$2000)) *
        (IM!$X$2:$X$2000&gt;=$A$1) *
        (IM!$X$2:$X$2000&lt;=$B$1)*(W155="HUB")
    ) &gt; 0
), "HUB", "")</f>
        <v/>
      </c>
      <c r="O155" s="371" t="str">
        <f>IF(I155="","未到店",
IF(AND(S155&gt;I155, R155="STAR", NOT(AND(G155&lt;&gt;"萊到店 WebPOS", Q155&lt;&gt;"EDC"))), "完工已補裝",
IF(AND(G155&lt;&gt;"萊到店 WebPOS", Q155&lt;&gt;"EDC"), "EDC異常",
IF(AND(W155="HUB", N155=""), "HUB異常",
IF(OR(AND(Z155="STAR", R155="STAR"), AND(Z155&lt;&gt;"STAR", R155="")), "已完工", "STAR異常")
))))</f>
        <v>已完工</v>
      </c>
      <c r="P155" s="238" t="str">
        <f>(TEXT(I155,"yyyymmdd"))&amp;$S$2&amp;A155&amp;$S$2&amp;B155&amp;$Q$2</f>
        <v>20250526-4153-淡水莊園店(定保)</v>
      </c>
      <c r="Q155" s="357" t="str" cm="1">
        <f t="array" ref="Q155">IF(AND(SUMPRODUCT((IM!$F$2:$F$2000=A155)*(ISNUMBER(SEARCH("EDC", IM!$AC$2:$AC$2000))))&gt;0), "EDC", "")</f>
        <v>EDC</v>
      </c>
      <c r="R155" s="358" t="str" cm="1">
        <f t="array" ref="R155">IF(AND(SUMPRODUCT((IM!$F$2:$F$2000=A155)*(ISNUMBER(SEARCH("STAR", IM!$AC$2:$AC$2000))))&gt;0), "STAR", "")</f>
        <v>STAR</v>
      </c>
      <c r="S155" s="359" cm="1">
        <f t="array" ref="S155">IFERROR(INDEX(IM!$X$2:$X$650, MATCH(1, (IM!$F$2:$F$650=A155) * (ISNUMBER(SEARCH($D$1, IM!$AC$2:$AC$650))), 0)), "")</f>
        <v>45803.603472222225</v>
      </c>
      <c r="T155" s="355">
        <f>IF(AND(X155&lt;&gt;"", Y155&lt;&gt;""), 2, IF(OR(X155&lt;&gt;"", Y155&lt;&gt;""), 1, 0))</f>
        <v>2</v>
      </c>
      <c r="U155" s="355"/>
      <c r="V155" s="373">
        <f>IF(OR(R155="STAR", T155="", U155=""), T155,
"總數：" &amp; T155 &amp; CHAR(10) &amp;
"已維修：" &amp; U155 &amp; CHAR(10) &amp;
"未更換：" &amp; (T155 - U155))</f>
        <v>2</v>
      </c>
      <c r="W155" s="360" t="str">
        <f>IF(VLOOKUP(A155,'0919門市清單主檔'!B:E,4,FALSE)=0,"",VLOOKUP(A155,'0919門市清單主檔'!B:E,4,FALSE))</f>
        <v/>
      </c>
      <c r="X155" s="3" t="s">
        <v>4331</v>
      </c>
      <c r="Y155" s="5" t="s">
        <v>4332</v>
      </c>
      <c r="Z155" s="5" t="str">
        <f>IF(T155&gt;0,"STAR","")</f>
        <v>STAR</v>
      </c>
    </row>
    <row r="156" spans="1:26" ht="15.75" customHeight="1">
      <c r="A156" s="174">
        <v>4529</v>
      </c>
      <c r="B156" s="175" t="str">
        <f>VLOOKUP(A156,'0919門市清單主檔'!B:C,2,FALSE)</f>
        <v>淡水新洲店</v>
      </c>
      <c r="C156" s="176" t="str">
        <f>VLOOKUP($A156,'0919門市清單主檔'!B:V,20,FALSE)</f>
        <v>新北市</v>
      </c>
      <c r="D156" s="177" t="str">
        <f>VLOOKUP($A156,'0919門市清單主檔'!B:V,21,FALSE)</f>
        <v>淡水區</v>
      </c>
      <c r="E156" s="178" t="str">
        <f>VLOOKUP(D156,區域表!A:B,2,FALSE)</f>
        <v>吳宗鴻</v>
      </c>
      <c r="F156" s="179" t="str">
        <f>IFERROR(IF(VLOOKUP(A156,門市狀態!A:D,4,FALSE)=0,"",VLOOKUP(A156,門市狀態!A:D,4,FALSE)),"")</f>
        <v/>
      </c>
      <c r="G156" s="180" t="s">
        <v>1742</v>
      </c>
      <c r="H156" s="181" t="str">
        <f>IF(I156&gt;0,(TEXT(I156,"yyyymmdd")&amp;$S$2&amp;A156&amp;$S$2&amp;B156&amp;$Q$2),"")</f>
        <v>20250526-4529-淡水新洲店(定保)</v>
      </c>
      <c r="I156" s="184">
        <v>45803.660416666666</v>
      </c>
      <c r="J156" s="183" cm="1">
        <f t="array" ref="J156">IFERROR(INDEX(IM!$X$2:$X$650, MATCH(1, (IM!$F$2:$F$650=A156) * (ISNUMBER(SEARCH($C$1, IM!$AC$2:$AC$650))), 0)), "")</f>
        <v>45803.660416666666</v>
      </c>
      <c r="K156" s="154">
        <f>COUNTIFS(IM!F:F,A156,IM!AD:AD,"O",IM!X:X,"&gt;="&amp;$A$1,IM!X:X,"&lt;="&amp;$B$1)</f>
        <v>1</v>
      </c>
      <c r="L156" s="220" t="str" cm="1">
        <f t="array" ref="L156">IF(K156&gt;0,IFERROR(HYPERLINK("#'IM'!AC"&amp;MATCH(1,(IM!$F$1:$F$7700=A156)*(ISNUMBER(SEARCH("PMQ2",IM!$AC$1:$AC$7700))),0),"檢核"),"未登錄"),"")</f>
        <v>檢核</v>
      </c>
      <c r="M156" s="369" t="str">
        <f>Q156&amp;IF(R156&lt;&gt;"",$P$2,"")&amp;R156</f>
        <v>EDC+STAR</v>
      </c>
      <c r="N156" s="339" t="str" cm="1">
        <f t="array" ref="N156">IF(AND(
    SUMPRODUCT(
        (IM!$F$2:$F$2000=A156) *
        ISNUMBER(SEARCH("HUB", IM!$AC$2:$AC$2000)) *
        (IM!$X$2:$X$2000&gt;=$A$1) *
        (IM!$X$2:$X$2000&lt;=$B$1)*(W156="HUB")
    ) &gt; 0
), "HUB", "")</f>
        <v/>
      </c>
      <c r="O156" s="371" t="str">
        <f>IF(I156="","未到店",
IF(AND(S156&gt;I156, R156="STAR", NOT(AND(G156&lt;&gt;"萊到店 WebPOS", Q156&lt;&gt;"EDC"))), "完工已補裝",
IF(AND(G156&lt;&gt;"萊到店 WebPOS", Q156&lt;&gt;"EDC"), "EDC異常",
IF(AND(W156="HUB", N156=""), "HUB異常",
IF(OR(AND(Z156="STAR", R156="STAR"), AND(Z156&lt;&gt;"STAR", R156="")), "已完工", "STAR異常")
))))</f>
        <v>已完工</v>
      </c>
      <c r="P156" s="238" t="str">
        <f>(TEXT(I156,"yyyymmdd"))&amp;$S$2&amp;A156&amp;$S$2&amp;B156&amp;$Q$2</f>
        <v>20250526-4529-淡水新洲店(定保)</v>
      </c>
      <c r="Q156" s="357" t="str" cm="1">
        <f t="array" ref="Q156">IF(AND(SUMPRODUCT((IM!$F$2:$F$2000=A156)*(ISNUMBER(SEARCH("EDC", IM!$AC$2:$AC$2000))))&gt;0), "EDC", "")</f>
        <v>EDC</v>
      </c>
      <c r="R156" s="358" t="str" cm="1">
        <f t="array" ref="R156">IF(AND(SUMPRODUCT((IM!$F$2:$F$2000=A156)*(ISNUMBER(SEARCH("STAR", IM!$AC$2:$AC$2000))))&gt;0), "STAR", "")</f>
        <v>STAR</v>
      </c>
      <c r="S156" s="359" cm="1">
        <f t="array" ref="S156">IFERROR(INDEX(IM!$X$2:$X$650, MATCH(1, (IM!$F$2:$F$650=A156) * (ISNUMBER(SEARCH($D$1, IM!$AC$2:$AC$650))), 0)), "")</f>
        <v>45803.660416666666</v>
      </c>
      <c r="T156" s="355">
        <f>IF(AND(X156&lt;&gt;"", Y156&lt;&gt;""), 2, IF(OR(X156&lt;&gt;"", Y156&lt;&gt;""), 1, 0))</f>
        <v>2</v>
      </c>
      <c r="U156" s="355"/>
      <c r="V156" s="373">
        <f>IF(OR(R156="STAR", T156="", U156=""), T156,
"總數：" &amp; T156 &amp; CHAR(10) &amp;
"已維修：" &amp; U156 &amp; CHAR(10) &amp;
"未更換：" &amp; (T156 - U156))</f>
        <v>2</v>
      </c>
      <c r="W156" s="360" t="str">
        <f>IF(VLOOKUP(A156,'0919門市清單主檔'!B:E,4,FALSE)=0,"",VLOOKUP(A156,'0919門市清單主檔'!B:E,4,FALSE))</f>
        <v/>
      </c>
      <c r="X156" s="3" t="s">
        <v>4247</v>
      </c>
      <c r="Y156" s="5" t="s">
        <v>4248</v>
      </c>
      <c r="Z156" s="5" t="str">
        <f>IF(T156&gt;0,"STAR","")</f>
        <v>STAR</v>
      </c>
    </row>
    <row r="157" spans="1:26" ht="15.75" customHeight="1">
      <c r="A157" s="174" t="s">
        <v>17</v>
      </c>
      <c r="B157" s="175" t="str">
        <f>VLOOKUP(A157,'0919門市清單主檔'!B:C,2,FALSE)</f>
        <v>蘆洲權義店</v>
      </c>
      <c r="C157" s="176" t="str">
        <f>VLOOKUP($A157,'0919門市清單主檔'!B:V,20,FALSE)</f>
        <v>新北市</v>
      </c>
      <c r="D157" s="177" t="str">
        <f>VLOOKUP($A157,'0919門市清單主檔'!B:V,21,FALSE)</f>
        <v>蘆洲區</v>
      </c>
      <c r="E157" s="178" t="str">
        <f>VLOOKUP(D157,區域表!A:B,2,FALSE)</f>
        <v>吳宗鴻</v>
      </c>
      <c r="F157" s="179" t="str">
        <f>IFERROR(IF(VLOOKUP(A157,門市狀態!A:D,4,FALSE)=0,"",VLOOKUP(A157,門市狀態!A:D,4,FALSE)),"")</f>
        <v/>
      </c>
      <c r="G157" s="180" t="s">
        <v>1742</v>
      </c>
      <c r="H157" s="181" t="str">
        <f>IF(I157&gt;0,(TEXT(I157,"yyyymmdd")&amp;$S$2&amp;A157&amp;$S$2&amp;B157&amp;$Q$2),"")</f>
        <v>-D193-蘆洲權義店(定保)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69" t="str">
        <f>Q157&amp;IF(R157&lt;&gt;"",$P$2,"")&amp;R157</f>
        <v/>
      </c>
      <c r="N157" s="339" t="str" cm="1">
        <f t="array" ref="N157">IF(AND(
    SUMPRODUCT(
        (IM!$F$2:$F$2000=A157) *
        ISNUMBER(SEARCH("HUB", IM!$AC$2:$AC$2000)) *
        (IM!$X$2:$X$2000&gt;=$A$1) *
        (IM!$X$2:$X$2000&lt;=$B$1)*(W157="HUB")
    ) &gt; 0
), "HUB", "")</f>
        <v/>
      </c>
      <c r="O157" s="371" t="str">
        <f>IF(I157="","未到店",
IF(AND(S157&gt;I157, R157="STAR", NOT(AND(G157&lt;&gt;"萊到店 WebPOS", Q157&lt;&gt;"EDC"))), "完工已補裝",
IF(AND(G157&lt;&gt;"萊到店 WebPOS", Q157&lt;&gt;"EDC"), "EDC異常",
IF(AND(W157="HUB", N157=""), "HUB異常",
IF(OR(AND(Z157="STAR", R157="STAR"), AND(Z157&lt;&gt;"STAR", R157="")), "已完工", "STAR異常")
))))</f>
        <v>未到店</v>
      </c>
      <c r="P157" s="238" t="str">
        <f>(TEXT(I157,"yyyymmdd"))&amp;$S$2&amp;A157&amp;$S$2&amp;B157&amp;$Q$2</f>
        <v>-D193-蘆洲權義店(定保)</v>
      </c>
      <c r="Q157" s="357" t="str" cm="1">
        <f t="array" ref="Q157">IF(AND(SUMPRODUCT((IM!$F$2:$F$2000=A157)*(ISNUMBER(SEARCH("EDC", IM!$AC$2:$AC$2000))))&gt;0), "EDC", "")</f>
        <v/>
      </c>
      <c r="R157" s="358" t="str" cm="1">
        <f t="array" ref="R157">IF(AND(SUMPRODUCT((IM!$F$2:$F$2000=A157)*(ISNUMBER(SEARCH("STAR", IM!$AC$2:$AC$2000))))&gt;0), "STAR", "")</f>
        <v/>
      </c>
      <c r="S157" s="359" t="str" cm="1">
        <f t="array" ref="S157">IFERROR(INDEX(IM!$X$2:$X$650, MATCH(1, (IM!$F$2:$F$650=A157) * (ISNUMBER(SEARCH($D$1, IM!$AC$2:$AC$650))), 0)), "")</f>
        <v/>
      </c>
      <c r="T157" s="355">
        <f>IF(AND(X157&lt;&gt;"", Y157&lt;&gt;""), 2, IF(OR(X157&lt;&gt;"", Y157&lt;&gt;""), 1, 0))</f>
        <v>2</v>
      </c>
      <c r="U157" s="355"/>
      <c r="V157" s="373">
        <f>IF(OR(R157="STAR", T157="", U157=""), T157,
"總數：" &amp; T157 &amp; CHAR(10) &amp;
"已維修：" &amp; U157 &amp; CHAR(10) &amp;
"未更換：" &amp; (T157 - U157))</f>
        <v>2</v>
      </c>
      <c r="W157" s="360" t="str">
        <f>IF(VLOOKUP(A157,'0919門市清單主檔'!B:E,4,FALSE)=0,"",VLOOKUP(A157,'0919門市清單主檔'!B:E,4,FALSE))</f>
        <v/>
      </c>
      <c r="X157" s="3" t="s">
        <v>4158</v>
      </c>
      <c r="Y157" s="5" t="s">
        <v>4159</v>
      </c>
      <c r="Z157" s="5" t="str">
        <f>IF(T157&gt;0,"STAR","")</f>
        <v>STAR</v>
      </c>
    </row>
    <row r="158" spans="1:26" ht="15.75" customHeight="1">
      <c r="A158" s="174" t="s">
        <v>38</v>
      </c>
      <c r="B158" s="175" t="str">
        <f>VLOOKUP(A158,'0919門市清單主檔'!B:C,2,FALSE)</f>
        <v>三重大有店</v>
      </c>
      <c r="C158" s="176" t="str">
        <f>VLOOKUP($A158,'0919門市清單主檔'!B:V,20,FALSE)</f>
        <v>新北市</v>
      </c>
      <c r="D158" s="177" t="str">
        <f>VLOOKUP($A158,'0919門市清單主檔'!B:V,21,FALSE)</f>
        <v>三重區</v>
      </c>
      <c r="E158" s="178" t="str">
        <f>VLOOKUP(D158,區域表!A:B,2,FALSE)</f>
        <v>吳宗鴻</v>
      </c>
      <c r="F158" s="179" t="str">
        <f>IFERROR(IF(VLOOKUP(A158,門市狀態!A:D,4,FALSE)=0,"",VLOOKUP(A158,門市狀態!A:D,4,FALSE)),"")</f>
        <v/>
      </c>
      <c r="G158" s="180" t="s">
        <v>1742</v>
      </c>
      <c r="H158" s="181" t="str">
        <f>IF(I158&gt;0,(TEXT(I158,"yyyymmdd")&amp;$S$2&amp;A158&amp;$S$2&amp;B158&amp;$Q$2),"")</f>
        <v>-D390-三重大有店(定保)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69" t="str">
        <f>Q158&amp;IF(R158&lt;&gt;"",$P$2,"")&amp;R158</f>
        <v/>
      </c>
      <c r="N158" s="339" t="str" cm="1">
        <f t="array" ref="N158">IF(AND(
    SUMPRODUCT(
        (IM!$F$2:$F$2000=A158) *
        ISNUMBER(SEARCH("HUB", IM!$AC$2:$AC$2000)) *
        (IM!$X$2:$X$2000&gt;=$A$1) *
        (IM!$X$2:$X$2000&lt;=$B$1)*(W158="HUB")
    ) &gt; 0
), "HUB", "")</f>
        <v/>
      </c>
      <c r="O158" s="371" t="str">
        <f>IF(I158="","未到店",
IF(AND(S158&gt;I158, R158="STAR", NOT(AND(G158&lt;&gt;"萊到店 WebPOS", Q158&lt;&gt;"EDC"))), "完工已補裝",
IF(AND(G158&lt;&gt;"萊到店 WebPOS", Q158&lt;&gt;"EDC"), "EDC異常",
IF(AND(W158="HUB", N158=""), "HUB異常",
IF(OR(AND(Z158="STAR", R158="STAR"), AND(Z158&lt;&gt;"STAR", R158="")), "已完工", "STAR異常")
))))</f>
        <v>未到店</v>
      </c>
      <c r="P158" s="238" t="str">
        <f>(TEXT(I158,"yyyymmdd"))&amp;$S$2&amp;A158&amp;$S$2&amp;B158&amp;$Q$2</f>
        <v>-D390-三重大有店(定保)</v>
      </c>
      <c r="Q158" s="357" t="str" cm="1">
        <f t="array" ref="Q158">IF(AND(SUMPRODUCT((IM!$F$2:$F$2000=A158)*(ISNUMBER(SEARCH("EDC", IM!$AC$2:$AC$2000))))&gt;0), "EDC", "")</f>
        <v/>
      </c>
      <c r="R158" s="358" t="str" cm="1">
        <f t="array" ref="R158">IF(AND(SUMPRODUCT((IM!$F$2:$F$2000=A158)*(ISNUMBER(SEARCH("STAR", IM!$AC$2:$AC$2000))))&gt;0), "STAR", "")</f>
        <v/>
      </c>
      <c r="S158" s="359" t="str" cm="1">
        <f t="array" ref="S158">IFERROR(INDEX(IM!$X$2:$X$650, MATCH(1, (IM!$F$2:$F$650=A158) * (ISNUMBER(SEARCH($D$1, IM!$AC$2:$AC$650))), 0)), "")</f>
        <v/>
      </c>
      <c r="T158" s="355">
        <f>IF(AND(X158&lt;&gt;"", Y158&lt;&gt;""), 2, IF(OR(X158&lt;&gt;"", Y158&lt;&gt;""), 1, 0))</f>
        <v>2</v>
      </c>
      <c r="U158" s="355"/>
      <c r="V158" s="373">
        <f>IF(OR(R158="STAR", T158="", U158=""), T158,
"總數：" &amp; T158 &amp; CHAR(10) &amp;
"已維修：" &amp; U158 &amp; CHAR(10) &amp;
"未更換：" &amp; (T158 - U158))</f>
        <v>2</v>
      </c>
      <c r="W158" s="360" t="str">
        <f>IF(VLOOKUP(A158,'0919門市清單主檔'!B:E,4,FALSE)=0,"",VLOOKUP(A158,'0919門市清單主檔'!B:E,4,FALSE))</f>
        <v/>
      </c>
      <c r="X158" s="3" t="s">
        <v>4163</v>
      </c>
      <c r="Y158" s="5" t="s">
        <v>4164</v>
      </c>
      <c r="Z158" s="5" t="str">
        <f>IF(T158&gt;0,"STAR","")</f>
        <v>STAR</v>
      </c>
    </row>
    <row r="159" spans="1:26" ht="15.75" customHeight="1">
      <c r="A159" s="174">
        <v>4968</v>
      </c>
      <c r="B159" s="175" t="str">
        <f>VLOOKUP(A159,'0919門市清單主檔'!B:C,2,FALSE)</f>
        <v>三重太璞宮</v>
      </c>
      <c r="C159" s="176" t="str">
        <f>VLOOKUP($A159,'0919門市清單主檔'!B:V,20,FALSE)</f>
        <v>新北市</v>
      </c>
      <c r="D159" s="177" t="str">
        <f>VLOOKUP($A159,'0919門市清單主檔'!B:V,21,FALSE)</f>
        <v>三重區</v>
      </c>
      <c r="E159" s="178" t="str">
        <f>VLOOKUP(D159,區域表!A:B,2,FALSE)</f>
        <v>吳宗鴻</v>
      </c>
      <c r="F159" s="179" t="str">
        <f>IFERROR(IF(VLOOKUP(A159,門市狀態!A:D,4,FALSE)=0,"",VLOOKUP(A159,門市狀態!A:D,4,FALSE)),"")</f>
        <v/>
      </c>
      <c r="G159" s="180" t="s">
        <v>1742</v>
      </c>
      <c r="H159" s="181" t="str">
        <f>IF(I159&gt;0,(TEXT(I159,"yyyymmdd")&amp;$S$2&amp;A159&amp;$S$2&amp;B159&amp;$Q$2),"")</f>
        <v>-4968-三重太璞宮(定保)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69" t="str">
        <f>Q159&amp;IF(R159&lt;&gt;"",$P$2,"")&amp;R159</f>
        <v/>
      </c>
      <c r="N159" s="339" t="str" cm="1">
        <f t="array" ref="N159">IF(AND(
    SUMPRODUCT(
        (IM!$F$2:$F$2000=A159) *
        ISNUMBER(SEARCH("HUB", IM!$AC$2:$AC$2000)) *
        (IM!$X$2:$X$2000&gt;=$A$1) *
        (IM!$X$2:$X$2000&lt;=$B$1)*(W159="HUB")
    ) &gt; 0
), "HUB", "")</f>
        <v/>
      </c>
      <c r="O159" s="371" t="str">
        <f>IF(I159="","未到店",
IF(AND(S159&gt;I159, R159="STAR", NOT(AND(G159&lt;&gt;"萊到店 WebPOS", Q159&lt;&gt;"EDC"))), "完工已補裝",
IF(AND(G159&lt;&gt;"萊到店 WebPOS", Q159&lt;&gt;"EDC"), "EDC異常",
IF(AND(W159="HUB", N159=""), "HUB異常",
IF(OR(AND(Z159="STAR", R159="STAR"), AND(Z159&lt;&gt;"STAR", R159="")), "已完工", "STAR異常")
))))</f>
        <v>未到店</v>
      </c>
      <c r="P159" s="238" t="str">
        <f>(TEXT(I159,"yyyymmdd"))&amp;$S$2&amp;A159&amp;$S$2&amp;B159&amp;$Q$2</f>
        <v>-4968-三重太璞宮(定保)</v>
      </c>
      <c r="Q159" s="357" t="str" cm="1">
        <f t="array" ref="Q159">IF(AND(SUMPRODUCT((IM!$F$2:$F$2000=A159)*(ISNUMBER(SEARCH("EDC", IM!$AC$2:$AC$2000))))&gt;0), "EDC", "")</f>
        <v/>
      </c>
      <c r="R159" s="358" t="str" cm="1">
        <f t="array" ref="R159">IF(AND(SUMPRODUCT((IM!$F$2:$F$2000=A159)*(ISNUMBER(SEARCH("STAR", IM!$AC$2:$AC$2000))))&gt;0), "STAR", "")</f>
        <v/>
      </c>
      <c r="S159" s="359" t="str" cm="1">
        <f t="array" ref="S159">IFERROR(INDEX(IM!$X$2:$X$650, MATCH(1, (IM!$F$2:$F$650=A159) * (ISNUMBER(SEARCH($D$1, IM!$AC$2:$AC$650))), 0)), "")</f>
        <v/>
      </c>
      <c r="T159" s="355">
        <f>IF(AND(X159&lt;&gt;"", Y159&lt;&gt;""), 2, IF(OR(X159&lt;&gt;"", Y159&lt;&gt;""), 1, 0))</f>
        <v>1</v>
      </c>
      <c r="U159" s="355"/>
      <c r="V159" s="373">
        <f>IF(OR(R159="STAR", T159="", U159=""), T159,
"總數：" &amp; T159 &amp; CHAR(10) &amp;
"已維修：" &amp; U159 &amp; CHAR(10) &amp;
"未更換：" &amp; (T159 - U159))</f>
        <v>1</v>
      </c>
      <c r="W159" s="360" t="str">
        <f>IF(VLOOKUP(A159,'0919門市清單主檔'!B:E,4,FALSE)=0,"",VLOOKUP(A159,'0919門市清單主檔'!B:E,4,FALSE))</f>
        <v/>
      </c>
      <c r="X159" s="3" t="s">
        <v>4165</v>
      </c>
      <c r="Y159" s="5"/>
      <c r="Z159" s="5" t="str">
        <f>IF(T159&gt;0,"STAR","")</f>
        <v>STAR</v>
      </c>
    </row>
    <row r="160" spans="1:26" ht="15.75" customHeight="1">
      <c r="A160" s="174">
        <v>4819</v>
      </c>
      <c r="B160" s="175" t="str">
        <f>VLOOKUP(A160,'0919門市清單主檔'!B:C,2,FALSE)</f>
        <v>五股凌雲店</v>
      </c>
      <c r="C160" s="176" t="str">
        <f>VLOOKUP($A160,'0919門市清單主檔'!B:V,20,FALSE)</f>
        <v>新北市</v>
      </c>
      <c r="D160" s="177" t="str">
        <f>VLOOKUP($A160,'0919門市清單主檔'!B:V,21,FALSE)</f>
        <v>五股區</v>
      </c>
      <c r="E160" s="178" t="str">
        <f>VLOOKUP(D160,區域表!A:B,2,FALSE)</f>
        <v>湯家瑋</v>
      </c>
      <c r="F160" s="179" t="str">
        <f>IFERROR(IF(VLOOKUP(A160,門市狀態!A:D,4,FALSE)=0,"",VLOOKUP(A160,門市狀態!A:D,4,FALSE)),"")</f>
        <v/>
      </c>
      <c r="G160" s="180" t="s">
        <v>1742</v>
      </c>
      <c r="H160" s="181" t="str">
        <f>IF(I160&gt;0,(TEXT(I160,"yyyymmdd")&amp;$S$2&amp;A160&amp;$S$2&amp;B160&amp;$Q$2),"")</f>
        <v>-4819-五股凌雲店(定保)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69" t="str">
        <f>Q160&amp;IF(R160&lt;&gt;"",$P$2,"")&amp;R160</f>
        <v/>
      </c>
      <c r="N160" s="339" t="str" cm="1">
        <f t="array" ref="N160">IF(AND(
    SUMPRODUCT(
        (IM!$F$2:$F$2000=A160) *
        ISNUMBER(SEARCH("HUB", IM!$AC$2:$AC$2000)) *
        (IM!$X$2:$X$2000&gt;=$A$1) *
        (IM!$X$2:$X$2000&lt;=$B$1)*(W160="HUB")
    ) &gt; 0
), "HUB", "")</f>
        <v/>
      </c>
      <c r="O160" s="371" t="str">
        <f>IF(I160="","未到店",
IF(AND(S160&gt;I160, R160="STAR", NOT(AND(G160&lt;&gt;"萊到店 WebPOS", Q160&lt;&gt;"EDC"))), "完工已補裝",
IF(AND(G160&lt;&gt;"萊到店 WebPOS", Q160&lt;&gt;"EDC"), "EDC異常",
IF(AND(W160="HUB", N160=""), "HUB異常",
IF(OR(AND(Z160="STAR", R160="STAR"), AND(Z160&lt;&gt;"STAR", R160="")), "已完工", "STAR異常")
))))</f>
        <v>未到店</v>
      </c>
      <c r="P160" s="238" t="str">
        <f>(TEXT(I160,"yyyymmdd"))&amp;$S$2&amp;A160&amp;$S$2&amp;B160&amp;$Q$2</f>
        <v>-4819-五股凌雲店(定保)</v>
      </c>
      <c r="Q160" s="357" t="str" cm="1">
        <f t="array" ref="Q160">IF(AND(SUMPRODUCT((IM!$F$2:$F$2000=A160)*(ISNUMBER(SEARCH("EDC", IM!$AC$2:$AC$2000))))&gt;0), "EDC", "")</f>
        <v/>
      </c>
      <c r="R160" s="358" t="str" cm="1">
        <f t="array" ref="R160">IF(AND(SUMPRODUCT((IM!$F$2:$F$2000=A160)*(ISNUMBER(SEARCH("STAR", IM!$AC$2:$AC$2000))))&gt;0), "STAR", "")</f>
        <v/>
      </c>
      <c r="S160" s="359" t="str" cm="1">
        <f t="array" ref="S160">IFERROR(INDEX(IM!$X$2:$X$650, MATCH(1, (IM!$F$2:$F$650=A160) * (ISNUMBER(SEARCH($D$1, IM!$AC$2:$AC$650))), 0)), "")</f>
        <v/>
      </c>
      <c r="T160" s="355">
        <f>IF(AND(X160&lt;&gt;"", Y160&lt;&gt;""), 2, IF(OR(X160&lt;&gt;"", Y160&lt;&gt;""), 1, 0))</f>
        <v>2</v>
      </c>
      <c r="U160" s="355"/>
      <c r="V160" s="373">
        <f>IF(OR(R160="STAR", T160="", U160=""), T160,
"總數：" &amp; T160 &amp; CHAR(10) &amp;
"已維修：" &amp; U160 &amp; CHAR(10) &amp;
"未更換：" &amp; (T160 - U160))</f>
        <v>2</v>
      </c>
      <c r="W160" s="360" t="str">
        <f>IF(VLOOKUP(A160,'0919門市清單主檔'!B:E,4,FALSE)=0,"",VLOOKUP(A160,'0919門市清單主檔'!B:E,4,FALSE))</f>
        <v/>
      </c>
      <c r="X160" s="3" t="s">
        <v>4210</v>
      </c>
      <c r="Y160" s="5" t="s">
        <v>4211</v>
      </c>
      <c r="Z160" s="5" t="str">
        <f>IF(T160&gt;0,"STAR","")</f>
        <v>STAR</v>
      </c>
    </row>
    <row r="161" spans="1:26" ht="15.75" customHeight="1">
      <c r="A161" s="174">
        <v>4801</v>
      </c>
      <c r="B161" s="175" t="str">
        <f>VLOOKUP(A161,'0919門市清單主檔'!B:C,2,FALSE)</f>
        <v>五股成州店</v>
      </c>
      <c r="C161" s="176" t="str">
        <f>VLOOKUP($A161,'0919門市清單主檔'!B:V,20,FALSE)</f>
        <v>新北市</v>
      </c>
      <c r="D161" s="177" t="str">
        <f>VLOOKUP($A161,'0919門市清單主檔'!B:V,21,FALSE)</f>
        <v>五股區</v>
      </c>
      <c r="E161" s="178" t="str">
        <f>VLOOKUP(D161,區域表!A:B,2,FALSE)</f>
        <v>湯家瑋</v>
      </c>
      <c r="F161" s="179" t="str">
        <f>IFERROR(IF(VLOOKUP(A161,門市狀態!A:D,4,FALSE)=0,"",VLOOKUP(A161,門市狀態!A:D,4,FALSE)),"")</f>
        <v/>
      </c>
      <c r="G161" s="180" t="s">
        <v>1742</v>
      </c>
      <c r="H161" s="181" t="str">
        <f>IF(I161&gt;0,(TEXT(I161,"yyyymmdd")&amp;$S$2&amp;A161&amp;$S$2&amp;B161&amp;$Q$2),"")</f>
        <v>-4801-五股成州店(定保)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69" t="str">
        <f>Q161&amp;IF(R161&lt;&gt;"",$P$2,"")&amp;R161</f>
        <v/>
      </c>
      <c r="N161" s="339" t="str" cm="1">
        <f t="array" ref="N161">IF(AND(
    SUMPRODUCT(
        (IM!$F$2:$F$2000=A161) *
        ISNUMBER(SEARCH("HUB", IM!$AC$2:$AC$2000)) *
        (IM!$X$2:$X$2000&gt;=$A$1) *
        (IM!$X$2:$X$2000&lt;=$B$1)*(W161="HUB")
    ) &gt; 0
), "HUB", "")</f>
        <v/>
      </c>
      <c r="O161" s="371" t="str">
        <f>IF(I161="","未到店",
IF(AND(S161&gt;I161, R161="STAR", NOT(AND(G161&lt;&gt;"萊到店 WebPOS", Q161&lt;&gt;"EDC"))), "完工已補裝",
IF(AND(G161&lt;&gt;"萊到店 WebPOS", Q161&lt;&gt;"EDC"), "EDC異常",
IF(AND(W161="HUB", N161=""), "HUB異常",
IF(OR(AND(Z161="STAR", R161="STAR"), AND(Z161&lt;&gt;"STAR", R161="")), "已完工", "STAR異常")
))))</f>
        <v>未到店</v>
      </c>
      <c r="P161" s="238" t="str">
        <f>(TEXT(I161,"yyyymmdd"))&amp;$S$2&amp;A161&amp;$S$2&amp;B161&amp;$Q$2</f>
        <v>-4801-五股成州店(定保)</v>
      </c>
      <c r="Q161" s="357" t="str" cm="1">
        <f t="array" ref="Q161">IF(AND(SUMPRODUCT((IM!$F$2:$F$2000=A161)*(ISNUMBER(SEARCH("EDC", IM!$AC$2:$AC$2000))))&gt;0), "EDC", "")</f>
        <v/>
      </c>
      <c r="R161" s="358" t="str" cm="1">
        <f t="array" ref="R161">IF(AND(SUMPRODUCT((IM!$F$2:$F$2000=A161)*(ISNUMBER(SEARCH("STAR", IM!$AC$2:$AC$2000))))&gt;0), "STAR", "")</f>
        <v/>
      </c>
      <c r="S161" s="359" t="str" cm="1">
        <f t="array" ref="S161">IFERROR(INDEX(IM!$X$2:$X$650, MATCH(1, (IM!$F$2:$F$650=A161) * (ISNUMBER(SEARCH($D$1, IM!$AC$2:$AC$650))), 0)), "")</f>
        <v/>
      </c>
      <c r="T161" s="355">
        <f>IF(AND(X161&lt;&gt;"", Y161&lt;&gt;""), 2, IF(OR(X161&lt;&gt;"", Y161&lt;&gt;""), 1, 0))</f>
        <v>2</v>
      </c>
      <c r="U161" s="355"/>
      <c r="V161" s="373">
        <f>IF(OR(R161="STAR", T161="", U161=""), T161,
"總數：" &amp; T161 &amp; CHAR(10) &amp;
"已維修：" &amp; U161 &amp; CHAR(10) &amp;
"未更換：" &amp; (T161 - U161))</f>
        <v>2</v>
      </c>
      <c r="W161" s="360" t="str">
        <f>IF(VLOOKUP(A161,'0919門市清單主檔'!B:E,4,FALSE)=0,"",VLOOKUP(A161,'0919門市清單主檔'!B:E,4,FALSE))</f>
        <v/>
      </c>
      <c r="X161" s="3" t="s">
        <v>4212</v>
      </c>
      <c r="Y161" s="5" t="s">
        <v>4213</v>
      </c>
      <c r="Z161" s="5" t="str">
        <f>IF(T161&gt;0,"STAR","")</f>
        <v>STAR</v>
      </c>
    </row>
    <row r="162" spans="1:26" ht="15.75" customHeight="1">
      <c r="A162" s="174">
        <v>3770</v>
      </c>
      <c r="B162" s="175" t="str">
        <f>VLOOKUP(A162,'0919門市清單主檔'!B:C,2,FALSE)</f>
        <v>北縣西雲店</v>
      </c>
      <c r="C162" s="176" t="str">
        <f>VLOOKUP($A162,'0919門市清單主檔'!B:V,20,FALSE)</f>
        <v>新北市</v>
      </c>
      <c r="D162" s="177" t="str">
        <f>VLOOKUP($A162,'0919門市清單主檔'!B:V,21,FALSE)</f>
        <v>五股區</v>
      </c>
      <c r="E162" s="178" t="str">
        <f>VLOOKUP(D162,區域表!A:B,2,FALSE)</f>
        <v>湯家瑋</v>
      </c>
      <c r="F162" s="179" t="str">
        <f>IFERROR(IF(VLOOKUP(A162,門市狀態!A:D,4,FALSE)=0,"",VLOOKUP(A162,門市狀態!A:D,4,FALSE)),"")</f>
        <v/>
      </c>
      <c r="G162" s="180" t="s">
        <v>1742</v>
      </c>
      <c r="H162" s="181" t="str">
        <f>IF(I162&gt;0,(TEXT(I162,"yyyymmdd")&amp;$S$2&amp;A162&amp;$S$2&amp;B162&amp;$Q$2),"")</f>
        <v>-3770-北縣西雲店(定保)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69" t="str">
        <f>Q162&amp;IF(R162&lt;&gt;"",$P$2,"")&amp;R162</f>
        <v/>
      </c>
      <c r="N162" s="339" t="str" cm="1">
        <f t="array" ref="N162">IF(AND(
    SUMPRODUCT(
        (IM!$F$2:$F$2000=A162) *
        ISNUMBER(SEARCH("HUB", IM!$AC$2:$AC$2000)) *
        (IM!$X$2:$X$2000&gt;=$A$1) *
        (IM!$X$2:$X$2000&lt;=$B$1)*(W162="HUB")
    ) &gt; 0
), "HUB", "")</f>
        <v/>
      </c>
      <c r="O162" s="371" t="str">
        <f>IF(I162="","未到店",
IF(AND(S162&gt;I162, R162="STAR", NOT(AND(G162&lt;&gt;"萊到店 WebPOS", Q162&lt;&gt;"EDC"))), "完工已補裝",
IF(AND(G162&lt;&gt;"萊到店 WebPOS", Q162&lt;&gt;"EDC"), "EDC異常",
IF(AND(W162="HUB", N162=""), "HUB異常",
IF(OR(AND(Z162="STAR", R162="STAR"), AND(Z162&lt;&gt;"STAR", R162="")), "已完工", "STAR異常")
))))</f>
        <v>未到店</v>
      </c>
      <c r="P162" s="238" t="str">
        <f>(TEXT(I162,"yyyymmdd"))&amp;$S$2&amp;A162&amp;$S$2&amp;B162&amp;$Q$2</f>
        <v>-3770-北縣西雲店(定保)</v>
      </c>
      <c r="Q162" s="357" t="str" cm="1">
        <f t="array" ref="Q162">IF(AND(SUMPRODUCT((IM!$F$2:$F$2000=A162)*(ISNUMBER(SEARCH("EDC", IM!$AC$2:$AC$2000))))&gt;0), "EDC", "")</f>
        <v/>
      </c>
      <c r="R162" s="358" t="str" cm="1">
        <f t="array" ref="R162">IF(AND(SUMPRODUCT((IM!$F$2:$F$2000=A162)*(ISNUMBER(SEARCH("STAR", IM!$AC$2:$AC$2000))))&gt;0), "STAR", "")</f>
        <v/>
      </c>
      <c r="S162" s="359" t="str" cm="1">
        <f t="array" ref="S162">IFERROR(INDEX(IM!$X$2:$X$650, MATCH(1, (IM!$F$2:$F$650=A162) * (ISNUMBER(SEARCH($D$1, IM!$AC$2:$AC$650))), 0)), "")</f>
        <v/>
      </c>
      <c r="T162" s="355">
        <f>IF(AND(X162&lt;&gt;"", Y162&lt;&gt;""), 2, IF(OR(X162&lt;&gt;"", Y162&lt;&gt;""), 1, 0))</f>
        <v>1</v>
      </c>
      <c r="U162" s="355"/>
      <c r="V162" s="373">
        <f>IF(OR(R162="STAR", T162="", U162=""), T162,
"總數：" &amp; T162 &amp; CHAR(10) &amp;
"已維修：" &amp; U162 &amp; CHAR(10) &amp;
"未更換：" &amp; (T162 - U162))</f>
        <v>1</v>
      </c>
      <c r="W162" s="360" t="str">
        <f>IF(VLOOKUP(A162,'0919門市清單主檔'!B:E,4,FALSE)=0,"",VLOOKUP(A162,'0919門市清單主檔'!B:E,4,FALSE))</f>
        <v/>
      </c>
      <c r="Y162" s="5" t="s">
        <v>4216</v>
      </c>
      <c r="Z162" s="5" t="str">
        <f>IF(T162&gt;0,"STAR","")</f>
        <v>STAR</v>
      </c>
    </row>
    <row r="163" spans="1:26" ht="15.75" customHeight="1">
      <c r="A163" s="174">
        <v>2325</v>
      </c>
      <c r="B163" s="175" t="str">
        <f>VLOOKUP(A163,'0919門市清單主檔'!B:C,2,FALSE)</f>
        <v>北縣五泰店</v>
      </c>
      <c r="C163" s="176" t="str">
        <f>VLOOKUP($A163,'0919門市清單主檔'!B:V,20,FALSE)</f>
        <v>新北市</v>
      </c>
      <c r="D163" s="177" t="str">
        <f>VLOOKUP($A163,'0919門市清單主檔'!B:V,21,FALSE)</f>
        <v>五股區</v>
      </c>
      <c r="E163" s="178" t="str">
        <f>VLOOKUP(D163,區域表!A:B,2,FALSE)</f>
        <v>湯家瑋</v>
      </c>
      <c r="F163" s="179" t="str">
        <f>IFERROR(IF(VLOOKUP(A163,門市狀態!A:D,4,FALSE)=0,"",VLOOKUP(A163,門市狀態!A:D,4,FALSE)),"")</f>
        <v/>
      </c>
      <c r="G163" s="180" t="s">
        <v>1742</v>
      </c>
      <c r="H163" s="181" t="str">
        <f>IF(I163&gt;0,(TEXT(I163,"yyyymmdd")&amp;$S$2&amp;A163&amp;$S$2&amp;B163&amp;$Q$2),"")</f>
        <v>-2325-北縣五泰店(定保)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69" t="str">
        <f>Q163&amp;IF(R163&lt;&gt;"",$P$2,"")&amp;R163</f>
        <v/>
      </c>
      <c r="N163" s="339" t="str" cm="1">
        <f t="array" ref="N163">IF(AND(
    SUMPRODUCT(
        (IM!$F$2:$F$2000=A163) *
        ISNUMBER(SEARCH("HUB", IM!$AC$2:$AC$2000)) *
        (IM!$X$2:$X$2000&gt;=$A$1) *
        (IM!$X$2:$X$2000&lt;=$B$1)*(W163="HUB")
    ) &gt; 0
), "HUB", "")</f>
        <v/>
      </c>
      <c r="O163" s="371" t="str">
        <f>IF(I163="","未到店",
IF(AND(S163&gt;I163, R163="STAR", NOT(AND(G163&lt;&gt;"萊到店 WebPOS", Q163&lt;&gt;"EDC"))), "完工已補裝",
IF(AND(G163&lt;&gt;"萊到店 WebPOS", Q163&lt;&gt;"EDC"), "EDC異常",
IF(AND(W163="HUB", N163=""), "HUB異常",
IF(OR(AND(Z163="STAR", R163="STAR"), AND(Z163&lt;&gt;"STAR", R163="")), "已完工", "STAR異常")
))))</f>
        <v>未到店</v>
      </c>
      <c r="P163" s="238" t="str">
        <f>(TEXT(I163,"yyyymmdd"))&amp;$S$2&amp;A163&amp;$S$2&amp;B163&amp;$Q$2</f>
        <v>-2325-北縣五泰店(定保)</v>
      </c>
      <c r="Q163" s="357" t="str" cm="1">
        <f t="array" ref="Q163">IF(AND(SUMPRODUCT((IM!$F$2:$F$2000=A163)*(ISNUMBER(SEARCH("EDC", IM!$AC$2:$AC$2000))))&gt;0), "EDC", "")</f>
        <v/>
      </c>
      <c r="R163" s="358" t="str" cm="1">
        <f t="array" ref="R163">IF(AND(SUMPRODUCT((IM!$F$2:$F$2000=A163)*(ISNUMBER(SEARCH("STAR", IM!$AC$2:$AC$2000))))&gt;0), "STAR", "")</f>
        <v/>
      </c>
      <c r="S163" s="359" t="str" cm="1">
        <f t="array" ref="S163">IFERROR(INDEX(IM!$X$2:$X$650, MATCH(1, (IM!$F$2:$F$650=A163) * (ISNUMBER(SEARCH($D$1, IM!$AC$2:$AC$650))), 0)), "")</f>
        <v/>
      </c>
      <c r="T163" s="355">
        <f>IF(AND(X163&lt;&gt;"", Y163&lt;&gt;""), 2, IF(OR(X163&lt;&gt;"", Y163&lt;&gt;""), 1, 0))</f>
        <v>2</v>
      </c>
      <c r="U163" s="355"/>
      <c r="V163" s="373">
        <f>IF(OR(R163="STAR", T163="", U163=""), T163,
"總數：" &amp; T163 &amp; CHAR(10) &amp;
"已維修：" &amp; U163 &amp; CHAR(10) &amp;
"未更換：" &amp; (T163 - U163))</f>
        <v>2</v>
      </c>
      <c r="W163" s="360" t="str">
        <f>IF(VLOOKUP(A163,'0919門市清單主檔'!B:E,4,FALSE)=0,"",VLOOKUP(A163,'0919門市清單主檔'!B:E,4,FALSE))</f>
        <v/>
      </c>
      <c r="X163" s="3" t="s">
        <v>4217</v>
      </c>
      <c r="Y163" s="5" t="s">
        <v>4218</v>
      </c>
      <c r="Z163" s="5" t="str">
        <f>IF(T163&gt;0,"STAR","")</f>
        <v>STAR</v>
      </c>
    </row>
    <row r="164" spans="1:26" ht="15.75" customHeight="1">
      <c r="A164" s="174">
        <v>4983</v>
      </c>
      <c r="B164" s="175" t="str">
        <f>VLOOKUP(A164,'0919門市清單主檔'!B:C,2,FALSE)</f>
        <v>板橋藝文店</v>
      </c>
      <c r="C164" s="176" t="str">
        <f>VLOOKUP($A164,'0919門市清單主檔'!B:V,20,FALSE)</f>
        <v>新北市</v>
      </c>
      <c r="D164" s="177" t="str">
        <f>VLOOKUP($A164,'0919門市清單主檔'!B:V,21,FALSE)</f>
        <v>板橋區</v>
      </c>
      <c r="E164" s="178" t="str">
        <f>VLOOKUP(D164,區域表!A:B,2,FALSE)</f>
        <v>狄澤洋</v>
      </c>
      <c r="F164" s="179" t="str">
        <f>IFERROR(IF(VLOOKUP(A164,門市狀態!A:D,4,FALSE)=0,"",VLOOKUP(A164,門市狀態!A:D,4,FALSE)),"")</f>
        <v/>
      </c>
      <c r="G164" s="180" t="s">
        <v>1742</v>
      </c>
      <c r="H164" s="181" t="str">
        <f>IF(I164&gt;0,(TEXT(I164,"yyyymmdd")&amp;$S$2&amp;A164&amp;$S$2&amp;B164&amp;$Q$2),"")</f>
        <v>-4983-板橋藝文店(定保)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69" t="str">
        <f>Q164&amp;IF(R164&lt;&gt;"",$P$2,"")&amp;R164</f>
        <v/>
      </c>
      <c r="N164" s="339" t="str" cm="1">
        <f t="array" ref="N164">IF(AND(
    SUMPRODUCT(
        (IM!$F$2:$F$2000=A164) *
        ISNUMBER(SEARCH("HUB", IM!$AC$2:$AC$2000)) *
        (IM!$X$2:$X$2000&gt;=$A$1) *
        (IM!$X$2:$X$2000&lt;=$B$1)*(W164="HUB")
    ) &gt; 0
), "HUB", "")</f>
        <v/>
      </c>
      <c r="O164" s="371" t="str">
        <f>IF(I164="","未到店",
IF(AND(S164&gt;I164, R164="STAR", NOT(AND(G164&lt;&gt;"萊到店 WebPOS", Q164&lt;&gt;"EDC"))), "完工已補裝",
IF(AND(G164&lt;&gt;"萊到店 WebPOS", Q164&lt;&gt;"EDC"), "EDC異常",
IF(AND(W164="HUB", N164=""), "HUB異常",
IF(OR(AND(Z164="STAR", R164="STAR"), AND(Z164&lt;&gt;"STAR", R164="")), "已完工", "STAR異常")
))))</f>
        <v>未到店</v>
      </c>
      <c r="P164" s="238" t="str">
        <f>(TEXT(I164,"yyyymmdd"))&amp;$S$2&amp;A164&amp;$S$2&amp;B164&amp;$Q$2</f>
        <v>-4983-板橋藝文店(定保)</v>
      </c>
      <c r="Q164" s="357" t="str" cm="1">
        <f t="array" ref="Q164">IF(AND(SUMPRODUCT((IM!$F$2:$F$2000=A164)*(ISNUMBER(SEARCH("EDC", IM!$AC$2:$AC$2000))))&gt;0), "EDC", "")</f>
        <v/>
      </c>
      <c r="R164" s="358" t="str" cm="1">
        <f t="array" ref="R164">IF(AND(SUMPRODUCT((IM!$F$2:$F$2000=A164)*(ISNUMBER(SEARCH("STAR", IM!$AC$2:$AC$2000))))&gt;0), "STAR", "")</f>
        <v/>
      </c>
      <c r="S164" s="359" t="str" cm="1">
        <f t="array" ref="S164">IFERROR(INDEX(IM!$X$2:$X$650, MATCH(1, (IM!$F$2:$F$650=A164) * (ISNUMBER(SEARCH($D$1, IM!$AC$2:$AC$650))), 0)), "")</f>
        <v/>
      </c>
      <c r="T164" s="355">
        <f>IF(AND(X164&lt;&gt;"", Y164&lt;&gt;""), 2, IF(OR(X164&lt;&gt;"", Y164&lt;&gt;""), 1, 0))</f>
        <v>0</v>
      </c>
      <c r="U164" s="355"/>
      <c r="V164" s="373">
        <f>IF(OR(R164="STAR", T164="", U164=""), T164,
"總數：" &amp; T164 &amp; CHAR(10) &amp;
"已維修：" &amp; U164 &amp; CHAR(10) &amp;
"未更換：" &amp; (T164 - U164))</f>
        <v>0</v>
      </c>
      <c r="W164" s="360" t="str">
        <f>IF(VLOOKUP(A164,'0919門市清單主檔'!B:E,4,FALSE)=0,"",VLOOKUP(A164,'0919門市清單主檔'!B:E,4,FALSE))</f>
        <v/>
      </c>
      <c r="Y164" s="5"/>
      <c r="Z164" s="5" t="str">
        <f>IF(T164&gt;0,"STAR","")</f>
        <v/>
      </c>
    </row>
    <row r="165" spans="1:26" ht="15.75" customHeight="1">
      <c r="A165" s="174">
        <v>4680</v>
      </c>
      <c r="B165" s="175" t="str">
        <f>VLOOKUP(A165,'0919門市清單主檔'!B:C,2,FALSE)</f>
        <v>板橋江寧店</v>
      </c>
      <c r="C165" s="176" t="str">
        <f>VLOOKUP($A165,'0919門市清單主檔'!B:V,20,FALSE)</f>
        <v>新北市</v>
      </c>
      <c r="D165" s="177" t="str">
        <f>VLOOKUP($A165,'0919門市清單主檔'!B:V,21,FALSE)</f>
        <v>板橋區</v>
      </c>
      <c r="E165" s="178" t="str">
        <f>VLOOKUP(D165,區域表!A:B,2,FALSE)</f>
        <v>狄澤洋</v>
      </c>
      <c r="F165" s="179" t="str">
        <f>IFERROR(IF(VLOOKUP(A165,門市狀態!A:D,4,FALSE)=0,"",VLOOKUP(A165,門市狀態!A:D,4,FALSE)),"")</f>
        <v/>
      </c>
      <c r="G165" s="180" t="s">
        <v>1742</v>
      </c>
      <c r="H165" s="181" t="str">
        <f>IF(I165&gt;0,(TEXT(I165,"yyyymmdd")&amp;$S$2&amp;A165&amp;$S$2&amp;B165&amp;$Q$2),"")</f>
        <v>-4680-板橋江寧店(定保)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69" t="str">
        <f>Q165&amp;IF(R165&lt;&gt;"",$P$2,"")&amp;R165</f>
        <v/>
      </c>
      <c r="N165" s="339" t="str" cm="1">
        <f t="array" ref="N165">IF(AND(
    SUMPRODUCT(
        (IM!$F$2:$F$2000=A165) *
        ISNUMBER(SEARCH("HUB", IM!$AC$2:$AC$2000)) *
        (IM!$X$2:$X$2000&gt;=$A$1) *
        (IM!$X$2:$X$2000&lt;=$B$1)*(W165="HUB")
    ) &gt; 0
), "HUB", "")</f>
        <v/>
      </c>
      <c r="O165" s="371" t="str">
        <f>IF(I165="","未到店",
IF(AND(S165&gt;I165, R165="STAR", NOT(AND(G165&lt;&gt;"萊到店 WebPOS", Q165&lt;&gt;"EDC"))), "完工已補裝",
IF(AND(G165&lt;&gt;"萊到店 WebPOS", Q165&lt;&gt;"EDC"), "EDC異常",
IF(AND(W165="HUB", N165=""), "HUB異常",
IF(OR(AND(Z165="STAR", R165="STAR"), AND(Z165&lt;&gt;"STAR", R165="")), "已完工", "STAR異常")
))))</f>
        <v>未到店</v>
      </c>
      <c r="P165" s="238" t="str">
        <f>(TEXT(I165,"yyyymmdd"))&amp;$S$2&amp;A165&amp;$S$2&amp;B165&amp;$Q$2</f>
        <v>-4680-板橋江寧店(定保)</v>
      </c>
      <c r="Q165" s="357" t="str" cm="1">
        <f t="array" ref="Q165">IF(AND(SUMPRODUCT((IM!$F$2:$F$2000=A165)*(ISNUMBER(SEARCH("EDC", IM!$AC$2:$AC$2000))))&gt;0), "EDC", "")</f>
        <v/>
      </c>
      <c r="R165" s="358" t="str" cm="1">
        <f t="array" ref="R165">IF(AND(SUMPRODUCT((IM!$F$2:$F$2000=A165)*(ISNUMBER(SEARCH("STAR", IM!$AC$2:$AC$2000))))&gt;0), "STAR", "")</f>
        <v/>
      </c>
      <c r="S165" s="359" t="str" cm="1">
        <f t="array" ref="S165">IFERROR(INDEX(IM!$X$2:$X$650, MATCH(1, (IM!$F$2:$F$650=A165) * (ISNUMBER(SEARCH($D$1, IM!$AC$2:$AC$650))), 0)), "")</f>
        <v/>
      </c>
      <c r="T165" s="355">
        <f>IF(AND(X165&lt;&gt;"", Y165&lt;&gt;""), 2, IF(OR(X165&lt;&gt;"", Y165&lt;&gt;""), 1, 0))</f>
        <v>0</v>
      </c>
      <c r="U165" s="355"/>
      <c r="V165" s="373">
        <f>IF(OR(R165="STAR", T165="", U165=""), T165,
"總數：" &amp; T165 &amp; CHAR(10) &amp;
"已維修：" &amp; U165 &amp; CHAR(10) &amp;
"未更換：" &amp; (T165 - U165))</f>
        <v>0</v>
      </c>
      <c r="W165" s="360" t="str">
        <f>IF(VLOOKUP(A165,'0919門市清單主檔'!B:E,4,FALSE)=0,"",VLOOKUP(A165,'0919門市清單主檔'!B:E,4,FALSE))</f>
        <v/>
      </c>
      <c r="Y165" s="5"/>
      <c r="Z165" s="5" t="str">
        <f>IF(T165&gt;0,"STAR","")</f>
        <v/>
      </c>
    </row>
    <row r="166" spans="1:26" ht="15.75" customHeight="1">
      <c r="A166" s="174">
        <v>3853</v>
      </c>
      <c r="B166" s="175" t="str">
        <f>VLOOKUP(A166,'0919門市清單主檔'!B:C,2,FALSE)</f>
        <v>板橋互助店</v>
      </c>
      <c r="C166" s="176" t="str">
        <f>VLOOKUP($A166,'0919門市清單主檔'!B:V,20,FALSE)</f>
        <v>新北市</v>
      </c>
      <c r="D166" s="177" t="str">
        <f>VLOOKUP($A166,'0919門市清單主檔'!B:V,21,FALSE)</f>
        <v>板橋區</v>
      </c>
      <c r="E166" s="178" t="str">
        <f>VLOOKUP(D166,區域表!A:B,2,FALSE)</f>
        <v>狄澤洋</v>
      </c>
      <c r="F166" s="179" t="str">
        <f>IFERROR(IF(VLOOKUP(A166,門市狀態!A:D,4,FALSE)=0,"",VLOOKUP(A166,門市狀態!A:D,4,FALSE)),"")</f>
        <v/>
      </c>
      <c r="G166" s="180" t="s">
        <v>1742</v>
      </c>
      <c r="H166" s="181" t="str">
        <f>IF(I166&gt;0,(TEXT(I166,"yyyymmdd")&amp;$S$2&amp;A166&amp;$S$2&amp;B166&amp;$Q$2),"")</f>
        <v>-3853-板橋互助店(定保)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69" t="str">
        <f>Q166&amp;IF(R166&lt;&gt;"",$P$2,"")&amp;R166</f>
        <v/>
      </c>
      <c r="N166" s="339" t="str" cm="1">
        <f t="array" ref="N166">IF(AND(
    SUMPRODUCT(
        (IM!$F$2:$F$2000=A166) *
        ISNUMBER(SEARCH("HUB", IM!$AC$2:$AC$2000)) *
        (IM!$X$2:$X$2000&gt;=$A$1) *
        (IM!$X$2:$X$2000&lt;=$B$1)*(W166="HUB")
    ) &gt; 0
), "HUB", "")</f>
        <v/>
      </c>
      <c r="O166" s="371" t="str">
        <f>IF(I166="","未到店",
IF(AND(S166&gt;I166, R166="STAR", NOT(AND(G166&lt;&gt;"萊到店 WebPOS", Q166&lt;&gt;"EDC"))), "完工已補裝",
IF(AND(G166&lt;&gt;"萊到店 WebPOS", Q166&lt;&gt;"EDC"), "EDC異常",
IF(AND(W166="HUB", N166=""), "HUB異常",
IF(OR(AND(Z166="STAR", R166="STAR"), AND(Z166&lt;&gt;"STAR", R166="")), "已完工", "STAR異常")
))))</f>
        <v>未到店</v>
      </c>
      <c r="P166" s="238" t="str">
        <f>(TEXT(I166,"yyyymmdd"))&amp;$S$2&amp;A166&amp;$S$2&amp;B166&amp;$Q$2</f>
        <v>-3853-板橋互助店(定保)</v>
      </c>
      <c r="Q166" s="357" t="str" cm="1">
        <f t="array" ref="Q166">IF(AND(SUMPRODUCT((IM!$F$2:$F$2000=A166)*(ISNUMBER(SEARCH("EDC", IM!$AC$2:$AC$2000))))&gt;0), "EDC", "")</f>
        <v/>
      </c>
      <c r="R166" s="358" t="str" cm="1">
        <f t="array" ref="R166">IF(AND(SUMPRODUCT((IM!$F$2:$F$2000=A166)*(ISNUMBER(SEARCH("STAR", IM!$AC$2:$AC$2000))))&gt;0), "STAR", "")</f>
        <v/>
      </c>
      <c r="S166" s="359" t="str" cm="1">
        <f t="array" ref="S166">IFERROR(INDEX(IM!$X$2:$X$650, MATCH(1, (IM!$F$2:$F$650=A166) * (ISNUMBER(SEARCH($D$1, IM!$AC$2:$AC$650))), 0)), "")</f>
        <v/>
      </c>
      <c r="T166" s="355">
        <f>IF(AND(X166&lt;&gt;"", Y166&lt;&gt;""), 2, IF(OR(X166&lt;&gt;"", Y166&lt;&gt;""), 1, 0))</f>
        <v>0</v>
      </c>
      <c r="U166" s="355"/>
      <c r="V166" s="373">
        <f>IF(OR(R166="STAR", T166="", U166=""), T166,
"總數：" &amp; T166 &amp; CHAR(10) &amp;
"已維修：" &amp; U166 &amp; CHAR(10) &amp;
"未更換：" &amp; (T166 - U166))</f>
        <v>0</v>
      </c>
      <c r="W166" s="360" t="str">
        <f>IF(VLOOKUP(A166,'0919門市清單主檔'!B:E,4,FALSE)=0,"",VLOOKUP(A166,'0919門市清單主檔'!B:E,4,FALSE))</f>
        <v/>
      </c>
      <c r="Y166" s="5"/>
      <c r="Z166" s="5" t="str">
        <f>IF(T166&gt;0,"STAR","")</f>
        <v/>
      </c>
    </row>
    <row r="167" spans="1:26" ht="15.75" customHeight="1">
      <c r="A167" s="174">
        <v>4057</v>
      </c>
      <c r="B167" s="175" t="str">
        <f>VLOOKUP(A167,'0919門市清單主檔'!B:C,2,FALSE)</f>
        <v>林口香澄店</v>
      </c>
      <c r="C167" s="176" t="str">
        <f>VLOOKUP($A167,'0919門市清單主檔'!B:V,20,FALSE)</f>
        <v>新北市</v>
      </c>
      <c r="D167" s="177" t="str">
        <f>VLOOKUP($A167,'0919門市清單主檔'!B:V,21,FALSE)</f>
        <v>林口區</v>
      </c>
      <c r="E167" s="178" t="str">
        <f>VLOOKUP(D167,區域表!A:B,2,FALSE)</f>
        <v>湯家瑋</v>
      </c>
      <c r="F167" s="179" t="str">
        <f>IFERROR(IF(VLOOKUP(A167,門市狀態!A:D,4,FALSE)=0,"",VLOOKUP(A167,門市狀態!A:D,4,FALSE)),"")</f>
        <v/>
      </c>
      <c r="G167" s="180" t="s">
        <v>1742</v>
      </c>
      <c r="H167" s="181" t="str">
        <f>IF(I167&gt;0,(TEXT(I167,"yyyymmdd")&amp;$S$2&amp;A167&amp;$S$2&amp;B167&amp;$Q$2),"")</f>
        <v>-4057-林口香澄店(定保)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69" t="str">
        <f>Q167&amp;IF(R167&lt;&gt;"",$P$2,"")&amp;R167</f>
        <v/>
      </c>
      <c r="N167" s="339" t="str" cm="1">
        <f t="array" ref="N167">IF(AND(
    SUMPRODUCT(
        (IM!$F$2:$F$2000=A167) *
        ISNUMBER(SEARCH("HUB", IM!$AC$2:$AC$2000)) *
        (IM!$X$2:$X$2000&gt;=$A$1) *
        (IM!$X$2:$X$2000&lt;=$B$1)*(W167="HUB")
    ) &gt; 0
), "HUB", "")</f>
        <v/>
      </c>
      <c r="O167" s="371" t="str">
        <f>IF(I167="","未到店",
IF(AND(S167&gt;I167, R167="STAR", NOT(AND(G167&lt;&gt;"萊到店 WebPOS", Q167&lt;&gt;"EDC"))), "完工已補裝",
IF(AND(G167&lt;&gt;"萊到店 WebPOS", Q167&lt;&gt;"EDC"), "EDC異常",
IF(AND(W167="HUB", N167=""), "HUB異常",
IF(OR(AND(Z167="STAR", R167="STAR"), AND(Z167&lt;&gt;"STAR", R167="")), "已完工", "STAR異常")
))))</f>
        <v>未到店</v>
      </c>
      <c r="P167" s="238" t="str">
        <f>(TEXT(I167,"yyyymmdd"))&amp;$S$2&amp;A167&amp;$S$2&amp;B167&amp;$Q$2</f>
        <v>-4057-林口香澄店(定保)</v>
      </c>
      <c r="Q167" s="357" t="str" cm="1">
        <f t="array" ref="Q167">IF(AND(SUMPRODUCT((IM!$F$2:$F$2000=A167)*(ISNUMBER(SEARCH("EDC", IM!$AC$2:$AC$2000))))&gt;0), "EDC", "")</f>
        <v/>
      </c>
      <c r="R167" s="358" t="str" cm="1">
        <f t="array" ref="R167">IF(AND(SUMPRODUCT((IM!$F$2:$F$2000=A167)*(ISNUMBER(SEARCH("STAR", IM!$AC$2:$AC$2000))))&gt;0), "STAR", "")</f>
        <v/>
      </c>
      <c r="S167" s="359" t="str" cm="1">
        <f t="array" ref="S167">IFERROR(INDEX(IM!$X$2:$X$650, MATCH(1, (IM!$F$2:$F$650=A167) * (ISNUMBER(SEARCH($D$1, IM!$AC$2:$AC$650))), 0)), "")</f>
        <v/>
      </c>
      <c r="T167" s="355">
        <f>IF(AND(X167&lt;&gt;"", Y167&lt;&gt;""), 2, IF(OR(X167&lt;&gt;"", Y167&lt;&gt;""), 1, 0))</f>
        <v>2</v>
      </c>
      <c r="U167" s="355"/>
      <c r="V167" s="373">
        <f>IF(OR(R167="STAR", T167="", U167=""), T167,
"總數：" &amp; T167 &amp; CHAR(10) &amp;
"已維修：" &amp; U167 &amp; CHAR(10) &amp;
"未更換：" &amp; (T167 - U167))</f>
        <v>2</v>
      </c>
      <c r="W167" s="360" t="str">
        <f>IF(VLOOKUP(A167,'0919門市清單主檔'!B:E,4,FALSE)=0,"",VLOOKUP(A167,'0919門市清單主檔'!B:E,4,FALSE))</f>
        <v/>
      </c>
      <c r="X167" s="3" t="s">
        <v>4232</v>
      </c>
      <c r="Y167" s="5" t="s">
        <v>4233</v>
      </c>
      <c r="Z167" s="5" t="str">
        <f>IF(T167&gt;0,"STAR","")</f>
        <v>STAR</v>
      </c>
    </row>
    <row r="168" spans="1:26" ht="15.75" customHeight="1">
      <c r="A168" s="174">
        <v>4906</v>
      </c>
      <c r="B168" s="175" t="str">
        <f>VLOOKUP(A168,'0919門市清單主檔'!B:C,2,FALSE)</f>
        <v>金山銀山店</v>
      </c>
      <c r="C168" s="176" t="str">
        <f>VLOOKUP($A168,'0919門市清單主檔'!B:V,20,FALSE)</f>
        <v>新北市</v>
      </c>
      <c r="D168" s="177" t="str">
        <f>VLOOKUP($A168,'0919門市清單主檔'!B:V,21,FALSE)</f>
        <v>金山區</v>
      </c>
      <c r="E168" s="178" t="str">
        <f>VLOOKUP(D168,區域表!A:B,2,FALSE)</f>
        <v>吳宗鴻</v>
      </c>
      <c r="F168" s="179" t="str">
        <f>IFERROR(IF(VLOOKUP(A168,門市狀態!A:D,4,FALSE)=0,"",VLOOKUP(A168,門市狀態!A:D,4,FALSE)),"")</f>
        <v/>
      </c>
      <c r="G168" s="180" t="s">
        <v>1742</v>
      </c>
      <c r="H168" s="181" t="str">
        <f>IF(I168&gt;0,(TEXT(I168,"yyyymmdd")&amp;$S$2&amp;A168&amp;$S$2&amp;B168&amp;$Q$2),"")</f>
        <v>-4906-金山銀山店(定保)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69" t="str">
        <f>Q168&amp;IF(R168&lt;&gt;"",$P$2,"")&amp;R168</f>
        <v/>
      </c>
      <c r="N168" s="339" t="str" cm="1">
        <f t="array" ref="N168">IF(AND(
    SUMPRODUCT(
        (IM!$F$2:$F$2000=A168) *
        ISNUMBER(SEARCH("HUB", IM!$AC$2:$AC$2000)) *
        (IM!$X$2:$X$2000&gt;=$A$1) *
        (IM!$X$2:$X$2000&lt;=$B$1)*(W168="HUB")
    ) &gt; 0
), "HUB", "")</f>
        <v/>
      </c>
      <c r="O168" s="371" t="str">
        <f>IF(I168="","未到店",
IF(AND(S168&gt;I168, R168="STAR", NOT(AND(G168&lt;&gt;"萊到店 WebPOS", Q168&lt;&gt;"EDC"))), "完工已補裝",
IF(AND(G168&lt;&gt;"萊到店 WebPOS", Q168&lt;&gt;"EDC"), "EDC異常",
IF(AND(W168="HUB", N168=""), "HUB異常",
IF(OR(AND(Z168="STAR", R168="STAR"), AND(Z168&lt;&gt;"STAR", R168="")), "已完工", "STAR異常")
))))</f>
        <v>未到店</v>
      </c>
      <c r="P168" s="238" t="str">
        <f>(TEXT(I168,"yyyymmdd"))&amp;$S$2&amp;A168&amp;$S$2&amp;B168&amp;$Q$2</f>
        <v>-4906-金山銀山店(定保)</v>
      </c>
      <c r="Q168" s="357" t="str" cm="1">
        <f t="array" ref="Q168">IF(AND(SUMPRODUCT((IM!$F$2:$F$2000=A168)*(ISNUMBER(SEARCH("EDC", IM!$AC$2:$AC$2000))))&gt;0), "EDC", "")</f>
        <v/>
      </c>
      <c r="R168" s="358" t="str" cm="1">
        <f t="array" ref="R168">IF(AND(SUMPRODUCT((IM!$F$2:$F$2000=A168)*(ISNUMBER(SEARCH("STAR", IM!$AC$2:$AC$2000))))&gt;0), "STAR", "")</f>
        <v/>
      </c>
      <c r="S168" s="359" t="str" cm="1">
        <f t="array" ref="S168">IFERROR(INDEX(IM!$X$2:$X$650, MATCH(1, (IM!$F$2:$F$650=A168) * (ISNUMBER(SEARCH($D$1, IM!$AC$2:$AC$650))), 0)), "")</f>
        <v/>
      </c>
      <c r="T168" s="355">
        <f>IF(AND(X168&lt;&gt;"", Y168&lt;&gt;""), 2, IF(OR(X168&lt;&gt;"", Y168&lt;&gt;""), 1, 0))</f>
        <v>0</v>
      </c>
      <c r="U168" s="355"/>
      <c r="V168" s="373">
        <f>IF(OR(R168="STAR", T168="", U168=""), T168,
"總數：" &amp; T168 &amp; CHAR(10) &amp;
"已維修：" &amp; U168 &amp; CHAR(10) &amp;
"未更換：" &amp; (T168 - U168))</f>
        <v>0</v>
      </c>
      <c r="W168" s="360" t="str">
        <f>IF(VLOOKUP(A168,'0919門市清單主檔'!B:E,4,FALSE)=0,"",VLOOKUP(A168,'0919門市清單主檔'!B:E,4,FALSE))</f>
        <v/>
      </c>
      <c r="Y168" s="5"/>
      <c r="Z168" s="5" t="str">
        <f>IF(T168&gt;0,"STAR","")</f>
        <v/>
      </c>
    </row>
    <row r="169" spans="1:26" ht="15.75" customHeight="1">
      <c r="A169" s="174">
        <v>4144</v>
      </c>
      <c r="B169" s="175" t="str">
        <f>VLOOKUP(A169,'0919門市清單主檔'!B:C,2,FALSE)</f>
        <v>新莊頭前店</v>
      </c>
      <c r="C169" s="176" t="str">
        <f>VLOOKUP($A169,'0919門市清單主檔'!B:V,20,FALSE)</f>
        <v>新北市</v>
      </c>
      <c r="D169" s="177" t="str">
        <f>VLOOKUP($A169,'0919門市清單主檔'!B:V,21,FALSE)</f>
        <v>新莊區</v>
      </c>
      <c r="E169" s="178" t="str">
        <f>VLOOKUP(D169,區域表!A:B,2,FALSE)</f>
        <v>湯家瑋</v>
      </c>
      <c r="F169" s="179" t="str">
        <f>IFERROR(IF(VLOOKUP(A169,門市狀態!A:D,4,FALSE)=0,"",VLOOKUP(A169,門市狀態!A:D,4,FALSE)),"")</f>
        <v/>
      </c>
      <c r="G169" s="180" t="s">
        <v>1742</v>
      </c>
      <c r="H169" s="181" t="str">
        <f>IF(I169&gt;0,(TEXT(I169,"yyyymmdd")&amp;$S$2&amp;A169&amp;$S$2&amp;B169&amp;$Q$2),"")</f>
        <v>-4144-新莊頭前店(定保)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69" t="str">
        <f>Q169&amp;IF(R169&lt;&gt;"",$P$2,"")&amp;R169</f>
        <v/>
      </c>
      <c r="N169" s="339" t="str" cm="1">
        <f t="array" ref="N169">IF(AND(
    SUMPRODUCT(
        (IM!$F$2:$F$2000=A169) *
        ISNUMBER(SEARCH("HUB", IM!$AC$2:$AC$2000)) *
        (IM!$X$2:$X$2000&gt;=$A$1) *
        (IM!$X$2:$X$2000&lt;=$B$1)*(W169="HUB")
    ) &gt; 0
), "HUB", "")</f>
        <v/>
      </c>
      <c r="O169" s="371" t="str">
        <f>IF(I169="","未到店",
IF(AND(S169&gt;I169, R169="STAR", NOT(AND(G169&lt;&gt;"萊到店 WebPOS", Q169&lt;&gt;"EDC"))), "完工已補裝",
IF(AND(G169&lt;&gt;"萊到店 WebPOS", Q169&lt;&gt;"EDC"), "EDC異常",
IF(AND(W169="HUB", N169=""), "HUB異常",
IF(OR(AND(Z169="STAR", R169="STAR"), AND(Z169&lt;&gt;"STAR", R169="")), "已完工", "STAR異常")
))))</f>
        <v>未到店</v>
      </c>
      <c r="P169" s="238" t="str">
        <f>(TEXT(I169,"yyyymmdd"))&amp;$S$2&amp;A169&amp;$S$2&amp;B169&amp;$Q$2</f>
        <v>-4144-新莊頭前店(定保)</v>
      </c>
      <c r="Q169" s="357" t="str" cm="1">
        <f t="array" ref="Q169">IF(AND(SUMPRODUCT((IM!$F$2:$F$2000=A169)*(ISNUMBER(SEARCH("EDC", IM!$AC$2:$AC$2000))))&gt;0), "EDC", "")</f>
        <v/>
      </c>
      <c r="R169" s="358" t="str" cm="1">
        <f t="array" ref="R169">IF(AND(SUMPRODUCT((IM!$F$2:$F$2000=A169)*(ISNUMBER(SEARCH("STAR", IM!$AC$2:$AC$2000))))&gt;0), "STAR", "")</f>
        <v/>
      </c>
      <c r="S169" s="359" t="str" cm="1">
        <f t="array" ref="S169">IFERROR(INDEX(IM!$X$2:$X$650, MATCH(1, (IM!$F$2:$F$650=A169) * (ISNUMBER(SEARCH($D$1, IM!$AC$2:$AC$650))), 0)), "")</f>
        <v/>
      </c>
      <c r="T169" s="355">
        <f>IF(AND(X169&lt;&gt;"", Y169&lt;&gt;""), 2, IF(OR(X169&lt;&gt;"", Y169&lt;&gt;""), 1, 0))</f>
        <v>2</v>
      </c>
      <c r="U169" s="355"/>
      <c r="V169" s="373">
        <f>IF(OR(R169="STAR", T169="", U169=""), T169,
"總數：" &amp; T169 &amp; CHAR(10) &amp;
"已維修：" &amp; U169 &amp; CHAR(10) &amp;
"未更換：" &amp; (T169 - U169))</f>
        <v>2</v>
      </c>
      <c r="W169" s="360" t="str">
        <f>IF(VLOOKUP(A169,'0919門市清單主檔'!B:E,4,FALSE)=0,"",VLOOKUP(A169,'0919門市清單主檔'!B:E,4,FALSE))</f>
        <v/>
      </c>
      <c r="X169" s="3" t="s">
        <v>4238</v>
      </c>
      <c r="Y169" s="5" t="s">
        <v>4239</v>
      </c>
      <c r="Z169" s="5" t="str">
        <f>IF(T169&gt;0,"STAR","")</f>
        <v>STAR</v>
      </c>
    </row>
    <row r="170" spans="1:26" ht="15.75" customHeight="1">
      <c r="A170" s="174">
        <v>4316</v>
      </c>
      <c r="B170" s="175" t="str">
        <f>VLOOKUP(A170,'0919門市清單主檔'!B:C,2,FALSE)</f>
        <v>五股工商店</v>
      </c>
      <c r="C170" s="176" t="str">
        <f>VLOOKUP($A170,'0919門市清單主檔'!B:V,20,FALSE)</f>
        <v>新北市</v>
      </c>
      <c r="D170" s="177" t="str">
        <f>VLOOKUP($A170,'0919門市清單主檔'!B:V,21,FALSE)</f>
        <v>五股區</v>
      </c>
      <c r="E170" s="178" t="str">
        <f>VLOOKUP(D170,區域表!A:B,2,FALSE)</f>
        <v>湯家瑋</v>
      </c>
      <c r="F170" s="179" t="str">
        <f>IFERROR(IF(VLOOKUP(A170,門市狀態!A:D,4,FALSE)=0,"",VLOOKUP(A170,門市狀態!A:D,4,FALSE)),"")</f>
        <v/>
      </c>
      <c r="G170" s="180" t="s">
        <v>1742</v>
      </c>
      <c r="H170" s="181" t="str">
        <f>IF(I170&gt;0,(TEXT(I170,"yyyymmdd")&amp;$S$2&amp;A170&amp;$S$2&amp;B170&amp;$Q$2),"")</f>
        <v>-4316-五股工商店(定保)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69" t="str">
        <f>Q170&amp;IF(R170&lt;&gt;"",$P$2,"")&amp;R170</f>
        <v>+STAR</v>
      </c>
      <c r="N170" s="339" t="str" cm="1">
        <f t="array" ref="N170">IF(AND(
    SUMPRODUCT(
        (IM!$F$2:$F$2000=A170) *
        ISNUMBER(SEARCH("HUB", IM!$AC$2:$AC$2000)) *
        (IM!$X$2:$X$2000&gt;=$A$1) *
        (IM!$X$2:$X$2000&lt;=$B$1)*(W170="HUB")
    ) &gt; 0
), "HUB", "")</f>
        <v/>
      </c>
      <c r="O170" s="371" t="str">
        <f>IF(I170="","未到店",
IF(AND(S170&gt;I170, R170="STAR", NOT(AND(G170&lt;&gt;"萊到店 WebPOS", Q170&lt;&gt;"EDC"))), "完工已補裝",
IF(AND(G170&lt;&gt;"萊到店 WebPOS", Q170&lt;&gt;"EDC"), "EDC異常",
IF(AND(W170="HUB", N170=""), "HUB異常",
IF(OR(AND(Z170="STAR", R170="STAR"), AND(Z170&lt;&gt;"STAR", R170="")), "已完工", "STAR異常")
))))</f>
        <v>未到店</v>
      </c>
      <c r="P170" s="238" t="str">
        <f>(TEXT(I170,"yyyymmdd"))&amp;$S$2&amp;A170&amp;$S$2&amp;B170&amp;$Q$2</f>
        <v>-4316-五股工商店(定保)</v>
      </c>
      <c r="Q170" s="357" t="str" cm="1">
        <f t="array" ref="Q170">IF(AND(SUMPRODUCT((IM!$F$2:$F$2000=A170)*(ISNUMBER(SEARCH("EDC", IM!$AC$2:$AC$2000))))&gt;0), "EDC", "")</f>
        <v/>
      </c>
      <c r="R170" s="358" t="str" cm="1">
        <f t="array" ref="R170">IF(AND(SUMPRODUCT((IM!$F$2:$F$2000=A170)*(ISNUMBER(SEARCH("STAR", IM!$AC$2:$AC$2000))))&gt;0), "STAR", "")</f>
        <v>STAR</v>
      </c>
      <c r="S170" s="359" cm="1">
        <f t="array" ref="S170">IFERROR(INDEX(IM!$X$2:$X$650, MATCH(1, (IM!$F$2:$F$650=A170) * (ISNUMBER(SEARCH($D$1, IM!$AC$2:$AC$650))), 0)), "")</f>
        <v>45726.465277777781</v>
      </c>
      <c r="T170" s="355">
        <f>IF(AND(X170&lt;&gt;"", Y170&lt;&gt;""), 2, IF(OR(X170&lt;&gt;"", Y170&lt;&gt;""), 1, 0))</f>
        <v>0</v>
      </c>
      <c r="U170" s="355"/>
      <c r="V170" s="373">
        <f>IF(OR(R170="STAR", T170="", U170=""), T170,
"總數：" &amp; T170 &amp; CHAR(10) &amp;
"已維修：" &amp; U170 &amp; CHAR(10) &amp;
"未更換：" &amp; (T170 - U170))</f>
        <v>0</v>
      </c>
      <c r="W170" s="360" t="str">
        <f>IF(VLOOKUP(A170,'0919門市清單主檔'!B:E,4,FALSE)=0,"",VLOOKUP(A170,'0919門市清單主檔'!B:E,4,FALSE))</f>
        <v/>
      </c>
      <c r="Y170" s="5"/>
      <c r="Z170" s="262" t="s">
        <v>5029</v>
      </c>
    </row>
    <row r="171" spans="1:26" ht="15.75" customHeight="1">
      <c r="A171" s="174">
        <v>4538</v>
      </c>
      <c r="B171" s="175" t="str">
        <f>VLOOKUP(A171,'0919門市清單主檔'!B:C,2,FALSE)</f>
        <v>林口童樂店</v>
      </c>
      <c r="C171" s="176" t="str">
        <f>VLOOKUP($A171,'0919門市清單主檔'!B:V,20,FALSE)</f>
        <v>新北市</v>
      </c>
      <c r="D171" s="177" t="str">
        <f>VLOOKUP($A171,'0919門市清單主檔'!B:V,21,FALSE)</f>
        <v>林口區</v>
      </c>
      <c r="E171" s="178" t="str">
        <f>VLOOKUP(D171,區域表!A:B,2,FALSE)</f>
        <v>湯家瑋</v>
      </c>
      <c r="F171" s="179" t="str">
        <f>IFERROR(IF(VLOOKUP(A171,門市狀態!A:D,4,FALSE)=0,"",VLOOKUP(A171,門市狀態!A:D,4,FALSE)),"")</f>
        <v/>
      </c>
      <c r="G171" s="180" t="s">
        <v>1742</v>
      </c>
      <c r="H171" s="181" t="str">
        <f>IF(I171&gt;0,(TEXT(I171,"yyyymmdd")&amp;$S$2&amp;A171&amp;$S$2&amp;B171&amp;$Q$2),"")</f>
        <v>-4538-林口童樂店(定保)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69" t="str">
        <f>Q171&amp;IF(R171&lt;&gt;"",$P$2,"")&amp;R171</f>
        <v/>
      </c>
      <c r="N171" s="339" t="str" cm="1">
        <f t="array" ref="N171">IF(AND(
    SUMPRODUCT(
        (IM!$F$2:$F$2000=A171) *
        ISNUMBER(SEARCH("HUB", IM!$AC$2:$AC$2000)) *
        (IM!$X$2:$X$2000&gt;=$A$1) *
        (IM!$X$2:$X$2000&lt;=$B$1)*(W171="HUB")
    ) &gt; 0
), "HUB", "")</f>
        <v/>
      </c>
      <c r="O171" s="371" t="str">
        <f>IF(I171="","未到店",
IF(AND(S171&gt;I171, R171="STAR", NOT(AND(G171&lt;&gt;"萊到店 WebPOS", Q171&lt;&gt;"EDC"))), "完工已補裝",
IF(AND(G171&lt;&gt;"萊到店 WebPOS", Q171&lt;&gt;"EDC"), "EDC異常",
IF(AND(W171="HUB", N171=""), "HUB異常",
IF(OR(AND(Z171="STAR", R171="STAR"), AND(Z171&lt;&gt;"STAR", R171="")), "已完工", "STAR異常")
))))</f>
        <v>未到店</v>
      </c>
      <c r="P171" s="238" t="str">
        <f>(TEXT(I171,"yyyymmdd"))&amp;$S$2&amp;A171&amp;$S$2&amp;B171&amp;$Q$2</f>
        <v>-4538-林口童樂店(定保)</v>
      </c>
      <c r="Q171" s="357" t="str" cm="1">
        <f t="array" ref="Q171">IF(AND(SUMPRODUCT((IM!$F$2:$F$2000=A171)*(ISNUMBER(SEARCH("EDC", IM!$AC$2:$AC$2000))))&gt;0), "EDC", "")</f>
        <v/>
      </c>
      <c r="R171" s="358" t="str" cm="1">
        <f t="array" ref="R171">IF(AND(SUMPRODUCT((IM!$F$2:$F$2000=A171)*(ISNUMBER(SEARCH("STAR", IM!$AC$2:$AC$2000))))&gt;0), "STAR", "")</f>
        <v/>
      </c>
      <c r="S171" s="359" t="str" cm="1">
        <f t="array" ref="S171">IFERROR(INDEX(IM!$X$2:$X$650, MATCH(1, (IM!$F$2:$F$650=A171) * (ISNUMBER(SEARCH($D$1, IM!$AC$2:$AC$650))), 0)), "")</f>
        <v/>
      </c>
      <c r="T171" s="355">
        <f>IF(AND(X171&lt;&gt;"", Y171&lt;&gt;""), 2, IF(OR(X171&lt;&gt;"", Y171&lt;&gt;""), 1, 0))</f>
        <v>0</v>
      </c>
      <c r="U171" s="355"/>
      <c r="V171" s="373">
        <f>IF(OR(R171="STAR", T171="", U171=""), T171,
"總數：" &amp; T171 &amp; CHAR(10) &amp;
"已維修：" &amp; U171 &amp; CHAR(10) &amp;
"未更換：" &amp; (T171 - U171))</f>
        <v>0</v>
      </c>
      <c r="W171" s="360" t="str">
        <f>IF(VLOOKUP(A171,'0919門市清單主檔'!B:E,4,FALSE)=0,"",VLOOKUP(A171,'0919門市清單主檔'!B:E,4,FALSE))</f>
        <v/>
      </c>
      <c r="Y171" s="5"/>
      <c r="Z171" s="5" t="str">
        <f>IF(T171&gt;0,"STAR","")</f>
        <v/>
      </c>
    </row>
    <row r="172" spans="1:26" ht="15.75" customHeight="1">
      <c r="A172" s="174">
        <v>3785</v>
      </c>
      <c r="B172" s="175" t="str">
        <f>VLOOKUP(A172,'0919門市清單主檔'!B:C,2,FALSE)</f>
        <v>北縣莊榮店</v>
      </c>
      <c r="C172" s="176" t="str">
        <f>VLOOKUP($A172,'0919門市清單主檔'!B:V,20,FALSE)</f>
        <v>新北市</v>
      </c>
      <c r="D172" s="177" t="str">
        <f>VLOOKUP($A172,'0919門市清單主檔'!B:V,21,FALSE)</f>
        <v>新莊區</v>
      </c>
      <c r="E172" s="178" t="str">
        <f>VLOOKUP(D172,區域表!A:B,2,FALSE)</f>
        <v>湯家瑋</v>
      </c>
      <c r="F172" s="179" t="str">
        <f>IFERROR(IF(VLOOKUP(A172,門市狀態!A:D,4,FALSE)=0,"",VLOOKUP(A172,門市狀態!A:D,4,FALSE)),"")</f>
        <v/>
      </c>
      <c r="G172" s="180" t="s">
        <v>1742</v>
      </c>
      <c r="H172" s="181" t="str">
        <f>IF(I172&gt;0,(TEXT(I172,"yyyymmdd")&amp;$S$2&amp;A172&amp;$S$2&amp;B172&amp;$Q$2),"")</f>
        <v>-3785-北縣莊榮店(定保)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69" t="str">
        <f>Q172&amp;IF(R172&lt;&gt;"",$P$2,"")&amp;R172</f>
        <v/>
      </c>
      <c r="N172" s="339" t="str" cm="1">
        <f t="array" ref="N172">IF(AND(
    SUMPRODUCT(
        (IM!$F$2:$F$2000=A172) *
        ISNUMBER(SEARCH("HUB", IM!$AC$2:$AC$2000)) *
        (IM!$X$2:$X$2000&gt;=$A$1) *
        (IM!$X$2:$X$2000&lt;=$B$1)*(W172="HUB")
    ) &gt; 0
), "HUB", "")</f>
        <v/>
      </c>
      <c r="O172" s="371" t="str">
        <f>IF(I172="","未到店",
IF(AND(S172&gt;I172, R172="STAR", NOT(AND(G172&lt;&gt;"萊到店 WebPOS", Q172&lt;&gt;"EDC"))), "完工已補裝",
IF(AND(G172&lt;&gt;"萊到店 WebPOS", Q172&lt;&gt;"EDC"), "EDC異常",
IF(AND(W172="HUB", N172=""), "HUB異常",
IF(OR(AND(Z172="STAR", R172="STAR"), AND(Z172&lt;&gt;"STAR", R172="")), "已完工", "STAR異常")
))))</f>
        <v>未到店</v>
      </c>
      <c r="P172" s="238" t="str">
        <f>(TEXT(I172,"yyyymmdd"))&amp;$S$2&amp;A172&amp;$S$2&amp;B172&amp;$Q$2</f>
        <v>-3785-北縣莊榮店(定保)</v>
      </c>
      <c r="Q172" s="357" t="str" cm="1">
        <f t="array" ref="Q172">IF(AND(SUMPRODUCT((IM!$F$2:$F$2000=A172)*(ISNUMBER(SEARCH("EDC", IM!$AC$2:$AC$2000))))&gt;0), "EDC", "")</f>
        <v/>
      </c>
      <c r="R172" s="358" t="str" cm="1">
        <f t="array" ref="R172">IF(AND(SUMPRODUCT((IM!$F$2:$F$2000=A172)*(ISNUMBER(SEARCH("STAR", IM!$AC$2:$AC$2000))))&gt;0), "STAR", "")</f>
        <v/>
      </c>
      <c r="S172" s="359" t="str" cm="1">
        <f t="array" ref="S172">IFERROR(INDEX(IM!$X$2:$X$650, MATCH(1, (IM!$F$2:$F$650=A172) * (ISNUMBER(SEARCH($D$1, IM!$AC$2:$AC$650))), 0)), "")</f>
        <v/>
      </c>
      <c r="T172" s="355">
        <f>IF(AND(X172&lt;&gt;"", Y172&lt;&gt;""), 2, IF(OR(X172&lt;&gt;"", Y172&lt;&gt;""), 1, 0))</f>
        <v>0</v>
      </c>
      <c r="U172" s="355"/>
      <c r="V172" s="373">
        <f>IF(OR(R172="STAR", T172="", U172=""), T172,
"總數：" &amp; T172 &amp; CHAR(10) &amp;
"已維修：" &amp; U172 &amp; CHAR(10) &amp;
"未更換：" &amp; (T172 - U172))</f>
        <v>0</v>
      </c>
      <c r="W172" s="360" t="str">
        <f>IF(VLOOKUP(A172,'0919門市清單主檔'!B:E,4,FALSE)=0,"",VLOOKUP(A172,'0919門市清單主檔'!B:E,4,FALSE))</f>
        <v/>
      </c>
      <c r="Y172" s="5"/>
      <c r="Z172" s="5" t="str">
        <f>IF(T172&gt;0,"STAR","")</f>
        <v/>
      </c>
    </row>
    <row r="173" spans="1:26" ht="15.75" customHeight="1">
      <c r="A173" s="174">
        <v>4698</v>
      </c>
      <c r="B173" s="175" t="str">
        <f>VLOOKUP(A173,'0919門市清單主檔'!B:C,2,FALSE)</f>
        <v>三重頂崁店</v>
      </c>
      <c r="C173" s="176" t="str">
        <f>VLOOKUP($A173,'0919門市清單主檔'!B:V,20,FALSE)</f>
        <v>新北市</v>
      </c>
      <c r="D173" s="177" t="str">
        <f>VLOOKUP($A173,'0919門市清單主檔'!B:V,21,FALSE)</f>
        <v>三重區</v>
      </c>
      <c r="E173" s="178" t="str">
        <f>VLOOKUP(D173,區域表!A:B,2,FALSE)</f>
        <v>吳宗鴻</v>
      </c>
      <c r="F173" s="179" t="str">
        <f>IFERROR(IF(VLOOKUP(A173,門市狀態!A:D,4,FALSE)=0,"",VLOOKUP(A173,門市狀態!A:D,4,FALSE)),"")</f>
        <v/>
      </c>
      <c r="G173" s="180" t="s">
        <v>1742</v>
      </c>
      <c r="H173" s="181" t="str">
        <f>IF(I173&gt;0,(TEXT(I173,"yyyymmdd")&amp;$S$2&amp;A173&amp;$S$2&amp;B173&amp;$Q$2),"")</f>
        <v>-4698-三重頂崁店(定保)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69" t="str">
        <f>Q173&amp;IF(R173&lt;&gt;"",$P$2,"")&amp;R173</f>
        <v/>
      </c>
      <c r="N173" s="339" t="str" cm="1">
        <f t="array" ref="N173">IF(AND(
    SUMPRODUCT(
        (IM!$F$2:$F$2000=A173) *
        ISNUMBER(SEARCH("HUB", IM!$AC$2:$AC$2000)) *
        (IM!$X$2:$X$2000&gt;=$A$1) *
        (IM!$X$2:$X$2000&lt;=$B$1)*(W173="HUB")
    ) &gt; 0
), "HUB", "")</f>
        <v/>
      </c>
      <c r="O173" s="371" t="str">
        <f>IF(I173="","未到店",
IF(AND(S173&gt;I173, R173="STAR", NOT(AND(G173&lt;&gt;"萊到店 WebPOS", Q173&lt;&gt;"EDC"))), "完工已補裝",
IF(AND(G173&lt;&gt;"萊到店 WebPOS", Q173&lt;&gt;"EDC"), "EDC異常",
IF(AND(W173="HUB", N173=""), "HUB異常",
IF(OR(AND(Z173="STAR", R173="STAR"), AND(Z173&lt;&gt;"STAR", R173="")), "已完工", "STAR異常")
))))</f>
        <v>未到店</v>
      </c>
      <c r="P173" s="238" t="str">
        <f>(TEXT(I173,"yyyymmdd"))&amp;$S$2&amp;A173&amp;$S$2&amp;B173&amp;$Q$2</f>
        <v>-4698-三重頂崁店(定保)</v>
      </c>
      <c r="Q173" s="357" t="str" cm="1">
        <f t="array" ref="Q173">IF(AND(SUMPRODUCT((IM!$F$2:$F$2000=A173)*(ISNUMBER(SEARCH("EDC", IM!$AC$2:$AC$2000))))&gt;0), "EDC", "")</f>
        <v/>
      </c>
      <c r="R173" s="358" t="str" cm="1">
        <f t="array" ref="R173">IF(AND(SUMPRODUCT((IM!$F$2:$F$2000=A173)*(ISNUMBER(SEARCH("STAR", IM!$AC$2:$AC$2000))))&gt;0), "STAR", "")</f>
        <v/>
      </c>
      <c r="S173" s="359" t="str" cm="1">
        <f t="array" ref="S173">IFERROR(INDEX(IM!$X$2:$X$650, MATCH(1, (IM!$F$2:$F$650=A173) * (ISNUMBER(SEARCH($D$1, IM!$AC$2:$AC$650))), 0)), "")</f>
        <v/>
      </c>
      <c r="T173" s="355">
        <f>IF(AND(X173&lt;&gt;"", Y173&lt;&gt;""), 2, IF(OR(X173&lt;&gt;"", Y173&lt;&gt;""), 1, 0))</f>
        <v>2</v>
      </c>
      <c r="U173" s="355"/>
      <c r="V173" s="373">
        <f>IF(OR(R173="STAR", T173="", U173=""), T173,
"總數：" &amp; T173 &amp; CHAR(10) &amp;
"已維修：" &amp; U173 &amp; CHAR(10) &amp;
"未更換：" &amp; (T173 - U173))</f>
        <v>2</v>
      </c>
      <c r="W173" s="360" t="str">
        <f>IF(VLOOKUP(A173,'0919門市清單主檔'!B:E,4,FALSE)=0,"",VLOOKUP(A173,'0919門市清單主檔'!B:E,4,FALSE))</f>
        <v/>
      </c>
      <c r="X173" s="3" t="s">
        <v>4265</v>
      </c>
      <c r="Y173" s="5" t="s">
        <v>4266</v>
      </c>
      <c r="Z173" s="5" t="str">
        <f>IF(T173&gt;0,"STAR","")</f>
        <v>STAR</v>
      </c>
    </row>
    <row r="174" spans="1:26" ht="15.75" customHeight="1">
      <c r="A174" s="174">
        <v>3183</v>
      </c>
      <c r="B174" s="175" t="str">
        <f>VLOOKUP(A174,'0919門市清單主檔'!B:C,2,FALSE)</f>
        <v>北縣板好店</v>
      </c>
      <c r="C174" s="176" t="str">
        <f>VLOOKUP($A174,'0919門市清單主檔'!B:V,20,FALSE)</f>
        <v>新北市</v>
      </c>
      <c r="D174" s="177" t="str">
        <f>VLOOKUP($A174,'0919門市清單主檔'!B:V,21,FALSE)</f>
        <v>板橋區</v>
      </c>
      <c r="E174" s="178" t="str">
        <f>VLOOKUP(D174,區域表!A:B,2,FALSE)</f>
        <v>狄澤洋</v>
      </c>
      <c r="F174" s="179" t="str">
        <f>IFERROR(IF(VLOOKUP(A174,門市狀態!A:D,4,FALSE)=0,"",VLOOKUP(A174,門市狀態!A:D,4,FALSE)),"")</f>
        <v/>
      </c>
      <c r="G174" s="180" t="s">
        <v>1742</v>
      </c>
      <c r="H174" s="181" t="str">
        <f>IF(I174&gt;0,(TEXT(I174,"yyyymmdd")&amp;$S$2&amp;A174&amp;$S$2&amp;B174&amp;$Q$2),"")</f>
        <v>-3183-北縣板好店(定保)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69" t="str">
        <f>Q174&amp;IF(R174&lt;&gt;"",$P$2,"")&amp;R174</f>
        <v/>
      </c>
      <c r="N174" s="339" t="str" cm="1">
        <f t="array" ref="N174">IF(AND(
    SUMPRODUCT(
        (IM!$F$2:$F$2000=A174) *
        ISNUMBER(SEARCH("HUB", IM!$AC$2:$AC$2000)) *
        (IM!$X$2:$X$2000&gt;=$A$1) *
        (IM!$X$2:$X$2000&lt;=$B$1)*(W174="HUB")
    ) &gt; 0
), "HUB", "")</f>
        <v/>
      </c>
      <c r="O174" s="371" t="str">
        <f>IF(I174="","未到店",
IF(AND(S174&gt;I174, R174="STAR", NOT(AND(G174&lt;&gt;"萊到店 WebPOS", Q174&lt;&gt;"EDC"))), "完工已補裝",
IF(AND(G174&lt;&gt;"萊到店 WebPOS", Q174&lt;&gt;"EDC"), "EDC異常",
IF(AND(W174="HUB", N174=""), "HUB異常",
IF(OR(AND(Z174="STAR", R174="STAR"), AND(Z174&lt;&gt;"STAR", R174="")), "已完工", "STAR異常")
))))</f>
        <v>未到店</v>
      </c>
      <c r="P174" s="238" t="str">
        <f>(TEXT(I174,"yyyymmdd"))&amp;$S$2&amp;A174&amp;$S$2&amp;B174&amp;$Q$2</f>
        <v>-3183-北縣板好店(定保)</v>
      </c>
      <c r="Q174" s="357" t="str" cm="1">
        <f t="array" ref="Q174">IF(AND(SUMPRODUCT((IM!$F$2:$F$2000=A174)*(ISNUMBER(SEARCH("EDC", IM!$AC$2:$AC$2000))))&gt;0), "EDC", "")</f>
        <v/>
      </c>
      <c r="R174" s="358" t="str" cm="1">
        <f t="array" ref="R174">IF(AND(SUMPRODUCT((IM!$F$2:$F$2000=A174)*(ISNUMBER(SEARCH("STAR", IM!$AC$2:$AC$2000))))&gt;0), "STAR", "")</f>
        <v/>
      </c>
      <c r="S174" s="359" t="str" cm="1">
        <f t="array" ref="S174">IFERROR(INDEX(IM!$X$2:$X$650, MATCH(1, (IM!$F$2:$F$650=A174) * (ISNUMBER(SEARCH($D$1, IM!$AC$2:$AC$650))), 0)), "")</f>
        <v/>
      </c>
      <c r="T174" s="355">
        <f>IF(AND(X174&lt;&gt;"", Y174&lt;&gt;""), 2, IF(OR(X174&lt;&gt;"", Y174&lt;&gt;""), 1, 0))</f>
        <v>2</v>
      </c>
      <c r="U174" s="355"/>
      <c r="V174" s="373">
        <f>IF(OR(R174="STAR", T174="", U174=""), T174,
"總數：" &amp; T174 &amp; CHAR(10) &amp;
"已維修：" &amp; U174 &amp; CHAR(10) &amp;
"未更換：" &amp; (T174 - U174))</f>
        <v>2</v>
      </c>
      <c r="W174" s="360" t="str">
        <f>IF(VLOOKUP(A174,'0919門市清單主檔'!B:E,4,FALSE)=0,"",VLOOKUP(A174,'0919門市清單主檔'!B:E,4,FALSE))</f>
        <v/>
      </c>
      <c r="X174" s="3" t="s">
        <v>4267</v>
      </c>
      <c r="Y174" s="5" t="s">
        <v>4268</v>
      </c>
      <c r="Z174" s="5" t="str">
        <f>IF(T174&gt;0,"STAR","")</f>
        <v>STAR</v>
      </c>
    </row>
    <row r="175" spans="1:26" ht="15.75" customHeight="1">
      <c r="A175" s="174">
        <v>4194</v>
      </c>
      <c r="B175" s="175" t="str">
        <f>VLOOKUP(A175,'0919門市清單主檔'!B:C,2,FALSE)</f>
        <v>新莊鼎苑店</v>
      </c>
      <c r="C175" s="176" t="str">
        <f>VLOOKUP($A175,'0919門市清單主檔'!B:V,20,FALSE)</f>
        <v>新北市</v>
      </c>
      <c r="D175" s="177" t="str">
        <f>VLOOKUP($A175,'0919門市清單主檔'!B:V,21,FALSE)</f>
        <v>新莊區</v>
      </c>
      <c r="E175" s="178" t="str">
        <f>VLOOKUP(D175,區域表!A:B,2,FALSE)</f>
        <v>湯家瑋</v>
      </c>
      <c r="F175" s="179" t="str">
        <f>IFERROR(IF(VLOOKUP(A175,門市狀態!A:D,4,FALSE)=0,"",VLOOKUP(A175,門市狀態!A:D,4,FALSE)),"")</f>
        <v/>
      </c>
      <c r="G175" s="180" t="s">
        <v>1742</v>
      </c>
      <c r="H175" s="181" t="str">
        <f>IF(I175&gt;0,(TEXT(I175,"yyyymmdd")&amp;$S$2&amp;A175&amp;$S$2&amp;B175&amp;$Q$2),"")</f>
        <v>-4194-新莊鼎苑店(定保)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69" t="str">
        <f>Q175&amp;IF(R175&lt;&gt;"",$P$2,"")&amp;R175</f>
        <v/>
      </c>
      <c r="N175" s="339" t="str" cm="1">
        <f t="array" ref="N175">IF(AND(
    SUMPRODUCT(
        (IM!$F$2:$F$2000=A175) *
        ISNUMBER(SEARCH("HUB", IM!$AC$2:$AC$2000)) *
        (IM!$X$2:$X$2000&gt;=$A$1) *
        (IM!$X$2:$X$2000&lt;=$B$1)*(W175="HUB")
    ) &gt; 0
), "HUB", "")</f>
        <v/>
      </c>
      <c r="O175" s="371" t="str">
        <f>IF(I175="","未到店",
IF(AND(S175&gt;I175, R175="STAR", NOT(AND(G175&lt;&gt;"萊到店 WebPOS", Q175&lt;&gt;"EDC"))), "完工已補裝",
IF(AND(G175&lt;&gt;"萊到店 WebPOS", Q175&lt;&gt;"EDC"), "EDC異常",
IF(AND(W175="HUB", N175=""), "HUB異常",
IF(OR(AND(Z175="STAR", R175="STAR"), AND(Z175&lt;&gt;"STAR", R175="")), "已完工", "STAR異常")
))))</f>
        <v>未到店</v>
      </c>
      <c r="P175" s="238" t="str">
        <f>(TEXT(I175,"yyyymmdd"))&amp;$S$2&amp;A175&amp;$S$2&amp;B175&amp;$Q$2</f>
        <v>-4194-新莊鼎苑店(定保)</v>
      </c>
      <c r="Q175" s="357" t="str" cm="1">
        <f t="array" ref="Q175">IF(AND(SUMPRODUCT((IM!$F$2:$F$2000=A175)*(ISNUMBER(SEARCH("EDC", IM!$AC$2:$AC$2000))))&gt;0), "EDC", "")</f>
        <v/>
      </c>
      <c r="R175" s="358" t="str" cm="1">
        <f t="array" ref="R175">IF(AND(SUMPRODUCT((IM!$F$2:$F$2000=A175)*(ISNUMBER(SEARCH("STAR", IM!$AC$2:$AC$2000))))&gt;0), "STAR", "")</f>
        <v/>
      </c>
      <c r="S175" s="359" t="str" cm="1">
        <f t="array" ref="S175">IFERROR(INDEX(IM!$X$2:$X$650, MATCH(1, (IM!$F$2:$F$650=A175) * (ISNUMBER(SEARCH($D$1, IM!$AC$2:$AC$650))), 0)), "")</f>
        <v/>
      </c>
      <c r="T175" s="355">
        <f>IF(AND(X175&lt;&gt;"", Y175&lt;&gt;""), 2, IF(OR(X175&lt;&gt;"", Y175&lt;&gt;""), 1, 0))</f>
        <v>2</v>
      </c>
      <c r="U175" s="355"/>
      <c r="V175" s="373">
        <f>IF(OR(R175="STAR", T175="", U175=""), T175,
"總數：" &amp; T175 &amp; CHAR(10) &amp;
"已維修：" &amp; U175 &amp; CHAR(10) &amp;
"未更換：" &amp; (T175 - U175))</f>
        <v>2</v>
      </c>
      <c r="W175" s="360" t="str">
        <f>IF(VLOOKUP(A175,'0919門市清單主檔'!B:E,4,FALSE)=0,"",VLOOKUP(A175,'0919門市清單主檔'!B:E,4,FALSE))</f>
        <v/>
      </c>
      <c r="X175" s="3" t="s">
        <v>4275</v>
      </c>
      <c r="Y175" s="5" t="s">
        <v>4276</v>
      </c>
      <c r="Z175" s="5" t="str">
        <f>IF(T175&gt;0,"STAR","")</f>
        <v>STAR</v>
      </c>
    </row>
    <row r="176" spans="1:26" ht="15.75" customHeight="1">
      <c r="A176" s="174">
        <v>2890</v>
      </c>
      <c r="B176" s="175" t="str">
        <f>VLOOKUP(A176,'0919門市清單主檔'!B:C,2,FALSE)</f>
        <v>蘆洲鷺江店</v>
      </c>
      <c r="C176" s="176" t="str">
        <f>VLOOKUP($A176,'0919門市清單主檔'!B:V,20,FALSE)</f>
        <v>新北市</v>
      </c>
      <c r="D176" s="177" t="str">
        <f>VLOOKUP($A176,'0919門市清單主檔'!B:V,21,FALSE)</f>
        <v>蘆洲區</v>
      </c>
      <c r="E176" s="178" t="str">
        <f>VLOOKUP(D176,區域表!A:B,2,FALSE)</f>
        <v>吳宗鴻</v>
      </c>
      <c r="F176" s="179" t="str">
        <f>IFERROR(IF(VLOOKUP(A176,門市狀態!A:D,4,FALSE)=0,"",VLOOKUP(A176,門市狀態!A:D,4,FALSE)),"")</f>
        <v/>
      </c>
      <c r="G176" s="180" t="s">
        <v>1742</v>
      </c>
      <c r="H176" s="181" t="str">
        <f>IF(I176&gt;0,(TEXT(I176,"yyyymmdd")&amp;$S$2&amp;A176&amp;$S$2&amp;B176&amp;$Q$2),"")</f>
        <v>-2890-蘆洲鷺江店(定保)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69" t="str">
        <f>Q176&amp;IF(R176&lt;&gt;"",$P$2,"")&amp;R176</f>
        <v/>
      </c>
      <c r="N176" s="339" t="str" cm="1">
        <f t="array" ref="N176">IF(AND(
    SUMPRODUCT(
        (IM!$F$2:$F$2000=A176) *
        ISNUMBER(SEARCH("HUB", IM!$AC$2:$AC$2000)) *
        (IM!$X$2:$X$2000&gt;=$A$1) *
        (IM!$X$2:$X$2000&lt;=$B$1)*(W176="HUB")
    ) &gt; 0
), "HUB", "")</f>
        <v/>
      </c>
      <c r="O176" s="371" t="str">
        <f>IF(I176="","未到店",
IF(AND(S176&gt;I176, R176="STAR", NOT(AND(G176&lt;&gt;"萊到店 WebPOS", Q176&lt;&gt;"EDC"))), "完工已補裝",
IF(AND(G176&lt;&gt;"萊到店 WebPOS", Q176&lt;&gt;"EDC"), "EDC異常",
IF(AND(W176="HUB", N176=""), "HUB異常",
IF(OR(AND(Z176="STAR", R176="STAR"), AND(Z176&lt;&gt;"STAR", R176="")), "已完工", "STAR異常")
))))</f>
        <v>未到店</v>
      </c>
      <c r="P176" s="238" t="str">
        <f>(TEXT(I176,"yyyymmdd"))&amp;$S$2&amp;A176&amp;$S$2&amp;B176&amp;$Q$2</f>
        <v>-2890-蘆洲鷺江店(定保)</v>
      </c>
      <c r="Q176" s="357" t="str" cm="1">
        <f t="array" ref="Q176">IF(AND(SUMPRODUCT((IM!$F$2:$F$2000=A176)*(ISNUMBER(SEARCH("EDC", IM!$AC$2:$AC$2000))))&gt;0), "EDC", "")</f>
        <v/>
      </c>
      <c r="R176" s="358" t="str" cm="1">
        <f t="array" ref="R176">IF(AND(SUMPRODUCT((IM!$F$2:$F$2000=A176)*(ISNUMBER(SEARCH("STAR", IM!$AC$2:$AC$2000))))&gt;0), "STAR", "")</f>
        <v/>
      </c>
      <c r="S176" s="359" t="str" cm="1">
        <f t="array" ref="S176">IFERROR(INDEX(IM!$X$2:$X$650, MATCH(1, (IM!$F$2:$F$650=A176) * (ISNUMBER(SEARCH($D$1, IM!$AC$2:$AC$650))), 0)), "")</f>
        <v/>
      </c>
      <c r="T176" s="355">
        <f>IF(AND(X176&lt;&gt;"", Y176&lt;&gt;""), 2, IF(OR(X176&lt;&gt;"", Y176&lt;&gt;""), 1, 0))</f>
        <v>2</v>
      </c>
      <c r="U176" s="355"/>
      <c r="V176" s="373">
        <f>IF(OR(R176="STAR", T176="", U176=""), T176,
"總數：" &amp; T176 &amp; CHAR(10) &amp;
"已維修：" &amp; U176 &amp; CHAR(10) &amp;
"未更換：" &amp; (T176 - U176))</f>
        <v>2</v>
      </c>
      <c r="W176" s="360" t="str">
        <f>IF(VLOOKUP(A176,'0919門市清單主檔'!B:E,4,FALSE)=0,"",VLOOKUP(A176,'0919門市清單主檔'!B:E,4,FALSE))</f>
        <v/>
      </c>
      <c r="X176" s="3" t="s">
        <v>4345</v>
      </c>
      <c r="Y176" s="5" t="s">
        <v>4346</v>
      </c>
      <c r="Z176" s="5" t="str">
        <f>IF(T176&gt;0,"STAR","")</f>
        <v>STAR</v>
      </c>
    </row>
    <row r="177" spans="1:26" ht="15.75" customHeight="1">
      <c r="A177" s="174" t="s">
        <v>21</v>
      </c>
      <c r="B177" s="175" t="str">
        <f>VLOOKUP(A177,'0919門市清單主檔'!B:C,2,FALSE)</f>
        <v>北縣溪尾二店</v>
      </c>
      <c r="C177" s="176" t="str">
        <f>VLOOKUP($A177,'0919門市清單主檔'!B:V,20,FALSE)</f>
        <v>新北市</v>
      </c>
      <c r="D177" s="177" t="str">
        <f>VLOOKUP($A177,'0919門市清單主檔'!B:V,21,FALSE)</f>
        <v>三重區</v>
      </c>
      <c r="E177" s="178" t="str">
        <f>VLOOKUP(D177,區域表!A:B,2,FALSE)</f>
        <v>吳宗鴻</v>
      </c>
      <c r="F177" s="179" t="str">
        <f>IFERROR(IF(VLOOKUP(A177,門市狀態!A:D,4,FALSE)=0,"",VLOOKUP(A177,門市狀態!A:D,4,FALSE)),"")</f>
        <v/>
      </c>
      <c r="G177" s="180" t="s">
        <v>1742</v>
      </c>
      <c r="H177" s="181" t="str">
        <f>IF(I177&gt;0,(TEXT(I177,"yyyymmdd")&amp;$S$2&amp;A177&amp;$S$2&amp;B177&amp;$Q$2),"")</f>
        <v>-D057-北縣溪尾二店(定保)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69" t="str">
        <f>Q177&amp;IF(R177&lt;&gt;"",$P$2,"")&amp;R177</f>
        <v/>
      </c>
      <c r="N177" s="339" t="str" cm="1">
        <f t="array" ref="N177">IF(AND(
    SUMPRODUCT(
        (IM!$F$2:$F$2000=A177) *
        ISNUMBER(SEARCH("HUB", IM!$AC$2:$AC$2000)) *
        (IM!$X$2:$X$2000&gt;=$A$1) *
        (IM!$X$2:$X$2000&lt;=$B$1)*(W177="HUB")
    ) &gt; 0
), "HUB", "")</f>
        <v/>
      </c>
      <c r="O177" s="371" t="str">
        <f>IF(I177="","未到店",
IF(AND(S177&gt;I177, R177="STAR", NOT(AND(G177&lt;&gt;"萊到店 WebPOS", Q177&lt;&gt;"EDC"))), "完工已補裝",
IF(AND(G177&lt;&gt;"萊到店 WebPOS", Q177&lt;&gt;"EDC"), "EDC異常",
IF(AND(W177="HUB", N177=""), "HUB異常",
IF(OR(AND(Z177="STAR", R177="STAR"), AND(Z177&lt;&gt;"STAR", R177="")), "已完工", "STAR異常")
))))</f>
        <v>未到店</v>
      </c>
      <c r="P177" s="238" t="str">
        <f>(TEXT(I177,"yyyymmdd"))&amp;$S$2&amp;A177&amp;$S$2&amp;B177&amp;$Q$2</f>
        <v>-D057-北縣溪尾二店(定保)</v>
      </c>
      <c r="Q177" s="357" t="str" cm="1">
        <f t="array" ref="Q177">IF(AND(SUMPRODUCT((IM!$F$2:$F$2000=A177)*(ISNUMBER(SEARCH("EDC", IM!$AC$2:$AC$2000))))&gt;0), "EDC", "")</f>
        <v/>
      </c>
      <c r="R177" s="358" t="str" cm="1">
        <f t="array" ref="R177">IF(AND(SUMPRODUCT((IM!$F$2:$F$2000=A177)*(ISNUMBER(SEARCH("STAR", IM!$AC$2:$AC$2000))))&gt;0), "STAR", "")</f>
        <v/>
      </c>
      <c r="S177" s="359" t="str" cm="1">
        <f t="array" ref="S177">IFERROR(INDEX(IM!$X$2:$X$650, MATCH(1, (IM!$F$2:$F$650=A177) * (ISNUMBER(SEARCH($D$1, IM!$AC$2:$AC$650))), 0)), "")</f>
        <v/>
      </c>
      <c r="T177" s="355">
        <f>IF(AND(X177&lt;&gt;"", Y177&lt;&gt;""), 2, IF(OR(X177&lt;&gt;"", Y177&lt;&gt;""), 1, 0))</f>
        <v>2</v>
      </c>
      <c r="U177" s="355"/>
      <c r="V177" s="373">
        <f>IF(OR(R177="STAR", T177="", U177=""), T177,
"總數：" &amp; T177 &amp; CHAR(10) &amp;
"已維修：" &amp; U177 &amp; CHAR(10) &amp;
"未更換：" &amp; (T177 - U177))</f>
        <v>2</v>
      </c>
      <c r="W177" s="360" t="str">
        <f>IF(VLOOKUP(A177,'0919門市清單主檔'!B:E,4,FALSE)=0,"",VLOOKUP(A177,'0919門市清單主檔'!B:E,4,FALSE))</f>
        <v/>
      </c>
      <c r="X177" s="3" t="s">
        <v>4318</v>
      </c>
      <c r="Y177" s="5" t="s">
        <v>4319</v>
      </c>
      <c r="Z177" s="5" t="str">
        <f>IF(T177&gt;0,"STAR","")</f>
        <v>STAR</v>
      </c>
    </row>
    <row r="178" spans="1:26" ht="15.75" customHeight="1">
      <c r="A178" s="174">
        <v>4125</v>
      </c>
      <c r="B178" s="175" t="str">
        <f>VLOOKUP(A178,'0919門市清單主檔'!B:C,2,FALSE)</f>
        <v>蘆洲長樂店</v>
      </c>
      <c r="C178" s="176" t="str">
        <f>VLOOKUP($A178,'0919門市清單主檔'!B:V,20,FALSE)</f>
        <v>新北市</v>
      </c>
      <c r="D178" s="177" t="str">
        <f>VLOOKUP($A178,'0919門市清單主檔'!B:V,21,FALSE)</f>
        <v>蘆洲區</v>
      </c>
      <c r="E178" s="178" t="str">
        <f>VLOOKUP(D178,區域表!A:B,2,FALSE)</f>
        <v>吳宗鴻</v>
      </c>
      <c r="F178" s="179" t="str">
        <f>IFERROR(IF(VLOOKUP(A178,門市狀態!A:D,4,FALSE)=0,"",VLOOKUP(A178,門市狀態!A:D,4,FALSE)),"")</f>
        <v/>
      </c>
      <c r="G178" s="180" t="s">
        <v>1742</v>
      </c>
      <c r="H178" s="181" t="str">
        <f>IF(I178&gt;0,(TEXT(I178,"yyyymmdd")&amp;$S$2&amp;A178&amp;$S$2&amp;B178&amp;$Q$2),"")</f>
        <v>-4125-蘆洲長樂店(定保)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69" t="str">
        <f>Q178&amp;IF(R178&lt;&gt;"",$P$2,"")&amp;R178</f>
        <v/>
      </c>
      <c r="N178" s="339" t="str" cm="1">
        <f t="array" ref="N178">IF(AND(
    SUMPRODUCT(
        (IM!$F$2:$F$2000=A178) *
        ISNUMBER(SEARCH("HUB", IM!$AC$2:$AC$2000)) *
        (IM!$X$2:$X$2000&gt;=$A$1) *
        (IM!$X$2:$X$2000&lt;=$B$1)*(W178="HUB")
    ) &gt; 0
), "HUB", "")</f>
        <v/>
      </c>
      <c r="O178" s="371" t="str">
        <f>IF(I178="","未到店",
IF(AND(S178&gt;I178, R178="STAR", NOT(AND(G178&lt;&gt;"萊到店 WebPOS", Q178&lt;&gt;"EDC"))), "完工已補裝",
IF(AND(G178&lt;&gt;"萊到店 WebPOS", Q178&lt;&gt;"EDC"), "EDC異常",
IF(AND(W178="HUB", N178=""), "HUB異常",
IF(OR(AND(Z178="STAR", R178="STAR"), AND(Z178&lt;&gt;"STAR", R178="")), "已完工", "STAR異常")
))))</f>
        <v>未到店</v>
      </c>
      <c r="P178" s="238" t="str">
        <f>(TEXT(I178,"yyyymmdd"))&amp;$S$2&amp;A178&amp;$S$2&amp;B178&amp;$Q$2</f>
        <v>-4125-蘆洲長樂店(定保)</v>
      </c>
      <c r="Q178" s="357" t="str" cm="1">
        <f t="array" ref="Q178">IF(AND(SUMPRODUCT((IM!$F$2:$F$2000=A178)*(ISNUMBER(SEARCH("EDC", IM!$AC$2:$AC$2000))))&gt;0), "EDC", "")</f>
        <v/>
      </c>
      <c r="R178" s="358" t="str" cm="1">
        <f t="array" ref="R178">IF(AND(SUMPRODUCT((IM!$F$2:$F$2000=A178)*(ISNUMBER(SEARCH("STAR", IM!$AC$2:$AC$2000))))&gt;0), "STAR", "")</f>
        <v/>
      </c>
      <c r="S178" s="359" t="str" cm="1">
        <f t="array" ref="S178">IFERROR(INDEX(IM!$X$2:$X$650, MATCH(1, (IM!$F$2:$F$650=A178) * (ISNUMBER(SEARCH($D$1, IM!$AC$2:$AC$650))), 0)), "")</f>
        <v/>
      </c>
      <c r="T178" s="355">
        <f>IF(AND(X178&lt;&gt;"", Y178&lt;&gt;""), 2, IF(OR(X178&lt;&gt;"", Y178&lt;&gt;""), 1, 0))</f>
        <v>2</v>
      </c>
      <c r="U178" s="355"/>
      <c r="V178" s="373">
        <f>IF(OR(R178="STAR", T178="", U178=""), T178,
"總數：" &amp; T178 &amp; CHAR(10) &amp;
"已維修：" &amp; U178 &amp; CHAR(10) &amp;
"未更換：" &amp; (T178 - U178))</f>
        <v>2</v>
      </c>
      <c r="W178" s="360" t="str">
        <f>IF(VLOOKUP(A178,'0919門市清單主檔'!B:E,4,FALSE)=0,"",VLOOKUP(A178,'0919門市清單主檔'!B:E,4,FALSE))</f>
        <v/>
      </c>
      <c r="X178" s="3" t="s">
        <v>4348</v>
      </c>
      <c r="Y178" s="5" t="s">
        <v>4349</v>
      </c>
      <c r="Z178" s="5" t="str">
        <f>IF(T178&gt;0,"STAR","")</f>
        <v>STAR</v>
      </c>
    </row>
    <row r="179" spans="1:26" ht="15.75" customHeight="1">
      <c r="A179" s="174">
        <v>4609</v>
      </c>
      <c r="B179" s="175" t="str">
        <f>VLOOKUP(A179,'0919門市清單主檔'!B:C,2,FALSE)</f>
        <v>蘆洲洲正店</v>
      </c>
      <c r="C179" s="176" t="str">
        <f>VLOOKUP($A179,'0919門市清單主檔'!B:V,20,FALSE)</f>
        <v>新北市</v>
      </c>
      <c r="D179" s="177" t="str">
        <f>VLOOKUP($A179,'0919門市清單主檔'!B:V,21,FALSE)</f>
        <v>蘆洲區</v>
      </c>
      <c r="E179" s="178" t="str">
        <f>VLOOKUP(D179,區域表!A:B,2,FALSE)</f>
        <v>吳宗鴻</v>
      </c>
      <c r="F179" s="179" t="str">
        <f>IFERROR(IF(VLOOKUP(A179,門市狀態!A:D,4,FALSE)=0,"",VLOOKUP(A179,門市狀態!A:D,4,FALSE)),"")</f>
        <v/>
      </c>
      <c r="G179" s="180" t="s">
        <v>1742</v>
      </c>
      <c r="H179" s="181" t="str">
        <f>IF(I179&gt;0,(TEXT(I179,"yyyymmdd")&amp;$S$2&amp;A179&amp;$S$2&amp;B179&amp;$Q$2),"")</f>
        <v>-4609-蘆洲洲正店(定保)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69" t="str">
        <f>Q179&amp;IF(R179&lt;&gt;"",$P$2,"")&amp;R179</f>
        <v/>
      </c>
      <c r="N179" s="339" t="str" cm="1">
        <f t="array" ref="N179">IF(AND(
    SUMPRODUCT(
        (IM!$F$2:$F$2000=A179) *
        ISNUMBER(SEARCH("HUB", IM!$AC$2:$AC$2000)) *
        (IM!$X$2:$X$2000&gt;=$A$1) *
        (IM!$X$2:$X$2000&lt;=$B$1)*(W179="HUB")
    ) &gt; 0
), "HUB", "")</f>
        <v/>
      </c>
      <c r="O179" s="371" t="str">
        <f>IF(I179="","未到店",
IF(AND(S179&gt;I179, R179="STAR", NOT(AND(G179&lt;&gt;"萊到店 WebPOS", Q179&lt;&gt;"EDC"))), "完工已補裝",
IF(AND(G179&lt;&gt;"萊到店 WebPOS", Q179&lt;&gt;"EDC"), "EDC異常",
IF(AND(W179="HUB", N179=""), "HUB異常",
IF(OR(AND(Z179="STAR", R179="STAR"), AND(Z179&lt;&gt;"STAR", R179="")), "已完工", "STAR異常")
))))</f>
        <v>未到店</v>
      </c>
      <c r="P179" s="238" t="str">
        <f>(TEXT(I179,"yyyymmdd"))&amp;$S$2&amp;A179&amp;$S$2&amp;B179&amp;$Q$2</f>
        <v>-4609-蘆洲洲正店(定保)</v>
      </c>
      <c r="Q179" s="357" t="str" cm="1">
        <f t="array" ref="Q179">IF(AND(SUMPRODUCT((IM!$F$2:$F$2000=A179)*(ISNUMBER(SEARCH("EDC", IM!$AC$2:$AC$2000))))&gt;0), "EDC", "")</f>
        <v/>
      </c>
      <c r="R179" s="358" t="str" cm="1">
        <f t="array" ref="R179">IF(AND(SUMPRODUCT((IM!$F$2:$F$2000=A179)*(ISNUMBER(SEARCH("STAR", IM!$AC$2:$AC$2000))))&gt;0), "STAR", "")</f>
        <v/>
      </c>
      <c r="S179" s="359" t="str" cm="1">
        <f t="array" ref="S179">IFERROR(INDEX(IM!$X$2:$X$650, MATCH(1, (IM!$F$2:$F$650=A179) * (ISNUMBER(SEARCH($D$1, IM!$AC$2:$AC$650))), 0)), "")</f>
        <v/>
      </c>
      <c r="T179" s="355">
        <f>IF(AND(X179&lt;&gt;"", Y179&lt;&gt;""), 2, IF(OR(X179&lt;&gt;"", Y179&lt;&gt;""), 1, 0))</f>
        <v>2</v>
      </c>
      <c r="U179" s="355"/>
      <c r="V179" s="373">
        <f>IF(OR(R179="STAR", T179="", U179=""), T179,
"總數：" &amp; T179 &amp; CHAR(10) &amp;
"已維修：" &amp; U179 &amp; CHAR(10) &amp;
"未更換：" &amp; (T179 - U179))</f>
        <v>2</v>
      </c>
      <c r="W179" s="360" t="str">
        <f>IF(VLOOKUP(A179,'0919門市清單主檔'!B:E,4,FALSE)=0,"",VLOOKUP(A179,'0919門市清單主檔'!B:E,4,FALSE))</f>
        <v/>
      </c>
      <c r="X179" s="3" t="s">
        <v>4350</v>
      </c>
      <c r="Y179" s="5" t="s">
        <v>4351</v>
      </c>
      <c r="Z179" s="5" t="str">
        <f>IF(T179&gt;0,"STAR","")</f>
        <v>STAR</v>
      </c>
    </row>
    <row r="180" spans="1:26" ht="15.75" customHeight="1">
      <c r="A180" s="174">
        <v>2958</v>
      </c>
      <c r="B180" s="175" t="str">
        <f>VLOOKUP(A180,'0919門市清單主檔'!B:C,2,FALSE)</f>
        <v>北縣蘆旺店</v>
      </c>
      <c r="C180" s="176" t="str">
        <f>VLOOKUP($A180,'0919門市清單主檔'!B:V,20,FALSE)</f>
        <v>新北市</v>
      </c>
      <c r="D180" s="177" t="str">
        <f>VLOOKUP($A180,'0919門市清單主檔'!B:V,21,FALSE)</f>
        <v>蘆洲區</v>
      </c>
      <c r="E180" s="178" t="str">
        <f>VLOOKUP(D180,區域表!A:B,2,FALSE)</f>
        <v>吳宗鴻</v>
      </c>
      <c r="F180" s="179" t="str">
        <f>IFERROR(IF(VLOOKUP(A180,門市狀態!A:D,4,FALSE)=0,"",VLOOKUP(A180,門市狀態!A:D,4,FALSE)),"")</f>
        <v/>
      </c>
      <c r="G180" s="180" t="s">
        <v>1742</v>
      </c>
      <c r="H180" s="181" t="str">
        <f>IF(I180&gt;0,(TEXT(I180,"yyyymmdd")&amp;$S$2&amp;A180&amp;$S$2&amp;B180&amp;$Q$2),"")</f>
        <v>-2958-北縣蘆旺店(定保)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69" t="str">
        <f>Q180&amp;IF(R180&lt;&gt;"",$P$2,"")&amp;R180</f>
        <v/>
      </c>
      <c r="N180" s="339" t="str" cm="1">
        <f t="array" ref="N180">IF(AND(
    SUMPRODUCT(
        (IM!$F$2:$F$2000=A180) *
        ISNUMBER(SEARCH("HUB", IM!$AC$2:$AC$2000)) *
        (IM!$X$2:$X$2000&gt;=$A$1) *
        (IM!$X$2:$X$2000&lt;=$B$1)*(W180="HUB")
    ) &gt; 0
), "HUB", "")</f>
        <v/>
      </c>
      <c r="O180" s="371" t="str">
        <f>IF(I180="","未到店",
IF(AND(S180&gt;I180, R180="STAR", NOT(AND(G180&lt;&gt;"萊到店 WebPOS", Q180&lt;&gt;"EDC"))), "完工已補裝",
IF(AND(G180&lt;&gt;"萊到店 WebPOS", Q180&lt;&gt;"EDC"), "EDC異常",
IF(AND(W180="HUB", N180=""), "HUB異常",
IF(OR(AND(Z180="STAR", R180="STAR"), AND(Z180&lt;&gt;"STAR", R180="")), "已完工", "STAR異常")
))))</f>
        <v>未到店</v>
      </c>
      <c r="P180" s="238" t="str">
        <f>(TEXT(I180,"yyyymmdd"))&amp;$S$2&amp;A180&amp;$S$2&amp;B180&amp;$Q$2</f>
        <v>-2958-北縣蘆旺店(定保)</v>
      </c>
      <c r="Q180" s="357" t="str" cm="1">
        <f t="array" ref="Q180">IF(AND(SUMPRODUCT((IM!$F$2:$F$2000=A180)*(ISNUMBER(SEARCH("EDC", IM!$AC$2:$AC$2000))))&gt;0), "EDC", "")</f>
        <v/>
      </c>
      <c r="R180" s="358" t="str" cm="1">
        <f t="array" ref="R180">IF(AND(SUMPRODUCT((IM!$F$2:$F$2000=A180)*(ISNUMBER(SEARCH("STAR", IM!$AC$2:$AC$2000))))&gt;0), "STAR", "")</f>
        <v/>
      </c>
      <c r="S180" s="359" t="str" cm="1">
        <f t="array" ref="S180">IFERROR(INDEX(IM!$X$2:$X$650, MATCH(1, (IM!$F$2:$F$650=A180) * (ISNUMBER(SEARCH($D$1, IM!$AC$2:$AC$650))), 0)), "")</f>
        <v/>
      </c>
      <c r="T180" s="355">
        <f>IF(AND(X180&lt;&gt;"", Y180&lt;&gt;""), 2, IF(OR(X180&lt;&gt;"", Y180&lt;&gt;""), 1, 0))</f>
        <v>2</v>
      </c>
      <c r="U180" s="355"/>
      <c r="V180" s="373">
        <f>IF(OR(R180="STAR", T180="", U180=""), T180,
"總數：" &amp; T180 &amp; CHAR(10) &amp;
"已維修：" &amp; U180 &amp; CHAR(10) &amp;
"未更換：" &amp; (T180 - U180))</f>
        <v>2</v>
      </c>
      <c r="W180" s="360" t="str">
        <f>IF(VLOOKUP(A180,'0919門市清單主檔'!B:E,4,FALSE)=0,"",VLOOKUP(A180,'0919門市清單主檔'!B:E,4,FALSE))</f>
        <v/>
      </c>
      <c r="X180" s="3" t="s">
        <v>4343</v>
      </c>
      <c r="Y180" s="5" t="s">
        <v>4344</v>
      </c>
      <c r="Z180" s="5" t="str">
        <f>IF(T180&gt;0,"STAR","")</f>
        <v>STAR</v>
      </c>
    </row>
    <row r="181" spans="1:26" ht="15.75" customHeight="1">
      <c r="A181" s="174">
        <v>4701</v>
      </c>
      <c r="B181" s="175" t="str">
        <f>VLOOKUP(A181,'0919門市清單主檔'!B:C,2,FALSE)</f>
        <v>新莊昌平店</v>
      </c>
      <c r="C181" s="176" t="str">
        <f>VLOOKUP($A181,'0919門市清單主檔'!B:V,20,FALSE)</f>
        <v>新北市</v>
      </c>
      <c r="D181" s="177" t="str">
        <f>VLOOKUP($A181,'0919門市清單主檔'!B:V,21,FALSE)</f>
        <v>新莊區</v>
      </c>
      <c r="E181" s="178" t="str">
        <f>VLOOKUP(D181,區域表!A:B,2,FALSE)</f>
        <v>湯家瑋</v>
      </c>
      <c r="F181" s="179" t="str">
        <f>IFERROR(IF(VLOOKUP(A181,門市狀態!A:D,4,FALSE)=0,"",VLOOKUP(A181,門市狀態!A:D,4,FALSE)),"")</f>
        <v/>
      </c>
      <c r="G181" s="180" t="s">
        <v>1742</v>
      </c>
      <c r="H181" s="181" t="str">
        <f>IF(I181&gt;0,(TEXT(I181,"yyyymmdd")&amp;$S$2&amp;A181&amp;$S$2&amp;B181&amp;$Q$2),"")</f>
        <v>-4701-新莊昌平店(定保)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69" t="str">
        <f>Q181&amp;IF(R181&lt;&gt;"",$P$2,"")&amp;R181</f>
        <v/>
      </c>
      <c r="N181" s="339" t="str" cm="1">
        <f t="array" ref="N181">IF(AND(
    SUMPRODUCT(
        (IM!$F$2:$F$2000=A181) *
        ISNUMBER(SEARCH("HUB", IM!$AC$2:$AC$2000)) *
        (IM!$X$2:$X$2000&gt;=$A$1) *
        (IM!$X$2:$X$2000&lt;=$B$1)*(W181="HUB")
    ) &gt; 0
), "HUB", "")</f>
        <v/>
      </c>
      <c r="O181" s="371" t="str">
        <f>IF(I181="","未到店",
IF(AND(S181&gt;I181, R181="STAR", NOT(AND(G181&lt;&gt;"萊到店 WebPOS", Q181&lt;&gt;"EDC"))), "完工已補裝",
IF(AND(G181&lt;&gt;"萊到店 WebPOS", Q181&lt;&gt;"EDC"), "EDC異常",
IF(AND(W181="HUB", N181=""), "HUB異常",
IF(OR(AND(Z181="STAR", R181="STAR"), AND(Z181&lt;&gt;"STAR", R181="")), "已完工", "STAR異常")
))))</f>
        <v>未到店</v>
      </c>
      <c r="P181" s="238" t="str">
        <f>(TEXT(I181,"yyyymmdd"))&amp;$S$2&amp;A181&amp;$S$2&amp;B181&amp;$Q$2</f>
        <v>-4701-新莊昌平店(定保)</v>
      </c>
      <c r="Q181" s="357" t="str" cm="1">
        <f t="array" ref="Q181">IF(AND(SUMPRODUCT((IM!$F$2:$F$2000=A181)*(ISNUMBER(SEARCH("EDC", IM!$AC$2:$AC$2000))))&gt;0), "EDC", "")</f>
        <v/>
      </c>
      <c r="R181" s="358" t="str" cm="1">
        <f t="array" ref="R181">IF(AND(SUMPRODUCT((IM!$F$2:$F$2000=A181)*(ISNUMBER(SEARCH("STAR", IM!$AC$2:$AC$2000))))&gt;0), "STAR", "")</f>
        <v/>
      </c>
      <c r="S181" s="359" t="str" cm="1">
        <f t="array" ref="S181">IFERROR(INDEX(IM!$X$2:$X$650, MATCH(1, (IM!$F$2:$F$650=A181) * (ISNUMBER(SEARCH($D$1, IM!$AC$2:$AC$650))), 0)), "")</f>
        <v/>
      </c>
      <c r="T181" s="355">
        <f>IF(AND(X181&lt;&gt;"", Y181&lt;&gt;""), 2, IF(OR(X181&lt;&gt;"", Y181&lt;&gt;""), 1, 0))</f>
        <v>0</v>
      </c>
      <c r="U181" s="355"/>
      <c r="V181" s="373">
        <f>IF(OR(R181="STAR", T181="", U181=""), T181,
"總數：" &amp; T181 &amp; CHAR(10) &amp;
"已維修：" &amp; U181 &amp; CHAR(10) &amp;
"未更換：" &amp; (T181 - U181))</f>
        <v>0</v>
      </c>
      <c r="W181" s="360" t="str">
        <f>IF(VLOOKUP(A181,'0919門市清單主檔'!B:E,4,FALSE)=0,"",VLOOKUP(A181,'0919門市清單主檔'!B:E,4,FALSE))</f>
        <v/>
      </c>
      <c r="Y181" s="5"/>
      <c r="Z181" s="5" t="str">
        <f>IF(T181&gt;0,"STAR","")</f>
        <v/>
      </c>
    </row>
    <row r="182" spans="1:26" ht="15.75" customHeight="1">
      <c r="A182" s="174">
        <v>3999</v>
      </c>
      <c r="B182" s="175" t="str">
        <f>VLOOKUP(A182,'0919門市清單主檔'!B:C,2,FALSE)</f>
        <v>新莊福祐店</v>
      </c>
      <c r="C182" s="176" t="str">
        <f>VLOOKUP($A182,'0919門市清單主檔'!B:V,20,FALSE)</f>
        <v>新北市</v>
      </c>
      <c r="D182" s="177" t="str">
        <f>VLOOKUP($A182,'0919門市清單主檔'!B:V,21,FALSE)</f>
        <v>新莊區</v>
      </c>
      <c r="E182" s="178" t="str">
        <f>VLOOKUP(D182,區域表!A:B,2,FALSE)</f>
        <v>湯家瑋</v>
      </c>
      <c r="F182" s="179" t="str">
        <f>IFERROR(IF(VLOOKUP(A182,門市狀態!A:D,4,FALSE)=0,"",VLOOKUP(A182,門市狀態!A:D,4,FALSE)),"")</f>
        <v/>
      </c>
      <c r="G182" s="180" t="s">
        <v>1742</v>
      </c>
      <c r="H182" s="181" t="str">
        <f>IF(I182&gt;0,(TEXT(I182,"yyyymmdd")&amp;$S$2&amp;A182&amp;$S$2&amp;B182&amp;$Q$2),"")</f>
        <v>-3999-新莊福祐店(定保)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69" t="str">
        <f>Q182&amp;IF(R182&lt;&gt;"",$P$2,"")&amp;R182</f>
        <v/>
      </c>
      <c r="N182" s="339" t="str" cm="1">
        <f t="array" ref="N182">IF(AND(
    SUMPRODUCT(
        (IM!$F$2:$F$2000=A182) *
        ISNUMBER(SEARCH("HUB", IM!$AC$2:$AC$2000)) *
        (IM!$X$2:$X$2000&gt;=$A$1) *
        (IM!$X$2:$X$2000&lt;=$B$1)*(W182="HUB")
    ) &gt; 0
), "HUB", "")</f>
        <v/>
      </c>
      <c r="O182" s="371" t="str">
        <f>IF(I182="","未到店",
IF(AND(S182&gt;I182, R182="STAR", NOT(AND(G182&lt;&gt;"萊到店 WebPOS", Q182&lt;&gt;"EDC"))), "完工已補裝",
IF(AND(G182&lt;&gt;"萊到店 WebPOS", Q182&lt;&gt;"EDC"), "EDC異常",
IF(AND(W182="HUB", N182=""), "HUB異常",
IF(OR(AND(Z182="STAR", R182="STAR"), AND(Z182&lt;&gt;"STAR", R182="")), "已完工", "STAR異常")
))))</f>
        <v>未到店</v>
      </c>
      <c r="P182" s="238" t="str">
        <f>(TEXT(I182,"yyyymmdd"))&amp;$S$2&amp;A182&amp;$S$2&amp;B182&amp;$Q$2</f>
        <v>-3999-新莊福祐店(定保)</v>
      </c>
      <c r="Q182" s="357" t="str" cm="1">
        <f t="array" ref="Q182">IF(AND(SUMPRODUCT((IM!$F$2:$F$2000=A182)*(ISNUMBER(SEARCH("EDC", IM!$AC$2:$AC$2000))))&gt;0), "EDC", "")</f>
        <v/>
      </c>
      <c r="R182" s="358" t="str" cm="1">
        <f t="array" ref="R182">IF(AND(SUMPRODUCT((IM!$F$2:$F$2000=A182)*(ISNUMBER(SEARCH("STAR", IM!$AC$2:$AC$2000))))&gt;0), "STAR", "")</f>
        <v/>
      </c>
      <c r="S182" s="359" t="str" cm="1">
        <f t="array" ref="S182">IFERROR(INDEX(IM!$X$2:$X$650, MATCH(1, (IM!$F$2:$F$650=A182) * (ISNUMBER(SEARCH($D$1, IM!$AC$2:$AC$650))), 0)), "")</f>
        <v/>
      </c>
      <c r="T182" s="355">
        <f>IF(AND(X182&lt;&gt;"", Y182&lt;&gt;""), 2, IF(OR(X182&lt;&gt;"", Y182&lt;&gt;""), 1, 0))</f>
        <v>1</v>
      </c>
      <c r="U182" s="355"/>
      <c r="V182" s="373">
        <f>IF(OR(R182="STAR", T182="", U182=""), T182,
"總數：" &amp; T182 &amp; CHAR(10) &amp;
"已維修：" &amp; U182 &amp; CHAR(10) &amp;
"未更換：" &amp; (T182 - U182))</f>
        <v>1</v>
      </c>
      <c r="W182" s="360" t="str">
        <f>IF(VLOOKUP(A182,'0919門市清單主檔'!B:E,4,FALSE)=0,"",VLOOKUP(A182,'0919門市清單主檔'!B:E,4,FALSE))</f>
        <v/>
      </c>
      <c r="Y182" s="5" t="s">
        <v>4407</v>
      </c>
      <c r="Z182" s="5" t="str">
        <f>IF(T182&gt;0,"STAR","")</f>
        <v>STAR</v>
      </c>
    </row>
    <row r="183" spans="1:26" ht="15.75" customHeight="1">
      <c r="A183" s="174">
        <v>2069</v>
      </c>
      <c r="B183" s="175" t="str">
        <f>VLOOKUP(A183,'0919門市清單主檔'!B:C,2,FALSE)</f>
        <v>板橋江子翠站</v>
      </c>
      <c r="C183" s="176" t="str">
        <f>VLOOKUP($A183,'0919門市清單主檔'!B:V,20,FALSE)</f>
        <v>新北市</v>
      </c>
      <c r="D183" s="177" t="str">
        <f>VLOOKUP($A183,'0919門市清單主檔'!B:V,21,FALSE)</f>
        <v>板橋區</v>
      </c>
      <c r="E183" s="178" t="str">
        <f>VLOOKUP(D183,區域表!A:B,2,FALSE)</f>
        <v>狄澤洋</v>
      </c>
      <c r="F183" s="179" t="str">
        <f>IFERROR(IF(VLOOKUP(A183,門市狀態!A:D,4,FALSE)=0,"",VLOOKUP(A183,門市狀態!A:D,4,FALSE)),"")</f>
        <v/>
      </c>
      <c r="G183" s="180"/>
      <c r="H183" s="181" t="str">
        <f>IF(I183&gt;0,(TEXT(I183,"yyyymmdd")&amp;$S$2&amp;A183&amp;$S$2&amp;B183&amp;$Q$2),"")</f>
        <v>-2069-板橋江子翠站(定保)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69" t="str">
        <f>Q183&amp;IF(R183&lt;&gt;"",$P$2,"")&amp;R183</f>
        <v/>
      </c>
      <c r="N183" s="339" t="str" cm="1">
        <f t="array" ref="N183">IF(AND(
    SUMPRODUCT(
        (IM!$F$2:$F$2000=A183) *
        ISNUMBER(SEARCH("HUB", IM!$AC$2:$AC$2000)) *
        (IM!$X$2:$X$2000&gt;=$A$1) *
        (IM!$X$2:$X$2000&lt;=$B$1)*(W183="HUB")
    ) &gt; 0
), "HUB", "")</f>
        <v/>
      </c>
      <c r="O183" s="371" t="str">
        <f>IF(I183="","未到店",
IF(AND(S183&gt;I183, R183="STAR", NOT(AND(G183&lt;&gt;"萊到店 WebPOS", Q183&lt;&gt;"EDC"))), "完工已補裝",
IF(AND(G183&lt;&gt;"萊到店 WebPOS", Q183&lt;&gt;"EDC"), "EDC異常",
IF(AND(W183="HUB", N183=""), "HUB異常",
IF(OR(AND(Z183="STAR", R183="STAR"), AND(Z183&lt;&gt;"STAR", R183="")), "已完工", "STAR異常")
))))</f>
        <v>未到店</v>
      </c>
      <c r="P183" s="238" t="str">
        <f>(TEXT(I183,"yyyymmdd"))&amp;$S$2&amp;A183&amp;$S$2&amp;B183&amp;$Q$2</f>
        <v>-2069-板橋江子翠站(定保)</v>
      </c>
      <c r="Q183" s="357" t="str" cm="1">
        <f t="array" ref="Q183">IF(AND(SUMPRODUCT((IM!$F$2:$F$2000=A183)*(ISNUMBER(SEARCH("EDC", IM!$AC$2:$AC$2000))))&gt;0), "EDC", "")</f>
        <v/>
      </c>
      <c r="R183" s="358" t="str" cm="1">
        <f t="array" ref="R183">IF(AND(SUMPRODUCT((IM!$F$2:$F$2000=A183)*(ISNUMBER(SEARCH("STAR", IM!$AC$2:$AC$2000))))&gt;0), "STAR", "")</f>
        <v/>
      </c>
      <c r="S183" s="359" t="str" cm="1">
        <f t="array" ref="S183">IFERROR(INDEX(IM!$X$2:$X$650, MATCH(1, (IM!$F$2:$F$650=A183) * (ISNUMBER(SEARCH($D$1, IM!$AC$2:$AC$650))), 0)), "")</f>
        <v/>
      </c>
      <c r="T183" s="355">
        <f>IF(AND(X183&lt;&gt;"", Y183&lt;&gt;""), 2, IF(OR(X183&lt;&gt;"", Y183&lt;&gt;""), 1, 0))</f>
        <v>2</v>
      </c>
      <c r="U183" s="355"/>
      <c r="V183" s="373">
        <f>IF(OR(R183="STAR", T183="", U183=""), T183,
"總數：" &amp; T183 &amp; CHAR(10) &amp;
"已維修：" &amp; U183 &amp; CHAR(10) &amp;
"未更換：" &amp; (T183 - U183))</f>
        <v>2</v>
      </c>
      <c r="W183" s="360" t="str">
        <f>IF(VLOOKUP(A183,'0919門市清單主檔'!B:E,4,FALSE)=0,"",VLOOKUP(A183,'0919門市清單主檔'!B:E,4,FALSE))</f>
        <v/>
      </c>
      <c r="X183" s="3" t="s">
        <v>4374</v>
      </c>
      <c r="Y183" s="5" t="s">
        <v>4375</v>
      </c>
      <c r="Z183" s="5" t="str">
        <f>IF(T183&gt;0,"STAR","")</f>
        <v>STAR</v>
      </c>
    </row>
    <row r="184" spans="1:26" ht="15.75" customHeight="1">
      <c r="A184" s="174" t="s">
        <v>27</v>
      </c>
      <c r="B184" s="175" t="str">
        <f>VLOOKUP(A184,'0919門市清單主檔'!B:C,2,FALSE)</f>
        <v>三重車路頭</v>
      </c>
      <c r="C184" s="176" t="str">
        <f>VLOOKUP($A184,'0919門市清單主檔'!B:V,20,FALSE)</f>
        <v>新北市</v>
      </c>
      <c r="D184" s="177" t="str">
        <f>VLOOKUP($A184,'0919門市清單主檔'!B:V,21,FALSE)</f>
        <v>三重區</v>
      </c>
      <c r="E184" s="178" t="str">
        <f>VLOOKUP(D184,區域表!A:B,2,FALSE)</f>
        <v>吳宗鴻</v>
      </c>
      <c r="F184" s="179" t="str">
        <f>IFERROR(IF(VLOOKUP(A184,門市狀態!A:D,4,FALSE)=0,"",VLOOKUP(A184,門市狀態!A:D,4,FALSE)),"")</f>
        <v/>
      </c>
      <c r="G184" s="180" t="s">
        <v>1742</v>
      </c>
      <c r="H184" s="181" t="str">
        <f>IF(I184&gt;0,(TEXT(I184,"yyyymmdd")&amp;$S$2&amp;A184&amp;$S$2&amp;B184&amp;$Q$2),"")</f>
        <v>-D195-三重車路頭(定保)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69" t="str">
        <f>Q184&amp;IF(R184&lt;&gt;"",$P$2,"")&amp;R184</f>
        <v/>
      </c>
      <c r="N184" s="339" t="str" cm="1">
        <f t="array" ref="N184">IF(AND(
    SUMPRODUCT(
        (IM!$F$2:$F$2000=A184) *
        ISNUMBER(SEARCH("HUB", IM!$AC$2:$AC$2000)) *
        (IM!$X$2:$X$2000&gt;=$A$1) *
        (IM!$X$2:$X$2000&lt;=$B$1)*(W184="HUB")
    ) &gt; 0
), "HUB", "")</f>
        <v/>
      </c>
      <c r="O184" s="371" t="str">
        <f>IF(I184="","未到店",
IF(AND(S184&gt;I184, R184="STAR", NOT(AND(G184&lt;&gt;"萊到店 WebPOS", Q184&lt;&gt;"EDC"))), "完工已補裝",
IF(AND(G184&lt;&gt;"萊到店 WebPOS", Q184&lt;&gt;"EDC"), "EDC異常",
IF(AND(W184="HUB", N184=""), "HUB異常",
IF(OR(AND(Z184="STAR", R184="STAR"), AND(Z184&lt;&gt;"STAR", R184="")), "已完工", "STAR異常")
))))</f>
        <v>未到店</v>
      </c>
      <c r="P184" s="238" t="str">
        <f>(TEXT(I184,"yyyymmdd"))&amp;$S$2&amp;A184&amp;$S$2&amp;B184&amp;$Q$2</f>
        <v>-D195-三重車路頭(定保)</v>
      </c>
      <c r="Q184" s="357" t="str" cm="1">
        <f t="array" ref="Q184">IF(AND(SUMPRODUCT((IM!$F$2:$F$2000=A184)*(ISNUMBER(SEARCH("EDC", IM!$AC$2:$AC$2000))))&gt;0), "EDC", "")</f>
        <v/>
      </c>
      <c r="R184" s="358" t="str" cm="1">
        <f t="array" ref="R184">IF(AND(SUMPRODUCT((IM!$F$2:$F$2000=A184)*(ISNUMBER(SEARCH("STAR", IM!$AC$2:$AC$2000))))&gt;0), "STAR", "")</f>
        <v/>
      </c>
      <c r="S184" s="359" t="str" cm="1">
        <f t="array" ref="S184">IFERROR(INDEX(IM!$X$2:$X$650, MATCH(1, (IM!$F$2:$F$650=A184) * (ISNUMBER(SEARCH($D$1, IM!$AC$2:$AC$650))), 0)), "")</f>
        <v/>
      </c>
      <c r="T184" s="355">
        <f>IF(AND(X184&lt;&gt;"", Y184&lt;&gt;""), 2, IF(OR(X184&lt;&gt;"", Y184&lt;&gt;""), 1, 0))</f>
        <v>1</v>
      </c>
      <c r="U184" s="355"/>
      <c r="V184" s="373">
        <f>IF(OR(R184="STAR", T184="", U184=""), T184,
"總數：" &amp; T184 &amp; CHAR(10) &amp;
"已維修：" &amp; U184 &amp; CHAR(10) &amp;
"未更換：" &amp; (T184 - U184))</f>
        <v>1</v>
      </c>
      <c r="W184" s="360" t="str">
        <f>IF(VLOOKUP(A184,'0919門市清單主檔'!B:E,4,FALSE)=0,"",VLOOKUP(A184,'0919門市清單主檔'!B:E,4,FALSE))</f>
        <v/>
      </c>
      <c r="X184" s="3">
        <v>8155002442</v>
      </c>
      <c r="Y184" s="5"/>
      <c r="Z184" s="5" t="str">
        <f>IF(T184&gt;0,"STAR","")</f>
        <v>STAR</v>
      </c>
    </row>
    <row r="185" spans="1:26" ht="15.75" customHeight="1">
      <c r="A185" s="174">
        <v>2222</v>
      </c>
      <c r="B185" s="175" t="str">
        <f>VLOOKUP(A185,'0919門市清單主檔'!B:C,2,FALSE)</f>
        <v>三重義天店</v>
      </c>
      <c r="C185" s="176" t="str">
        <f>VLOOKUP($A185,'0919門市清單主檔'!B:V,20,FALSE)</f>
        <v>新北市</v>
      </c>
      <c r="D185" s="177" t="str">
        <f>VLOOKUP($A185,'0919門市清單主檔'!B:V,21,FALSE)</f>
        <v>三重區</v>
      </c>
      <c r="E185" s="178" t="str">
        <f>VLOOKUP(D185,區域表!A:B,2,FALSE)</f>
        <v>吳宗鴻</v>
      </c>
      <c r="F185" s="179" t="str">
        <f>IFERROR(IF(VLOOKUP(A185,門市狀態!A:D,4,FALSE)=0,"",VLOOKUP(A185,門市狀態!A:D,4,FALSE)),"")</f>
        <v/>
      </c>
      <c r="G185" s="180" t="s">
        <v>1742</v>
      </c>
      <c r="H185" s="181" t="str">
        <f>IF(I185&gt;0,(TEXT(I185,"yyyymmdd")&amp;$S$2&amp;A185&amp;$S$2&amp;B185&amp;$Q$2),"")</f>
        <v>-2222-三重義天店(定保)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69" t="str">
        <f>Q185&amp;IF(R185&lt;&gt;"",$P$2,"")&amp;R185</f>
        <v/>
      </c>
      <c r="N185" s="339" t="str" cm="1">
        <f t="array" ref="N185">IF(AND(
    SUMPRODUCT(
        (IM!$F$2:$F$2000=A185) *
        ISNUMBER(SEARCH("HUB", IM!$AC$2:$AC$2000)) *
        (IM!$X$2:$X$2000&gt;=$A$1) *
        (IM!$X$2:$X$2000&lt;=$B$1)*(W185="HUB")
    ) &gt; 0
), "HUB", "")</f>
        <v/>
      </c>
      <c r="O185" s="371" t="str">
        <f>IF(I185="","未到店",
IF(AND(S185&gt;I185, R185="STAR", NOT(AND(G185&lt;&gt;"萊到店 WebPOS", Q185&lt;&gt;"EDC"))), "完工已補裝",
IF(AND(G185&lt;&gt;"萊到店 WebPOS", Q185&lt;&gt;"EDC"), "EDC異常",
IF(AND(W185="HUB", N185=""), "HUB異常",
IF(OR(AND(Z185="STAR", R185="STAR"), AND(Z185&lt;&gt;"STAR", R185="")), "已完工", "STAR異常")
))))</f>
        <v>未到店</v>
      </c>
      <c r="P185" s="238" t="str">
        <f>(TEXT(I185,"yyyymmdd"))&amp;$S$2&amp;A185&amp;$S$2&amp;B185&amp;$Q$2</f>
        <v>-2222-三重義天店(定保)</v>
      </c>
      <c r="Q185" s="357" t="str" cm="1">
        <f t="array" ref="Q185">IF(AND(SUMPRODUCT((IM!$F$2:$F$2000=A185)*(ISNUMBER(SEARCH("EDC", IM!$AC$2:$AC$2000))))&gt;0), "EDC", "")</f>
        <v/>
      </c>
      <c r="R185" s="358" t="str" cm="1">
        <f t="array" ref="R185">IF(AND(SUMPRODUCT((IM!$F$2:$F$2000=A185)*(ISNUMBER(SEARCH("STAR", IM!$AC$2:$AC$2000))))&gt;0), "STAR", "")</f>
        <v/>
      </c>
      <c r="S185" s="359" t="str" cm="1">
        <f t="array" ref="S185">IFERROR(INDEX(IM!$X$2:$X$650, MATCH(1, (IM!$F$2:$F$650=A185) * (ISNUMBER(SEARCH($D$1, IM!$AC$2:$AC$650))), 0)), "")</f>
        <v/>
      </c>
      <c r="T185" s="355">
        <f>IF(AND(X185&lt;&gt;"", Y185&lt;&gt;""), 2, IF(OR(X185&lt;&gt;"", Y185&lt;&gt;""), 1, 0))</f>
        <v>2</v>
      </c>
      <c r="U185" s="355"/>
      <c r="V185" s="373">
        <f>IF(OR(R185="STAR", T185="", U185=""), T185,
"總數：" &amp; T185 &amp; CHAR(10) &amp;
"已維修：" &amp; U185 &amp; CHAR(10) &amp;
"未更換：" &amp; (T185 - U185))</f>
        <v>2</v>
      </c>
      <c r="W185" s="360" t="str">
        <f>IF(VLOOKUP(A185,'0919門市清單主檔'!B:E,4,FALSE)=0,"",VLOOKUP(A185,'0919門市清單主檔'!B:E,4,FALSE))</f>
        <v/>
      </c>
      <c r="X185" s="3" t="s">
        <v>4307</v>
      </c>
      <c r="Y185" s="5" t="s">
        <v>4308</v>
      </c>
      <c r="Z185" s="5" t="str">
        <f>IF(T185&gt;0,"STAR","")</f>
        <v>STAR</v>
      </c>
    </row>
    <row r="186" spans="1:26" ht="15.75" customHeight="1">
      <c r="A186" s="174">
        <v>3601</v>
      </c>
      <c r="B186" s="175" t="str">
        <f>VLOOKUP(A186,'0919門市清單主檔'!B:C,2,FALSE)</f>
        <v>北縣重富店</v>
      </c>
      <c r="C186" s="176" t="str">
        <f>VLOOKUP($A186,'0919門市清單主檔'!B:V,20,FALSE)</f>
        <v>新北市</v>
      </c>
      <c r="D186" s="177" t="str">
        <f>VLOOKUP($A186,'0919門市清單主檔'!B:V,21,FALSE)</f>
        <v>三重區</v>
      </c>
      <c r="E186" s="178" t="str">
        <f>VLOOKUP(D186,區域表!A:B,2,FALSE)</f>
        <v>吳宗鴻</v>
      </c>
      <c r="F186" s="179" t="str">
        <f>IFERROR(IF(VLOOKUP(A186,門市狀態!A:D,4,FALSE)=0,"",VLOOKUP(A186,門市狀態!A:D,4,FALSE)),"")</f>
        <v/>
      </c>
      <c r="G186" s="180" t="s">
        <v>1742</v>
      </c>
      <c r="H186" s="181" t="str">
        <f>IF(I186&gt;0,(TEXT(I186,"yyyymmdd")&amp;$S$2&amp;A186&amp;$S$2&amp;B186&amp;$Q$2),"")</f>
        <v>-3601-北縣重富店(定保)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69" t="str">
        <f>Q186&amp;IF(R186&lt;&gt;"",$P$2,"")&amp;R186</f>
        <v/>
      </c>
      <c r="N186" s="339" t="str" cm="1">
        <f t="array" ref="N186">IF(AND(
    SUMPRODUCT(
        (IM!$F$2:$F$2000=A186) *
        ISNUMBER(SEARCH("HUB", IM!$AC$2:$AC$2000)) *
        (IM!$X$2:$X$2000&gt;=$A$1) *
        (IM!$X$2:$X$2000&lt;=$B$1)*(W186="HUB")
    ) &gt; 0
), "HUB", "")</f>
        <v/>
      </c>
      <c r="O186" s="371" t="str">
        <f>IF(I186="","未到店",
IF(AND(S186&gt;I186, R186="STAR", NOT(AND(G186&lt;&gt;"萊到店 WebPOS", Q186&lt;&gt;"EDC"))), "完工已補裝",
IF(AND(G186&lt;&gt;"萊到店 WebPOS", Q186&lt;&gt;"EDC"), "EDC異常",
IF(AND(W186="HUB", N186=""), "HUB異常",
IF(OR(AND(Z186="STAR", R186="STAR"), AND(Z186&lt;&gt;"STAR", R186="")), "已完工", "STAR異常")
))))</f>
        <v>未到店</v>
      </c>
      <c r="P186" s="238" t="str">
        <f>(TEXT(I186,"yyyymmdd"))&amp;$S$2&amp;A186&amp;$S$2&amp;B186&amp;$Q$2</f>
        <v>-3601-北縣重富店(定保)</v>
      </c>
      <c r="Q186" s="357" t="str" cm="1">
        <f t="array" ref="Q186">IF(AND(SUMPRODUCT((IM!$F$2:$F$2000=A186)*(ISNUMBER(SEARCH("EDC", IM!$AC$2:$AC$2000))))&gt;0), "EDC", "")</f>
        <v/>
      </c>
      <c r="R186" s="358" t="str" cm="1">
        <f t="array" ref="R186">IF(AND(SUMPRODUCT((IM!$F$2:$F$2000=A186)*(ISNUMBER(SEARCH("STAR", IM!$AC$2:$AC$2000))))&gt;0), "STAR", "")</f>
        <v/>
      </c>
      <c r="S186" s="359" t="str" cm="1">
        <f t="array" ref="S186">IFERROR(INDEX(IM!$X$2:$X$650, MATCH(1, (IM!$F$2:$F$650=A186) * (ISNUMBER(SEARCH($D$1, IM!$AC$2:$AC$650))), 0)), "")</f>
        <v/>
      </c>
      <c r="T186" s="355">
        <f>IF(AND(X186&lt;&gt;"", Y186&lt;&gt;""), 2, IF(OR(X186&lt;&gt;"", Y186&lt;&gt;""), 1, 0))</f>
        <v>2</v>
      </c>
      <c r="U186" s="355"/>
      <c r="V186" s="373">
        <f>IF(OR(R186="STAR", T186="", U186=""), T186,
"總數：" &amp; T186 &amp; CHAR(10) &amp;
"已維修：" &amp; U186 &amp; CHAR(10) &amp;
"未更換：" &amp; (T186 - U186))</f>
        <v>2</v>
      </c>
      <c r="W186" s="360" t="str">
        <f>IF(VLOOKUP(A186,'0919門市清單主檔'!B:E,4,FALSE)=0,"",VLOOKUP(A186,'0919門市清單主檔'!B:E,4,FALSE))</f>
        <v/>
      </c>
      <c r="X186" s="3" t="s">
        <v>4326</v>
      </c>
      <c r="Y186" s="5" t="s">
        <v>4327</v>
      </c>
      <c r="Z186" s="5" t="str">
        <f>IF(T186&gt;0,"STAR","")</f>
        <v>STAR</v>
      </c>
    </row>
    <row r="187" spans="1:26" ht="15.75" customHeight="1">
      <c r="A187" s="174">
        <v>3796</v>
      </c>
      <c r="B187" s="175" t="str">
        <f>VLOOKUP(A187,'0919門市清單主檔'!B:C,2,FALSE)</f>
        <v>三重進安店</v>
      </c>
      <c r="C187" s="176" t="str">
        <f>VLOOKUP($A187,'0919門市清單主檔'!B:V,20,FALSE)</f>
        <v>新北市</v>
      </c>
      <c r="D187" s="177" t="str">
        <f>VLOOKUP($A187,'0919門市清單主檔'!B:V,21,FALSE)</f>
        <v>三重區</v>
      </c>
      <c r="E187" s="178" t="str">
        <f>VLOOKUP(D187,區域表!A:B,2,FALSE)</f>
        <v>吳宗鴻</v>
      </c>
      <c r="F187" s="179" t="str">
        <f>IFERROR(IF(VLOOKUP(A187,門市狀態!A:D,4,FALSE)=0,"",VLOOKUP(A187,門市狀態!A:D,4,FALSE)),"")</f>
        <v/>
      </c>
      <c r="G187" s="180" t="s">
        <v>1742</v>
      </c>
      <c r="H187" s="181" t="str">
        <f>IF(I187&gt;0,(TEXT(I187,"yyyymmdd")&amp;$S$2&amp;A187&amp;$S$2&amp;B187&amp;$Q$2),"")</f>
        <v>-3796-三重進安店(定保)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69" t="str">
        <f>Q187&amp;IF(R187&lt;&gt;"",$P$2,"")&amp;R187</f>
        <v/>
      </c>
      <c r="N187" s="339" t="str" cm="1">
        <f t="array" ref="N187">IF(AND(
    SUMPRODUCT(
        (IM!$F$2:$F$2000=A187) *
        ISNUMBER(SEARCH("HUB", IM!$AC$2:$AC$2000)) *
        (IM!$X$2:$X$2000&gt;=$A$1) *
        (IM!$X$2:$X$2000&lt;=$B$1)*(W187="HUB")
    ) &gt; 0
), "HUB", "")</f>
        <v/>
      </c>
      <c r="O187" s="371" t="str">
        <f>IF(I187="","未到店",
IF(AND(S187&gt;I187, R187="STAR", NOT(AND(G187&lt;&gt;"萊到店 WebPOS", Q187&lt;&gt;"EDC"))), "完工已補裝",
IF(AND(G187&lt;&gt;"萊到店 WebPOS", Q187&lt;&gt;"EDC"), "EDC異常",
IF(AND(W187="HUB", N187=""), "HUB異常",
IF(OR(AND(Z187="STAR", R187="STAR"), AND(Z187&lt;&gt;"STAR", R187="")), "已完工", "STAR異常")
))))</f>
        <v>未到店</v>
      </c>
      <c r="P187" s="238" t="str">
        <f>(TEXT(I187,"yyyymmdd"))&amp;$S$2&amp;A187&amp;$S$2&amp;B187&amp;$Q$2</f>
        <v>-3796-三重進安店(定保)</v>
      </c>
      <c r="Q187" s="357" t="str" cm="1">
        <f t="array" ref="Q187">IF(AND(SUMPRODUCT((IM!$F$2:$F$2000=A187)*(ISNUMBER(SEARCH("EDC", IM!$AC$2:$AC$2000))))&gt;0), "EDC", "")</f>
        <v/>
      </c>
      <c r="R187" s="358" t="str" cm="1">
        <f t="array" ref="R187">IF(AND(SUMPRODUCT((IM!$F$2:$F$2000=A187)*(ISNUMBER(SEARCH("STAR", IM!$AC$2:$AC$2000))))&gt;0), "STAR", "")</f>
        <v/>
      </c>
      <c r="S187" s="359" t="str" cm="1">
        <f t="array" ref="S187">IFERROR(INDEX(IM!$X$2:$X$650, MATCH(1, (IM!$F$2:$F$650=A187) * (ISNUMBER(SEARCH($D$1, IM!$AC$2:$AC$650))), 0)), "")</f>
        <v/>
      </c>
      <c r="T187" s="355">
        <f>IF(AND(X187&lt;&gt;"", Y187&lt;&gt;""), 2, IF(OR(X187&lt;&gt;"", Y187&lt;&gt;""), 1, 0))</f>
        <v>2</v>
      </c>
      <c r="U187" s="355"/>
      <c r="V187" s="373">
        <f>IF(OR(R187="STAR", T187="", U187=""), T187,
"總數：" &amp; T187 &amp; CHAR(10) &amp;
"已維修：" &amp; U187 &amp; CHAR(10) &amp;
"未更換：" &amp; (T187 - U187))</f>
        <v>2</v>
      </c>
      <c r="W187" s="360" t="str">
        <f>IF(VLOOKUP(A187,'0919門市清單主檔'!B:E,4,FALSE)=0,"",VLOOKUP(A187,'0919門市清單主檔'!B:E,4,FALSE))</f>
        <v/>
      </c>
      <c r="X187" s="3" t="s">
        <v>4314</v>
      </c>
      <c r="Y187" s="5" t="s">
        <v>4315</v>
      </c>
      <c r="Z187" s="5" t="str">
        <f>IF(T187&gt;0,"STAR","")</f>
        <v>STAR</v>
      </c>
    </row>
    <row r="188" spans="1:26" ht="15.75" customHeight="1">
      <c r="A188" s="174" t="s">
        <v>28</v>
      </c>
      <c r="B188" s="175" t="str">
        <f>VLOOKUP(A188,'0919門市清單主檔'!B:C,2,FALSE)</f>
        <v>三重維德店</v>
      </c>
      <c r="C188" s="176" t="str">
        <f>VLOOKUP($A188,'0919門市清單主檔'!B:V,20,FALSE)</f>
        <v>新北市</v>
      </c>
      <c r="D188" s="177" t="str">
        <f>VLOOKUP($A188,'0919門市清單主檔'!B:V,21,FALSE)</f>
        <v>三重區</v>
      </c>
      <c r="E188" s="178" t="str">
        <f>VLOOKUP(D188,區域表!A:B,2,FALSE)</f>
        <v>吳宗鴻</v>
      </c>
      <c r="F188" s="179" t="str">
        <f>IFERROR(IF(VLOOKUP(A188,門市狀態!A:D,4,FALSE)=0,"",VLOOKUP(A188,門市狀態!A:D,4,FALSE)),"")</f>
        <v/>
      </c>
      <c r="G188" s="180" t="s">
        <v>1742</v>
      </c>
      <c r="H188" s="181" t="str">
        <f>IF(I188&gt;0,(TEXT(I188,"yyyymmdd")&amp;$S$2&amp;A188&amp;$S$2&amp;B188&amp;$Q$2),"")</f>
        <v>-D346-三重維德店(定保)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69" t="str">
        <f>Q188&amp;IF(R188&lt;&gt;"",$P$2,"")&amp;R188</f>
        <v/>
      </c>
      <c r="N188" s="339" t="str" cm="1">
        <f t="array" ref="N188">IF(AND(
    SUMPRODUCT(
        (IM!$F$2:$F$2000=A188) *
        ISNUMBER(SEARCH("HUB", IM!$AC$2:$AC$2000)) *
        (IM!$X$2:$X$2000&gt;=$A$1) *
        (IM!$X$2:$X$2000&lt;=$B$1)*(W188="HUB")
    ) &gt; 0
), "HUB", "")</f>
        <v/>
      </c>
      <c r="O188" s="371" t="str">
        <f>IF(I188="","未到店",
IF(AND(S188&gt;I188, R188="STAR", NOT(AND(G188&lt;&gt;"萊到店 WebPOS", Q188&lt;&gt;"EDC"))), "完工已補裝",
IF(AND(G188&lt;&gt;"萊到店 WebPOS", Q188&lt;&gt;"EDC"), "EDC異常",
IF(AND(W188="HUB", N188=""), "HUB異常",
IF(OR(AND(Z188="STAR", R188="STAR"), AND(Z188&lt;&gt;"STAR", R188="")), "已完工", "STAR異常")
))))</f>
        <v>未到店</v>
      </c>
      <c r="P188" s="238" t="str">
        <f>(TEXT(I188,"yyyymmdd"))&amp;$S$2&amp;A188&amp;$S$2&amp;B188&amp;$Q$2</f>
        <v>-D346-三重維德店(定保)</v>
      </c>
      <c r="Q188" s="357" t="str" cm="1">
        <f t="array" ref="Q188">IF(AND(SUMPRODUCT((IM!$F$2:$F$2000=A188)*(ISNUMBER(SEARCH("EDC", IM!$AC$2:$AC$2000))))&gt;0), "EDC", "")</f>
        <v/>
      </c>
      <c r="R188" s="358" t="str" cm="1">
        <f t="array" ref="R188">IF(AND(SUMPRODUCT((IM!$F$2:$F$2000=A188)*(ISNUMBER(SEARCH("STAR", IM!$AC$2:$AC$2000))))&gt;0), "STAR", "")</f>
        <v/>
      </c>
      <c r="S188" s="359" t="str" cm="1">
        <f t="array" ref="S188">IFERROR(INDEX(IM!$X$2:$X$650, MATCH(1, (IM!$F$2:$F$650=A188) * (ISNUMBER(SEARCH($D$1, IM!$AC$2:$AC$650))), 0)), "")</f>
        <v/>
      </c>
      <c r="T188" s="355">
        <f>IF(AND(X188&lt;&gt;"", Y188&lt;&gt;""), 2, IF(OR(X188&lt;&gt;"", Y188&lt;&gt;""), 1, 0))</f>
        <v>1</v>
      </c>
      <c r="U188" s="355"/>
      <c r="V188" s="373">
        <f>IF(OR(R188="STAR", T188="", U188=""), T188,
"總數：" &amp; T188 &amp; CHAR(10) &amp;
"已維修：" &amp; U188 &amp; CHAR(10) &amp;
"未更換：" &amp; (T188 - U188))</f>
        <v>1</v>
      </c>
      <c r="W188" s="360" t="str">
        <f>IF(VLOOKUP(A188,'0919門市清單主檔'!B:E,4,FALSE)=0,"",VLOOKUP(A188,'0919門市清單主檔'!B:E,4,FALSE))</f>
        <v/>
      </c>
      <c r="Y188" s="5" t="s">
        <v>4294</v>
      </c>
      <c r="Z188" s="5" t="str">
        <f>IF(T188&gt;0,"STAR","")</f>
        <v>STAR</v>
      </c>
    </row>
    <row r="189" spans="1:26" ht="15.75" customHeight="1">
      <c r="A189" s="174">
        <v>4098</v>
      </c>
      <c r="B189" s="175" t="str">
        <f>VLOOKUP(A189,'0919門市清單主檔'!B:C,2,FALSE)</f>
        <v>三重仁美店</v>
      </c>
      <c r="C189" s="176" t="str">
        <f>VLOOKUP($A189,'0919門市清單主檔'!B:V,20,FALSE)</f>
        <v>新北市</v>
      </c>
      <c r="D189" s="177" t="str">
        <f>VLOOKUP($A189,'0919門市清單主檔'!B:V,21,FALSE)</f>
        <v>三重區</v>
      </c>
      <c r="E189" s="178" t="str">
        <f>VLOOKUP(D189,區域表!A:B,2,FALSE)</f>
        <v>吳宗鴻</v>
      </c>
      <c r="F189" s="179" t="str">
        <f>IFERROR(IF(VLOOKUP(A189,門市狀態!A:D,4,FALSE)=0,"",VLOOKUP(A189,門市狀態!A:D,4,FALSE)),"")</f>
        <v/>
      </c>
      <c r="G189" s="180" t="s">
        <v>1742</v>
      </c>
      <c r="H189" s="181" t="str">
        <f>IF(I189&gt;0,(TEXT(I189,"yyyymmdd")&amp;$S$2&amp;A189&amp;$S$2&amp;B189&amp;$Q$2),"")</f>
        <v>-4098-三重仁美店(定保)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69" t="str">
        <f>Q189&amp;IF(R189&lt;&gt;"",$P$2,"")&amp;R189</f>
        <v/>
      </c>
      <c r="N189" s="339" t="str" cm="1">
        <f t="array" ref="N189">IF(AND(
    SUMPRODUCT(
        (IM!$F$2:$F$2000=A189) *
        ISNUMBER(SEARCH("HUB", IM!$AC$2:$AC$2000)) *
        (IM!$X$2:$X$2000&gt;=$A$1) *
        (IM!$X$2:$X$2000&lt;=$B$1)*(W189="HUB")
    ) &gt; 0
), "HUB", "")</f>
        <v/>
      </c>
      <c r="O189" s="371" t="str">
        <f>IF(I189="","未到店",
IF(AND(S189&gt;I189, R189="STAR", NOT(AND(G189&lt;&gt;"萊到店 WebPOS", Q189&lt;&gt;"EDC"))), "完工已補裝",
IF(AND(G189&lt;&gt;"萊到店 WebPOS", Q189&lt;&gt;"EDC"), "EDC異常",
IF(AND(W189="HUB", N189=""), "HUB異常",
IF(OR(AND(Z189="STAR", R189="STAR"), AND(Z189&lt;&gt;"STAR", R189="")), "已完工", "STAR異常")
))))</f>
        <v>未到店</v>
      </c>
      <c r="P189" s="238" t="str">
        <f>(TEXT(I189,"yyyymmdd"))&amp;$S$2&amp;A189&amp;$S$2&amp;B189&amp;$Q$2</f>
        <v>-4098-三重仁美店(定保)</v>
      </c>
      <c r="Q189" s="357" t="str" cm="1">
        <f t="array" ref="Q189">IF(AND(SUMPRODUCT((IM!$F$2:$F$2000=A189)*(ISNUMBER(SEARCH("EDC", IM!$AC$2:$AC$2000))))&gt;0), "EDC", "")</f>
        <v/>
      </c>
      <c r="R189" s="358" t="str" cm="1">
        <f t="array" ref="R189">IF(AND(SUMPRODUCT((IM!$F$2:$F$2000=A189)*(ISNUMBER(SEARCH("STAR", IM!$AC$2:$AC$2000))))&gt;0), "STAR", "")</f>
        <v/>
      </c>
      <c r="S189" s="359" t="str" cm="1">
        <f t="array" ref="S189">IFERROR(INDEX(IM!$X$2:$X$650, MATCH(1, (IM!$F$2:$F$650=A189) * (ISNUMBER(SEARCH($D$1, IM!$AC$2:$AC$650))), 0)), "")</f>
        <v/>
      </c>
      <c r="T189" s="355">
        <f>IF(AND(X189&lt;&gt;"", Y189&lt;&gt;""), 2, IF(OR(X189&lt;&gt;"", Y189&lt;&gt;""), 1, 0))</f>
        <v>1</v>
      </c>
      <c r="U189" s="355"/>
      <c r="V189" s="373">
        <f>IF(OR(R189="STAR", T189="", U189=""), T189,
"總數：" &amp; T189 &amp; CHAR(10) &amp;
"已維修：" &amp; U189 &amp; CHAR(10) &amp;
"未更換：" &amp; (T189 - U189))</f>
        <v>1</v>
      </c>
      <c r="W189" s="360" t="str">
        <f>IF(VLOOKUP(A189,'0919門市清單主檔'!B:E,4,FALSE)=0,"",VLOOKUP(A189,'0919門市清單主檔'!B:E,4,FALSE))</f>
        <v/>
      </c>
      <c r="X189" s="3" t="s">
        <v>4311</v>
      </c>
      <c r="Y189" s="5"/>
      <c r="Z189" s="5" t="str">
        <f>IF(T189&gt;0,"STAR","")</f>
        <v>STAR</v>
      </c>
    </row>
    <row r="190" spans="1:26" ht="15.75" customHeight="1">
      <c r="A190" s="174">
        <v>3811</v>
      </c>
      <c r="B190" s="175" t="str">
        <f>VLOOKUP(A190,'0919門市清單主檔'!B:C,2,FALSE)</f>
        <v>三重碧華公園</v>
      </c>
      <c r="C190" s="176" t="str">
        <f>VLOOKUP($A190,'0919門市清單主檔'!B:V,20,FALSE)</f>
        <v>新北市</v>
      </c>
      <c r="D190" s="177" t="str">
        <f>VLOOKUP($A190,'0919門市清單主檔'!B:V,21,FALSE)</f>
        <v>三重區</v>
      </c>
      <c r="E190" s="178" t="str">
        <f>VLOOKUP(D190,區域表!A:B,2,FALSE)</f>
        <v>吳宗鴻</v>
      </c>
      <c r="F190" s="179" t="str">
        <f>IFERROR(IF(VLOOKUP(A190,門市狀態!A:D,4,FALSE)=0,"",VLOOKUP(A190,門市狀態!A:D,4,FALSE)),"")</f>
        <v/>
      </c>
      <c r="G190" s="180" t="s">
        <v>1742</v>
      </c>
      <c r="H190" s="181" t="str">
        <f>IF(I190&gt;0,(TEXT(I190,"yyyymmdd")&amp;$S$2&amp;A190&amp;$S$2&amp;B190&amp;$Q$2),"")</f>
        <v>-3811-三重碧華公園(定保)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69" t="str">
        <f>Q190&amp;IF(R190&lt;&gt;"",$P$2,"")&amp;R190</f>
        <v/>
      </c>
      <c r="N190" s="339" t="str" cm="1">
        <f t="array" ref="N190">IF(AND(
    SUMPRODUCT(
        (IM!$F$2:$F$2000=A190) *
        ISNUMBER(SEARCH("HUB", IM!$AC$2:$AC$2000)) *
        (IM!$X$2:$X$2000&gt;=$A$1) *
        (IM!$X$2:$X$2000&lt;=$B$1)*(W190="HUB")
    ) &gt; 0
), "HUB", "")</f>
        <v/>
      </c>
      <c r="O190" s="371" t="str">
        <f>IF(I190="","未到店",
IF(AND(S190&gt;I190, R190="STAR", NOT(AND(G190&lt;&gt;"萊到店 WebPOS", Q190&lt;&gt;"EDC"))), "完工已補裝",
IF(AND(G190&lt;&gt;"萊到店 WebPOS", Q190&lt;&gt;"EDC"), "EDC異常",
IF(AND(W190="HUB", N190=""), "HUB異常",
IF(OR(AND(Z190="STAR", R190="STAR"), AND(Z190&lt;&gt;"STAR", R190="")), "已完工", "STAR異常")
))))</f>
        <v>未到店</v>
      </c>
      <c r="P190" s="238" t="str">
        <f>(TEXT(I190,"yyyymmdd"))&amp;$S$2&amp;A190&amp;$S$2&amp;B190&amp;$Q$2</f>
        <v>-3811-三重碧華公園(定保)</v>
      </c>
      <c r="Q190" s="357" t="str" cm="1">
        <f t="array" ref="Q190">IF(AND(SUMPRODUCT((IM!$F$2:$F$2000=A190)*(ISNUMBER(SEARCH("EDC", IM!$AC$2:$AC$2000))))&gt;0), "EDC", "")</f>
        <v/>
      </c>
      <c r="R190" s="358" t="str" cm="1">
        <f t="array" ref="R190">IF(AND(SUMPRODUCT((IM!$F$2:$F$2000=A190)*(ISNUMBER(SEARCH("STAR", IM!$AC$2:$AC$2000))))&gt;0), "STAR", "")</f>
        <v/>
      </c>
      <c r="S190" s="359" t="str" cm="1">
        <f t="array" ref="S190">IFERROR(INDEX(IM!$X$2:$X$650, MATCH(1, (IM!$F$2:$F$650=A190) * (ISNUMBER(SEARCH($D$1, IM!$AC$2:$AC$650))), 0)), "")</f>
        <v/>
      </c>
      <c r="T190" s="355">
        <f>IF(AND(X190&lt;&gt;"", Y190&lt;&gt;""), 2, IF(OR(X190&lt;&gt;"", Y190&lt;&gt;""), 1, 0))</f>
        <v>2</v>
      </c>
      <c r="U190" s="355"/>
      <c r="V190" s="373">
        <f>IF(OR(R190="STAR", T190="", U190=""), T190,
"總數：" &amp; T190 &amp; CHAR(10) &amp;
"已維修：" &amp; U190 &amp; CHAR(10) &amp;
"未更換：" &amp; (T190 - U190))</f>
        <v>2</v>
      </c>
      <c r="W190" s="360" t="str">
        <f>IF(VLOOKUP(A190,'0919門市清單主檔'!B:E,4,FALSE)=0,"",VLOOKUP(A190,'0919門市清單主檔'!B:E,4,FALSE))</f>
        <v/>
      </c>
      <c r="X190" s="3" t="s">
        <v>4312</v>
      </c>
      <c r="Y190" s="5" t="s">
        <v>4313</v>
      </c>
      <c r="Z190" s="5" t="str">
        <f>IF(T190&gt;0,"STAR","")</f>
        <v>STAR</v>
      </c>
    </row>
    <row r="191" spans="1:26" ht="15.75" customHeight="1">
      <c r="A191" s="174" t="s">
        <v>37</v>
      </c>
      <c r="B191" s="175" t="str">
        <f>VLOOKUP(A191,'0919門市清單主檔'!B:C,2,FALSE)</f>
        <v>北縣仁和店</v>
      </c>
      <c r="C191" s="176" t="str">
        <f>VLOOKUP($A191,'0919門市清單主檔'!B:V,20,FALSE)</f>
        <v>新北市</v>
      </c>
      <c r="D191" s="177" t="str">
        <f>VLOOKUP($A191,'0919門市清單主檔'!B:V,21,FALSE)</f>
        <v>三重區</v>
      </c>
      <c r="E191" s="178" t="str">
        <f>VLOOKUP(D191,區域表!A:B,2,FALSE)</f>
        <v>吳宗鴻</v>
      </c>
      <c r="F191" s="179" t="str">
        <f>IFERROR(IF(VLOOKUP(A191,門市狀態!A:D,4,FALSE)=0,"",VLOOKUP(A191,門市狀態!A:D,4,FALSE)),"")</f>
        <v/>
      </c>
      <c r="G191" s="180" t="s">
        <v>1742</v>
      </c>
      <c r="H191" s="181" t="str">
        <f>IF(I191&gt;0,(TEXT(I191,"yyyymmdd")&amp;$S$2&amp;A191&amp;$S$2&amp;B191&amp;$Q$2),"")</f>
        <v>-D350-北縣仁和店(定保)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69" t="str">
        <f>Q191&amp;IF(R191&lt;&gt;"",$P$2,"")&amp;R191</f>
        <v/>
      </c>
      <c r="N191" s="339" t="str" cm="1">
        <f t="array" ref="N191">IF(AND(
    SUMPRODUCT(
        (IM!$F$2:$F$2000=A191) *
        ISNUMBER(SEARCH("HUB", IM!$AC$2:$AC$2000)) *
        (IM!$X$2:$X$2000&gt;=$A$1) *
        (IM!$X$2:$X$2000&lt;=$B$1)*(W191="HUB")
    ) &gt; 0
), "HUB", "")</f>
        <v/>
      </c>
      <c r="O191" s="371" t="str">
        <f>IF(I191="","未到店",
IF(AND(S191&gt;I191, R191="STAR", NOT(AND(G191&lt;&gt;"萊到店 WebPOS", Q191&lt;&gt;"EDC"))), "完工已補裝",
IF(AND(G191&lt;&gt;"萊到店 WebPOS", Q191&lt;&gt;"EDC"), "EDC異常",
IF(AND(W191="HUB", N191=""), "HUB異常",
IF(OR(AND(Z191="STAR", R191="STAR"), AND(Z191&lt;&gt;"STAR", R191="")), "已完工", "STAR異常")
))))</f>
        <v>未到店</v>
      </c>
      <c r="P191" s="238" t="str">
        <f>(TEXT(I191,"yyyymmdd"))&amp;$S$2&amp;A191&amp;$S$2&amp;B191&amp;$Q$2</f>
        <v>-D350-北縣仁和店(定保)</v>
      </c>
      <c r="Q191" s="357" t="str" cm="1">
        <f t="array" ref="Q191">IF(AND(SUMPRODUCT((IM!$F$2:$F$2000=A191)*(ISNUMBER(SEARCH("EDC", IM!$AC$2:$AC$2000))))&gt;0), "EDC", "")</f>
        <v/>
      </c>
      <c r="R191" s="358" t="str" cm="1">
        <f t="array" ref="R191">IF(AND(SUMPRODUCT((IM!$F$2:$F$2000=A191)*(ISNUMBER(SEARCH("STAR", IM!$AC$2:$AC$2000))))&gt;0), "STAR", "")</f>
        <v/>
      </c>
      <c r="S191" s="359" t="str" cm="1">
        <f t="array" ref="S191">IFERROR(INDEX(IM!$X$2:$X$650, MATCH(1, (IM!$F$2:$F$650=A191) * (ISNUMBER(SEARCH($D$1, IM!$AC$2:$AC$650))), 0)), "")</f>
        <v/>
      </c>
      <c r="T191" s="355">
        <f>IF(AND(X191&lt;&gt;"", Y191&lt;&gt;""), 2, IF(OR(X191&lt;&gt;"", Y191&lt;&gt;""), 1, 0))</f>
        <v>2</v>
      </c>
      <c r="U191" s="355"/>
      <c r="V191" s="373">
        <f>IF(OR(R191="STAR", T191="", U191=""), T191,
"總數：" &amp; T191 &amp; CHAR(10) &amp;
"已維修：" &amp; U191 &amp; CHAR(10) &amp;
"未更換：" &amp; (T191 - U191))</f>
        <v>2</v>
      </c>
      <c r="W191" s="360" t="str">
        <f>IF(VLOOKUP(A191,'0919門市清單主檔'!B:E,4,FALSE)=0,"",VLOOKUP(A191,'0919門市清單主檔'!B:E,4,FALSE))</f>
        <v/>
      </c>
      <c r="X191" s="3" t="s">
        <v>4309</v>
      </c>
      <c r="Y191" s="5" t="s">
        <v>4310</v>
      </c>
      <c r="Z191" s="5" t="str">
        <f>IF(T191&gt;0,"STAR","")</f>
        <v>STAR</v>
      </c>
    </row>
    <row r="192" spans="1:26" ht="15.75" customHeight="1">
      <c r="A192" s="174">
        <v>3957</v>
      </c>
      <c r="B192" s="175" t="str">
        <f>VLOOKUP(A192,'0919門市清單主檔'!B:C,2,FALSE)</f>
        <v>三重福仁店</v>
      </c>
      <c r="C192" s="176" t="str">
        <f>VLOOKUP($A192,'0919門市清單主檔'!B:V,20,FALSE)</f>
        <v>新北市</v>
      </c>
      <c r="D192" s="177" t="str">
        <f>VLOOKUP($A192,'0919門市清單主檔'!B:V,21,FALSE)</f>
        <v>三重區</v>
      </c>
      <c r="E192" s="178" t="str">
        <f>VLOOKUP(D192,區域表!A:B,2,FALSE)</f>
        <v>吳宗鴻</v>
      </c>
      <c r="F192" s="179" t="str">
        <f>IFERROR(IF(VLOOKUP(A192,門市狀態!A:D,4,FALSE)=0,"",VLOOKUP(A192,門市狀態!A:D,4,FALSE)),"")</f>
        <v/>
      </c>
      <c r="G192" s="180" t="s">
        <v>1742</v>
      </c>
      <c r="H192" s="181" t="str">
        <f>IF(I192&gt;0,(TEXT(I192,"yyyymmdd")&amp;$S$2&amp;A192&amp;$S$2&amp;B192&amp;$Q$2),"")</f>
        <v>-3957-三重福仁店(定保)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69" t="str">
        <f>Q192&amp;IF(R192&lt;&gt;"",$P$2,"")&amp;R192</f>
        <v/>
      </c>
      <c r="N192" s="339" t="str" cm="1">
        <f t="array" ref="N192">IF(AND(
    SUMPRODUCT(
        (IM!$F$2:$F$2000=A192) *
        ISNUMBER(SEARCH("HUB", IM!$AC$2:$AC$2000)) *
        (IM!$X$2:$X$2000&gt;=$A$1) *
        (IM!$X$2:$X$2000&lt;=$B$1)*(W192="HUB")
    ) &gt; 0
), "HUB", "")</f>
        <v/>
      </c>
      <c r="O192" s="371" t="str">
        <f>IF(I192="","未到店",
IF(AND(S192&gt;I192, R192="STAR", NOT(AND(G192&lt;&gt;"萊到店 WebPOS", Q192&lt;&gt;"EDC"))), "完工已補裝",
IF(AND(G192&lt;&gt;"萊到店 WebPOS", Q192&lt;&gt;"EDC"), "EDC異常",
IF(AND(W192="HUB", N192=""), "HUB異常",
IF(OR(AND(Z192="STAR", R192="STAR"), AND(Z192&lt;&gt;"STAR", R192="")), "已完工", "STAR異常")
))))</f>
        <v>未到店</v>
      </c>
      <c r="P192" s="238" t="str">
        <f>(TEXT(I192,"yyyymmdd"))&amp;$S$2&amp;A192&amp;$S$2&amp;B192&amp;$Q$2</f>
        <v>-3957-三重福仁店(定保)</v>
      </c>
      <c r="Q192" s="357" t="str" cm="1">
        <f t="array" ref="Q192">IF(AND(SUMPRODUCT((IM!$F$2:$F$2000=A192)*(ISNUMBER(SEARCH("EDC", IM!$AC$2:$AC$2000))))&gt;0), "EDC", "")</f>
        <v/>
      </c>
      <c r="R192" s="358" t="str" cm="1">
        <f t="array" ref="R192">IF(AND(SUMPRODUCT((IM!$F$2:$F$2000=A192)*(ISNUMBER(SEARCH("STAR", IM!$AC$2:$AC$2000))))&gt;0), "STAR", "")</f>
        <v/>
      </c>
      <c r="S192" s="359" t="str" cm="1">
        <f t="array" ref="S192">IFERROR(INDEX(IM!$X$2:$X$650, MATCH(1, (IM!$F$2:$F$650=A192) * (ISNUMBER(SEARCH($D$1, IM!$AC$2:$AC$650))), 0)), "")</f>
        <v/>
      </c>
      <c r="T192" s="355">
        <f>IF(AND(X192&lt;&gt;"", Y192&lt;&gt;""), 2, IF(OR(X192&lt;&gt;"", Y192&lt;&gt;""), 1, 0))</f>
        <v>2</v>
      </c>
      <c r="U192" s="355"/>
      <c r="V192" s="373">
        <f>IF(OR(R192="STAR", T192="", U192=""), T192,
"總數：" &amp; T192 &amp; CHAR(10) &amp;
"已維修：" &amp; U192 &amp; CHAR(10) &amp;
"未更換：" &amp; (T192 - U192))</f>
        <v>2</v>
      </c>
      <c r="W192" s="360" t="str">
        <f>IF(VLOOKUP(A192,'0919門市清單主檔'!B:E,4,FALSE)=0,"",VLOOKUP(A192,'0919門市清單主檔'!B:E,4,FALSE))</f>
        <v/>
      </c>
      <c r="X192" s="3" t="s">
        <v>4292</v>
      </c>
      <c r="Y192" s="5" t="s">
        <v>4293</v>
      </c>
      <c r="Z192" s="5" t="str">
        <f>IF(T192&gt;0,"STAR","")</f>
        <v>STAR</v>
      </c>
    </row>
    <row r="193" spans="1:26" ht="15.75" customHeight="1">
      <c r="A193" s="174">
        <v>3452</v>
      </c>
      <c r="B193" s="175" t="str">
        <f>VLOOKUP(A193,'0919門市清單主檔'!B:C,2,FALSE)</f>
        <v>北縣蘆信店</v>
      </c>
      <c r="C193" s="176" t="str">
        <f>VLOOKUP($A193,'0919門市清單主檔'!B:V,20,FALSE)</f>
        <v>新北市</v>
      </c>
      <c r="D193" s="177" t="str">
        <f>VLOOKUP($A193,'0919門市清單主檔'!B:V,21,FALSE)</f>
        <v>蘆洲區</v>
      </c>
      <c r="E193" s="178" t="str">
        <f>VLOOKUP(D193,區域表!A:B,2,FALSE)</f>
        <v>吳宗鴻</v>
      </c>
      <c r="F193" s="179" t="str">
        <f>IFERROR(IF(VLOOKUP(A193,門市狀態!A:D,4,FALSE)=0,"",VLOOKUP(A193,門市狀態!A:D,4,FALSE)),"")</f>
        <v/>
      </c>
      <c r="G193" s="180" t="s">
        <v>1742</v>
      </c>
      <c r="H193" s="181" t="str">
        <f>IF(I193&gt;0,(TEXT(I193,"yyyymmdd")&amp;$S$2&amp;A193&amp;$S$2&amp;B193&amp;$Q$2),"")</f>
        <v>-3452-北縣蘆信店(定保)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69" t="str">
        <f>Q193&amp;IF(R193&lt;&gt;"",$P$2,"")&amp;R193</f>
        <v/>
      </c>
      <c r="N193" s="339" t="str" cm="1">
        <f t="array" ref="N193">IF(AND(
    SUMPRODUCT(
        (IM!$F$2:$F$2000=A193) *
        ISNUMBER(SEARCH("HUB", IM!$AC$2:$AC$2000)) *
        (IM!$X$2:$X$2000&gt;=$A$1) *
        (IM!$X$2:$X$2000&lt;=$B$1)*(W193="HUB")
    ) &gt; 0
), "HUB", "")</f>
        <v/>
      </c>
      <c r="O193" s="371" t="str">
        <f>IF(I193="","未到店",
IF(AND(S193&gt;I193, R193="STAR", NOT(AND(G193&lt;&gt;"萊到店 WebPOS", Q193&lt;&gt;"EDC"))), "完工已補裝",
IF(AND(G193&lt;&gt;"萊到店 WebPOS", Q193&lt;&gt;"EDC"), "EDC異常",
IF(AND(W193="HUB", N193=""), "HUB異常",
IF(OR(AND(Z193="STAR", R193="STAR"), AND(Z193&lt;&gt;"STAR", R193="")), "已完工", "STAR異常")
))))</f>
        <v>未到店</v>
      </c>
      <c r="P193" s="238" t="str">
        <f>(TEXT(I193,"yyyymmdd"))&amp;$S$2&amp;A193&amp;$S$2&amp;B193&amp;$Q$2</f>
        <v>-3452-北縣蘆信店(定保)</v>
      </c>
      <c r="Q193" s="357" t="str" cm="1">
        <f t="array" ref="Q193">IF(AND(SUMPRODUCT((IM!$F$2:$F$2000=A193)*(ISNUMBER(SEARCH("EDC", IM!$AC$2:$AC$2000))))&gt;0), "EDC", "")</f>
        <v/>
      </c>
      <c r="R193" s="358" t="str" cm="1">
        <f t="array" ref="R193">IF(AND(SUMPRODUCT((IM!$F$2:$F$2000=A193)*(ISNUMBER(SEARCH("STAR", IM!$AC$2:$AC$2000))))&gt;0), "STAR", "")</f>
        <v/>
      </c>
      <c r="S193" s="359" t="str" cm="1">
        <f t="array" ref="S193">IFERROR(INDEX(IM!$X$2:$X$650, MATCH(1, (IM!$F$2:$F$650=A193) * (ISNUMBER(SEARCH($D$1, IM!$AC$2:$AC$650))), 0)), "")</f>
        <v/>
      </c>
      <c r="T193" s="355">
        <f>IF(AND(X193&lt;&gt;"", Y193&lt;&gt;""), 2, IF(OR(X193&lt;&gt;"", Y193&lt;&gt;""), 1, 0))</f>
        <v>2</v>
      </c>
      <c r="U193" s="355"/>
      <c r="V193" s="373">
        <f>IF(OR(R193="STAR", T193="", U193=""), T193,
"總數：" &amp; T193 &amp; CHAR(10) &amp;
"已維修：" &amp; U193 &amp; CHAR(10) &amp;
"未更換：" &amp; (T193 - U193))</f>
        <v>2</v>
      </c>
      <c r="W193" s="360" t="str">
        <f>IF(VLOOKUP(A193,'0919門市清單主檔'!B:E,4,FALSE)=0,"",VLOOKUP(A193,'0919門市清單主檔'!B:E,4,FALSE))</f>
        <v/>
      </c>
      <c r="X193" s="3" t="s">
        <v>4340</v>
      </c>
      <c r="Y193" s="5" t="s">
        <v>4341</v>
      </c>
      <c r="Z193" s="5" t="str">
        <f>IF(T193&gt;0,"STAR","")</f>
        <v>STAR</v>
      </c>
    </row>
    <row r="194" spans="1:26" ht="15.75" customHeight="1">
      <c r="A194" s="174">
        <v>4218</v>
      </c>
      <c r="B194" s="175" t="str">
        <f>VLOOKUP(A194,'0919門市清單主檔'!B:C,2,FALSE)</f>
        <v>蘆洲湧蓮店</v>
      </c>
      <c r="C194" s="176" t="str">
        <f>VLOOKUP($A194,'0919門市清單主檔'!B:V,20,FALSE)</f>
        <v>新北市</v>
      </c>
      <c r="D194" s="177" t="str">
        <f>VLOOKUP($A194,'0919門市清單主檔'!B:V,21,FALSE)</f>
        <v>蘆洲區</v>
      </c>
      <c r="E194" s="178" t="str">
        <f>VLOOKUP(D194,區域表!A:B,2,FALSE)</f>
        <v>吳宗鴻</v>
      </c>
      <c r="F194" s="179" t="str">
        <f>IFERROR(IF(VLOOKUP(A194,門市狀態!A:D,4,FALSE)=0,"",VLOOKUP(A194,門市狀態!A:D,4,FALSE)),"")</f>
        <v/>
      </c>
      <c r="G194" s="180" t="s">
        <v>1742</v>
      </c>
      <c r="H194" s="181" t="str">
        <f>IF(I194&gt;0,(TEXT(I194,"yyyymmdd")&amp;$S$2&amp;A194&amp;$S$2&amp;B194&amp;$Q$2),"")</f>
        <v>-4218-蘆洲湧蓮店(定保)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69" t="str">
        <f>Q194&amp;IF(R194&lt;&gt;"",$P$2,"")&amp;R194</f>
        <v/>
      </c>
      <c r="N194" s="339" t="str" cm="1">
        <f t="array" ref="N194">IF(AND(
    SUMPRODUCT(
        (IM!$F$2:$F$2000=A194) *
        ISNUMBER(SEARCH("HUB", IM!$AC$2:$AC$2000)) *
        (IM!$X$2:$X$2000&gt;=$A$1) *
        (IM!$X$2:$X$2000&lt;=$B$1)*(W194="HUB")
    ) &gt; 0
), "HUB", "")</f>
        <v/>
      </c>
      <c r="O194" s="371" t="str">
        <f>IF(I194="","未到店",
IF(AND(S194&gt;I194, R194="STAR", NOT(AND(G194&lt;&gt;"萊到店 WebPOS", Q194&lt;&gt;"EDC"))), "完工已補裝",
IF(AND(G194&lt;&gt;"萊到店 WebPOS", Q194&lt;&gt;"EDC"), "EDC異常",
IF(AND(W194="HUB", N194=""), "HUB異常",
IF(OR(AND(Z194="STAR", R194="STAR"), AND(Z194&lt;&gt;"STAR", R194="")), "已完工", "STAR異常")
))))</f>
        <v>未到店</v>
      </c>
      <c r="P194" s="238" t="str">
        <f>(TEXT(I194,"yyyymmdd"))&amp;$S$2&amp;A194&amp;$S$2&amp;B194&amp;$Q$2</f>
        <v>-4218-蘆洲湧蓮店(定保)</v>
      </c>
      <c r="Q194" s="357" t="str" cm="1">
        <f t="array" ref="Q194">IF(AND(SUMPRODUCT((IM!$F$2:$F$2000=A194)*(ISNUMBER(SEARCH("EDC", IM!$AC$2:$AC$2000))))&gt;0), "EDC", "")</f>
        <v/>
      </c>
      <c r="R194" s="358" t="str" cm="1">
        <f t="array" ref="R194">IF(AND(SUMPRODUCT((IM!$F$2:$F$2000=A194)*(ISNUMBER(SEARCH("STAR", IM!$AC$2:$AC$2000))))&gt;0), "STAR", "")</f>
        <v/>
      </c>
      <c r="S194" s="359" t="str" cm="1">
        <f t="array" ref="S194">IFERROR(INDEX(IM!$X$2:$X$650, MATCH(1, (IM!$F$2:$F$650=A194) * (ISNUMBER(SEARCH($D$1, IM!$AC$2:$AC$650))), 0)), "")</f>
        <v/>
      </c>
      <c r="T194" s="355">
        <f>IF(AND(X194&lt;&gt;"", Y194&lt;&gt;""), 2, IF(OR(X194&lt;&gt;"", Y194&lt;&gt;""), 1, 0))</f>
        <v>1</v>
      </c>
      <c r="U194" s="355"/>
      <c r="V194" s="373">
        <f>IF(OR(R194="STAR", T194="", U194=""), T194,
"總數：" &amp; T194 &amp; CHAR(10) &amp;
"已維修：" &amp; U194 &amp; CHAR(10) &amp;
"未更換：" &amp; (T194 - U194))</f>
        <v>1</v>
      </c>
      <c r="W194" s="360" t="str">
        <f>IF(VLOOKUP(A194,'0919門市清單主檔'!B:E,4,FALSE)=0,"",VLOOKUP(A194,'0919門市清單主檔'!B:E,4,FALSE))</f>
        <v/>
      </c>
      <c r="Y194" s="5" t="s">
        <v>4352</v>
      </c>
      <c r="Z194" s="5" t="str">
        <f>IF(T194&gt;0,"STAR","")</f>
        <v>STAR</v>
      </c>
    </row>
    <row r="195" spans="1:26" ht="15.75" customHeight="1">
      <c r="A195" s="174">
        <v>3929</v>
      </c>
      <c r="B195" s="175" t="str">
        <f>VLOOKUP(A195,'0919門市清單主檔'!B:C,2,FALSE)</f>
        <v>蘆洲中山一</v>
      </c>
      <c r="C195" s="176" t="str">
        <f>VLOOKUP($A195,'0919門市清單主檔'!B:V,20,FALSE)</f>
        <v>新北市</v>
      </c>
      <c r="D195" s="177" t="str">
        <f>VLOOKUP($A195,'0919門市清單主檔'!B:V,21,FALSE)</f>
        <v>蘆洲區</v>
      </c>
      <c r="E195" s="178" t="str">
        <f>VLOOKUP(D195,區域表!A:B,2,FALSE)</f>
        <v>吳宗鴻</v>
      </c>
      <c r="F195" s="179" t="str">
        <f>IFERROR(IF(VLOOKUP(A195,門市狀態!A:D,4,FALSE)=0,"",VLOOKUP(A195,門市狀態!A:D,4,FALSE)),"")</f>
        <v/>
      </c>
      <c r="G195" s="180" t="s">
        <v>1742</v>
      </c>
      <c r="H195" s="181" t="str">
        <f>IF(I195&gt;0,(TEXT(I195,"yyyymmdd")&amp;$S$2&amp;A195&amp;$S$2&amp;B195&amp;$Q$2),"")</f>
        <v>-3929-蘆洲中山一(定保)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69" t="str">
        <f>Q195&amp;IF(R195&lt;&gt;"",$P$2,"")&amp;R195</f>
        <v/>
      </c>
      <c r="N195" s="339" t="str" cm="1">
        <f t="array" ref="N195">IF(AND(
    SUMPRODUCT(
        (IM!$F$2:$F$2000=A195) *
        ISNUMBER(SEARCH("HUB", IM!$AC$2:$AC$2000)) *
        (IM!$X$2:$X$2000&gt;=$A$1) *
        (IM!$X$2:$X$2000&lt;=$B$1)*(W195="HUB")
    ) &gt; 0
), "HUB", "")</f>
        <v/>
      </c>
      <c r="O195" s="371" t="str">
        <f>IF(I195="","未到店",
IF(AND(S195&gt;I195, R195="STAR", NOT(AND(G195&lt;&gt;"萊到店 WebPOS", Q195&lt;&gt;"EDC"))), "完工已補裝",
IF(AND(G195&lt;&gt;"萊到店 WebPOS", Q195&lt;&gt;"EDC"), "EDC異常",
IF(AND(W195="HUB", N195=""), "HUB異常",
IF(OR(AND(Z195="STAR", R195="STAR"), AND(Z195&lt;&gt;"STAR", R195="")), "已完工", "STAR異常")
))))</f>
        <v>未到店</v>
      </c>
      <c r="P195" s="238" t="str">
        <f>(TEXT(I195,"yyyymmdd"))&amp;$S$2&amp;A195&amp;$S$2&amp;B195&amp;$Q$2</f>
        <v>-3929-蘆洲中山一(定保)</v>
      </c>
      <c r="Q195" s="357" t="str" cm="1">
        <f t="array" ref="Q195">IF(AND(SUMPRODUCT((IM!$F$2:$F$2000=A195)*(ISNUMBER(SEARCH("EDC", IM!$AC$2:$AC$2000))))&gt;0), "EDC", "")</f>
        <v/>
      </c>
      <c r="R195" s="358" t="str" cm="1">
        <f t="array" ref="R195">IF(AND(SUMPRODUCT((IM!$F$2:$F$2000=A195)*(ISNUMBER(SEARCH("STAR", IM!$AC$2:$AC$2000))))&gt;0), "STAR", "")</f>
        <v/>
      </c>
      <c r="S195" s="359" t="str" cm="1">
        <f t="array" ref="S195">IFERROR(INDEX(IM!$X$2:$X$650, MATCH(1, (IM!$F$2:$F$650=A195) * (ISNUMBER(SEARCH($D$1, IM!$AC$2:$AC$650))), 0)), "")</f>
        <v/>
      </c>
      <c r="T195" s="355">
        <f>IF(AND(X195&lt;&gt;"", Y195&lt;&gt;""), 2, IF(OR(X195&lt;&gt;"", Y195&lt;&gt;""), 1, 0))</f>
        <v>1</v>
      </c>
      <c r="U195" s="355"/>
      <c r="V195" s="373">
        <f>IF(OR(R195="STAR", T195="", U195=""), T195,
"總數：" &amp; T195 &amp; CHAR(10) &amp;
"已維修：" &amp; U195 &amp; CHAR(10) &amp;
"未更換：" &amp; (T195 - U195))</f>
        <v>1</v>
      </c>
      <c r="W195" s="360" t="str">
        <f>IF(VLOOKUP(A195,'0919門市清單主檔'!B:E,4,FALSE)=0,"",VLOOKUP(A195,'0919門市清單主檔'!B:E,4,FALSE))</f>
        <v/>
      </c>
      <c r="X195" s="3" t="s">
        <v>4342</v>
      </c>
      <c r="Y195" s="5"/>
      <c r="Z195" s="5" t="str">
        <f>IF(T195&gt;0,"STAR","")</f>
        <v>STAR</v>
      </c>
    </row>
    <row r="196" spans="1:26" ht="15.75" customHeight="1">
      <c r="A196" s="174">
        <v>4658</v>
      </c>
      <c r="B196" s="175" t="str">
        <f>VLOOKUP(A196,'0919門市清單主檔'!B:C,2,FALSE)</f>
        <v>淡水英才店</v>
      </c>
      <c r="C196" s="176" t="str">
        <f>VLOOKUP($A196,'0919門市清單主檔'!B:V,20,FALSE)</f>
        <v>新北市</v>
      </c>
      <c r="D196" s="177" t="str">
        <f>VLOOKUP($A196,'0919門市清單主檔'!B:V,21,FALSE)</f>
        <v>淡水區</v>
      </c>
      <c r="E196" s="178" t="str">
        <f>VLOOKUP(D196,區域表!A:B,2,FALSE)</f>
        <v>吳宗鴻</v>
      </c>
      <c r="F196" s="179" t="str">
        <f>IFERROR(IF(VLOOKUP(A196,門市狀態!A:D,4,FALSE)=0,"",VLOOKUP(A196,門市狀態!A:D,4,FALSE)),"")</f>
        <v/>
      </c>
      <c r="G196" s="180" t="s">
        <v>1742</v>
      </c>
      <c r="H196" s="181" t="str">
        <f>IF(I196&gt;0,(TEXT(I196,"yyyymmdd")&amp;$S$2&amp;A196&amp;$S$2&amp;B196&amp;$Q$2),"")</f>
        <v>-4658-淡水英才店(定保)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69" t="str">
        <f>Q196&amp;IF(R196&lt;&gt;"",$P$2,"")&amp;R196</f>
        <v/>
      </c>
      <c r="N196" s="339" t="str" cm="1">
        <f t="array" ref="N196">IF(AND(
    SUMPRODUCT(
        (IM!$F$2:$F$2000=A196) *
        ISNUMBER(SEARCH("HUB", IM!$AC$2:$AC$2000)) *
        (IM!$X$2:$X$2000&gt;=$A$1) *
        (IM!$X$2:$X$2000&lt;=$B$1)*(W196="HUB")
    ) &gt; 0
), "HUB", "")</f>
        <v/>
      </c>
      <c r="O196" s="371" t="str">
        <f>IF(I196="","未到店",
IF(AND(S196&gt;I196, R196="STAR", NOT(AND(G196&lt;&gt;"萊到店 WebPOS", Q196&lt;&gt;"EDC"))), "完工已補裝",
IF(AND(G196&lt;&gt;"萊到店 WebPOS", Q196&lt;&gt;"EDC"), "EDC異常",
IF(AND(W196="HUB", N196=""), "HUB異常",
IF(OR(AND(Z196="STAR", R196="STAR"), AND(Z196&lt;&gt;"STAR", R196="")), "已完工", "STAR異常")
))))</f>
        <v>未到店</v>
      </c>
      <c r="P196" s="238" t="str">
        <f>(TEXT(I196,"yyyymmdd"))&amp;$S$2&amp;A196&amp;$S$2&amp;B196&amp;$Q$2</f>
        <v>-4658-淡水英才店(定保)</v>
      </c>
      <c r="Q196" s="357" t="str" cm="1">
        <f t="array" ref="Q196">IF(AND(SUMPRODUCT((IM!$F$2:$F$2000=A196)*(ISNUMBER(SEARCH("EDC", IM!$AC$2:$AC$2000))))&gt;0), "EDC", "")</f>
        <v/>
      </c>
      <c r="R196" s="358" t="str" cm="1">
        <f t="array" ref="R196">IF(AND(SUMPRODUCT((IM!$F$2:$F$2000=A196)*(ISNUMBER(SEARCH("STAR", IM!$AC$2:$AC$2000))))&gt;0), "STAR", "")</f>
        <v/>
      </c>
      <c r="S196" s="359" t="str" cm="1">
        <f t="array" ref="S196">IFERROR(INDEX(IM!$X$2:$X$650, MATCH(1, (IM!$F$2:$F$650=A196) * (ISNUMBER(SEARCH($D$1, IM!$AC$2:$AC$650))), 0)), "")</f>
        <v/>
      </c>
      <c r="T196" s="355">
        <f>IF(AND(X196&lt;&gt;"", Y196&lt;&gt;""), 2, IF(OR(X196&lt;&gt;"", Y196&lt;&gt;""), 1, 0))</f>
        <v>0</v>
      </c>
      <c r="U196" s="355"/>
      <c r="V196" s="373">
        <f>IF(OR(R196="STAR", T196="", U196=""), T196,
"總數：" &amp; T196 &amp; CHAR(10) &amp;
"已維修：" &amp; U196 &amp; CHAR(10) &amp;
"未更換：" &amp; (T196 - U196))</f>
        <v>0</v>
      </c>
      <c r="W196" s="360" t="str">
        <f>IF(VLOOKUP(A196,'0919門市清單主檔'!B:E,4,FALSE)=0,"",VLOOKUP(A196,'0919門市清單主檔'!B:E,4,FALSE))</f>
        <v/>
      </c>
      <c r="Y196" s="5"/>
      <c r="Z196" s="5" t="str">
        <f>IF(T196&gt;0,"STAR","")</f>
        <v/>
      </c>
    </row>
    <row r="197" spans="1:26" ht="15.75" customHeight="1">
      <c r="A197" s="174">
        <v>3965</v>
      </c>
      <c r="B197" s="175" t="str">
        <f>VLOOKUP(A197,'0919門市清單主檔'!B:C,2,FALSE)</f>
        <v>板橋民治店</v>
      </c>
      <c r="C197" s="176" t="str">
        <f>VLOOKUP($A197,'0919門市清單主檔'!B:V,20,FALSE)</f>
        <v>新北市</v>
      </c>
      <c r="D197" s="177" t="str">
        <f>VLOOKUP($A197,'0919門市清單主檔'!B:V,21,FALSE)</f>
        <v>板橋區</v>
      </c>
      <c r="E197" s="178" t="str">
        <f>VLOOKUP(D197,區域表!A:B,2,FALSE)</f>
        <v>狄澤洋</v>
      </c>
      <c r="F197" s="179" t="str">
        <f>IFERROR(IF(VLOOKUP(A197,門市狀態!A:D,4,FALSE)=0,"",VLOOKUP(A197,門市狀態!A:D,4,FALSE)),"")</f>
        <v/>
      </c>
      <c r="G197" s="180" t="s">
        <v>1742</v>
      </c>
      <c r="H197" s="181" t="str">
        <f>IF(I197&gt;0,(TEXT(I197,"yyyymmdd")&amp;$S$2&amp;A197&amp;$S$2&amp;B197&amp;$Q$2),"")</f>
        <v>-3965-板橋民治店(定保)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69" t="str">
        <f>Q197&amp;IF(R197&lt;&gt;"",$P$2,"")&amp;R197</f>
        <v/>
      </c>
      <c r="N197" s="339" t="str" cm="1">
        <f t="array" ref="N197">IF(AND(
    SUMPRODUCT(
        (IM!$F$2:$F$2000=A197) *
        ISNUMBER(SEARCH("HUB", IM!$AC$2:$AC$2000)) *
        (IM!$X$2:$X$2000&gt;=$A$1) *
        (IM!$X$2:$X$2000&lt;=$B$1)*(W197="HUB")
    ) &gt; 0
), "HUB", "")</f>
        <v/>
      </c>
      <c r="O197" s="371" t="str">
        <f>IF(I197="","未到店",
IF(AND(S197&gt;I197, R197="STAR", NOT(AND(G197&lt;&gt;"萊到店 WebPOS", Q197&lt;&gt;"EDC"))), "完工已補裝",
IF(AND(G197&lt;&gt;"萊到店 WebPOS", Q197&lt;&gt;"EDC"), "EDC異常",
IF(AND(W197="HUB", N197=""), "HUB異常",
IF(OR(AND(Z197="STAR", R197="STAR"), AND(Z197&lt;&gt;"STAR", R197="")), "已完工", "STAR異常")
))))</f>
        <v>未到店</v>
      </c>
      <c r="P197" s="238" t="str">
        <f>(TEXT(I197,"yyyymmdd"))&amp;$S$2&amp;A197&amp;$S$2&amp;B197&amp;$Q$2</f>
        <v>-3965-板橋民治店(定保)</v>
      </c>
      <c r="Q197" s="357" t="str" cm="1">
        <f t="array" ref="Q197">IF(AND(SUMPRODUCT((IM!$F$2:$F$2000=A197)*(ISNUMBER(SEARCH("EDC", IM!$AC$2:$AC$2000))))&gt;0), "EDC", "")</f>
        <v/>
      </c>
      <c r="R197" s="358" t="str" cm="1">
        <f t="array" ref="R197">IF(AND(SUMPRODUCT((IM!$F$2:$F$2000=A197)*(ISNUMBER(SEARCH("STAR", IM!$AC$2:$AC$2000))))&gt;0), "STAR", "")</f>
        <v/>
      </c>
      <c r="S197" s="359" t="str" cm="1">
        <f t="array" ref="S197">IFERROR(INDEX(IM!$X$2:$X$650, MATCH(1, (IM!$F$2:$F$650=A197) * (ISNUMBER(SEARCH($D$1, IM!$AC$2:$AC$650))), 0)), "")</f>
        <v/>
      </c>
      <c r="T197" s="355">
        <f>IF(AND(X197&lt;&gt;"", Y197&lt;&gt;""), 2, IF(OR(X197&lt;&gt;"", Y197&lt;&gt;""), 1, 0))</f>
        <v>2</v>
      </c>
      <c r="U197" s="355"/>
      <c r="V197" s="373">
        <f>IF(OR(R197="STAR", T197="", U197=""), T197,
"總數：" &amp; T197 &amp; CHAR(10) &amp;
"已維修：" &amp; U197 &amp; CHAR(10) &amp;
"未更換：" &amp; (T197 - U197))</f>
        <v>2</v>
      </c>
      <c r="W197" s="360" t="str">
        <f>IF(VLOOKUP(A197,'0919門市清單主檔'!B:E,4,FALSE)=0,"",VLOOKUP(A197,'0919門市清單主檔'!B:E,4,FALSE))</f>
        <v/>
      </c>
      <c r="X197" s="3" t="s">
        <v>4355</v>
      </c>
      <c r="Y197" s="5" t="s">
        <v>4356</v>
      </c>
      <c r="Z197" s="5" t="str">
        <f>IF(T197&gt;0,"STAR","")</f>
        <v>STAR</v>
      </c>
    </row>
    <row r="198" spans="1:26" ht="15.75" customHeight="1">
      <c r="A198" s="174">
        <v>5101</v>
      </c>
      <c r="B198" s="175" t="str">
        <f>VLOOKUP(A198,'0919門市清單主檔'!B:C,2,FALSE)</f>
        <v>淡水小坪頂</v>
      </c>
      <c r="C198" s="176" t="str">
        <f>VLOOKUP($A198,'0919門市清單主檔'!B:V,20,FALSE)</f>
        <v>新北市</v>
      </c>
      <c r="D198" s="177" t="str">
        <f>VLOOKUP($A198,'0919門市清單主檔'!B:V,21,FALSE)</f>
        <v>淡水區</v>
      </c>
      <c r="E198" s="178" t="str">
        <f>VLOOKUP(D198,區域表!A:B,2,FALSE)</f>
        <v>吳宗鴻</v>
      </c>
      <c r="F198" s="179" t="str">
        <f>IFERROR(IF(VLOOKUP(A198,門市狀態!A:D,4,FALSE)=0,"",VLOOKUP(A198,門市狀態!A:D,4,FALSE)),"")</f>
        <v/>
      </c>
      <c r="G198" s="180" t="s">
        <v>1742</v>
      </c>
      <c r="H198" s="181" t="str">
        <f>IF(I198&gt;0,(TEXT(I198,"yyyymmdd")&amp;$S$2&amp;A198&amp;$S$2&amp;B198&amp;$Q$2),"")</f>
        <v>-5101-淡水小坪頂(定保)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69" t="str">
        <f>Q198&amp;IF(R198&lt;&gt;"",$P$2,"")&amp;R198</f>
        <v/>
      </c>
      <c r="N198" s="339" t="str" cm="1">
        <f t="array" ref="N198">IF(AND(
    SUMPRODUCT(
        (IM!$F$2:$F$2000=A198) *
        ISNUMBER(SEARCH("HUB", IM!$AC$2:$AC$2000)) *
        (IM!$X$2:$X$2000&gt;=$A$1) *
        (IM!$X$2:$X$2000&lt;=$B$1)*(W198="HUB")
    ) &gt; 0
), "HUB", "")</f>
        <v/>
      </c>
      <c r="O198" s="371" t="str">
        <f>IF(I198="","未到店",
IF(AND(S198&gt;I198, R198="STAR", NOT(AND(G198&lt;&gt;"萊到店 WebPOS", Q198&lt;&gt;"EDC"))), "完工已補裝",
IF(AND(G198&lt;&gt;"萊到店 WebPOS", Q198&lt;&gt;"EDC"), "EDC異常",
IF(AND(W198="HUB", N198=""), "HUB異常",
IF(OR(AND(Z198="STAR", R198="STAR"), AND(Z198&lt;&gt;"STAR", R198="")), "已完工", "STAR異常")
))))</f>
        <v>未到店</v>
      </c>
      <c r="P198" s="238" t="str">
        <f>(TEXT(I198,"yyyymmdd"))&amp;$S$2&amp;A198&amp;$S$2&amp;B198&amp;$Q$2</f>
        <v>-5101-淡水小坪頂(定保)</v>
      </c>
      <c r="Q198" s="357" t="str" cm="1">
        <f t="array" ref="Q198">IF(AND(SUMPRODUCT((IM!$F$2:$F$2000=A198)*(ISNUMBER(SEARCH("EDC", IM!$AC$2:$AC$2000))))&gt;0), "EDC", "")</f>
        <v/>
      </c>
      <c r="R198" s="358" t="str" cm="1">
        <f t="array" ref="R198">IF(AND(SUMPRODUCT((IM!$F$2:$F$2000=A198)*(ISNUMBER(SEARCH("STAR", IM!$AC$2:$AC$2000))))&gt;0), "STAR", "")</f>
        <v/>
      </c>
      <c r="S198" s="359" t="str" cm="1">
        <f t="array" ref="S198">IFERROR(INDEX(IM!$X$2:$X$650, MATCH(1, (IM!$F$2:$F$650=A198) * (ISNUMBER(SEARCH($D$1, IM!$AC$2:$AC$650))), 0)), "")</f>
        <v/>
      </c>
      <c r="T198" s="355">
        <f>IF(AND(X198&lt;&gt;"", Y198&lt;&gt;""), 2, IF(OR(X198&lt;&gt;"", Y198&lt;&gt;""), 1, 0))</f>
        <v>0</v>
      </c>
      <c r="U198" s="355"/>
      <c r="V198" s="373">
        <f>IF(OR(R198="STAR", T198="", U198=""), T198,
"總數：" &amp; T198 &amp; CHAR(10) &amp;
"已維修：" &amp; U198 &amp; CHAR(10) &amp;
"未更換：" &amp; (T198 - U198))</f>
        <v>0</v>
      </c>
      <c r="W198" s="360" t="str">
        <f>IF(VLOOKUP(A198,'0919門市清單主檔'!B:E,4,FALSE)=0,"",VLOOKUP(A198,'0919門市清單主檔'!B:E,4,FALSE))</f>
        <v/>
      </c>
      <c r="Y198" s="5"/>
      <c r="Z198" s="5" t="str">
        <f>IF(T198&gt;0,"STAR","")</f>
        <v/>
      </c>
    </row>
    <row r="199" spans="1:26" ht="15.75" customHeight="1">
      <c r="A199" s="174">
        <v>4154</v>
      </c>
      <c r="B199" s="175" t="str">
        <f>VLOOKUP(A199,'0919門市清單主檔'!B:C,2,FALSE)</f>
        <v>林口麗園店</v>
      </c>
      <c r="C199" s="176" t="str">
        <f>VLOOKUP($A199,'0919門市清單主檔'!B:V,20,FALSE)</f>
        <v>新北市</v>
      </c>
      <c r="D199" s="177" t="str">
        <f>VLOOKUP($A199,'0919門市清單主檔'!B:V,21,FALSE)</f>
        <v>林口區</v>
      </c>
      <c r="E199" s="178" t="str">
        <f>VLOOKUP(D199,區域表!A:B,2,FALSE)</f>
        <v>湯家瑋</v>
      </c>
      <c r="F199" s="179" t="str">
        <f>IFERROR(IF(VLOOKUP(A199,門市狀態!A:D,4,FALSE)=0,"",VLOOKUP(A199,門市狀態!A:D,4,FALSE)),"")</f>
        <v/>
      </c>
      <c r="G199" s="180" t="s">
        <v>1742</v>
      </c>
      <c r="H199" s="181" t="str">
        <f>IF(I199&gt;0,(TEXT(I199,"yyyymmdd")&amp;$S$2&amp;A199&amp;$S$2&amp;B199&amp;$Q$2),"")</f>
        <v>-4154-林口麗園店(定保)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69" t="str">
        <f>Q199&amp;IF(R199&lt;&gt;"",$P$2,"")&amp;R199</f>
        <v/>
      </c>
      <c r="N199" s="339" t="str" cm="1">
        <f t="array" ref="N199">IF(AND(
    SUMPRODUCT(
        (IM!$F$2:$F$2000=A199) *
        ISNUMBER(SEARCH("HUB", IM!$AC$2:$AC$2000)) *
        (IM!$X$2:$X$2000&gt;=$A$1) *
        (IM!$X$2:$X$2000&lt;=$B$1)*(W199="HUB")
    ) &gt; 0
), "HUB", "")</f>
        <v/>
      </c>
      <c r="O199" s="371" t="str">
        <f>IF(I199="","未到店",
IF(AND(S199&gt;I199, R199="STAR", NOT(AND(G199&lt;&gt;"萊到店 WebPOS", Q199&lt;&gt;"EDC"))), "完工已補裝",
IF(AND(G199&lt;&gt;"萊到店 WebPOS", Q199&lt;&gt;"EDC"), "EDC異常",
IF(AND(W199="HUB", N199=""), "HUB異常",
IF(OR(AND(Z199="STAR", R199="STAR"), AND(Z199&lt;&gt;"STAR", R199="")), "已完工", "STAR異常")
))))</f>
        <v>未到店</v>
      </c>
      <c r="P199" s="238" t="str">
        <f>(TEXT(I199,"yyyymmdd"))&amp;$S$2&amp;A199&amp;$S$2&amp;B199&amp;$Q$2</f>
        <v>-4154-林口麗園店(定保)</v>
      </c>
      <c r="Q199" s="357" t="str" cm="1">
        <f t="array" ref="Q199">IF(AND(SUMPRODUCT((IM!$F$2:$F$2000=A199)*(ISNUMBER(SEARCH("EDC", IM!$AC$2:$AC$2000))))&gt;0), "EDC", "")</f>
        <v/>
      </c>
      <c r="R199" s="358" t="str" cm="1">
        <f t="array" ref="R199">IF(AND(SUMPRODUCT((IM!$F$2:$F$2000=A199)*(ISNUMBER(SEARCH("STAR", IM!$AC$2:$AC$2000))))&gt;0), "STAR", "")</f>
        <v/>
      </c>
      <c r="S199" s="359" t="str" cm="1">
        <f t="array" ref="S199">IFERROR(INDEX(IM!$X$2:$X$650, MATCH(1, (IM!$F$2:$F$650=A199) * (ISNUMBER(SEARCH($D$1, IM!$AC$2:$AC$650))), 0)), "")</f>
        <v/>
      </c>
      <c r="T199" s="355">
        <f>IF(AND(X199&lt;&gt;"", Y199&lt;&gt;""), 2, IF(OR(X199&lt;&gt;"", Y199&lt;&gt;""), 1, 0))</f>
        <v>2</v>
      </c>
      <c r="U199" s="355"/>
      <c r="V199" s="373">
        <f>IF(OR(R199="STAR", T199="", U199=""), T199,
"總數：" &amp; T199 &amp; CHAR(10) &amp;
"已維修：" &amp; U199 &amp; CHAR(10) &amp;
"未更換：" &amp; (T199 - U199))</f>
        <v>2</v>
      </c>
      <c r="W199" s="360" t="str">
        <f>IF(VLOOKUP(A199,'0919門市清單主檔'!B:E,4,FALSE)=0,"",VLOOKUP(A199,'0919門市清單主檔'!B:E,4,FALSE))</f>
        <v/>
      </c>
      <c r="X199" s="3" t="s">
        <v>4399</v>
      </c>
      <c r="Y199" s="5" t="s">
        <v>4400</v>
      </c>
      <c r="Z199" s="5" t="str">
        <f>IF(T199&gt;0,"STAR","")</f>
        <v>STAR</v>
      </c>
    </row>
    <row r="200" spans="1:26" ht="15.75" customHeight="1">
      <c r="A200" s="174" t="s">
        <v>41</v>
      </c>
      <c r="B200" s="175" t="str">
        <f>VLOOKUP(A200,'0919門市清單主檔'!B:C,2,FALSE)</f>
        <v>車麗屋林口店</v>
      </c>
      <c r="C200" s="176" t="str">
        <f>VLOOKUP($A200,'0919門市清單主檔'!B:V,20,FALSE)</f>
        <v>新北市</v>
      </c>
      <c r="D200" s="177" t="str">
        <f>VLOOKUP($A200,'0919門市清單主檔'!B:V,21,FALSE)</f>
        <v>林口區</v>
      </c>
      <c r="E200" s="178" t="str">
        <f>VLOOKUP(D200,區域表!A:B,2,FALSE)</f>
        <v>湯家瑋</v>
      </c>
      <c r="F200" s="179" t="str">
        <f>IFERROR(IF(VLOOKUP(A200,門市狀態!A:D,4,FALSE)=0,"",VLOOKUP(A200,門市狀態!A:D,4,FALSE)),"")</f>
        <v/>
      </c>
      <c r="G200" s="180" t="s">
        <v>1743</v>
      </c>
      <c r="H200" s="181" t="str">
        <f>IF(I200&gt;0,(TEXT(I200,"yyyymmdd")&amp;$S$2&amp;A200&amp;$S$2&amp;B200&amp;$Q$2),"")</f>
        <v>-L519-車麗屋林口店(定保)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69" t="str">
        <f>Q200&amp;IF(R200&lt;&gt;"",$P$2,"")&amp;R200</f>
        <v/>
      </c>
      <c r="N200" s="339" t="str" cm="1">
        <f t="array" ref="N200">IF(AND(
    SUMPRODUCT(
        (IM!$F$2:$F$2000=A200) *
        ISNUMBER(SEARCH("HUB", IM!$AC$2:$AC$2000)) *
        (IM!$X$2:$X$2000&gt;=$A$1) *
        (IM!$X$2:$X$2000&lt;=$B$1)*(W200="HUB")
    ) &gt; 0
), "HUB", "")</f>
        <v/>
      </c>
      <c r="O200" s="371" t="str">
        <f>IF(I200="","未到店",
IF(AND(S200&gt;I200, R200="STAR", NOT(AND(G200&lt;&gt;"萊到店 WebPOS", Q200&lt;&gt;"EDC"))), "完工已補裝",
IF(AND(G200&lt;&gt;"萊到店 WebPOS", Q200&lt;&gt;"EDC"), "EDC異常",
IF(AND(W200="HUB", N200=""), "HUB異常",
IF(OR(AND(Z200="STAR", R200="STAR"), AND(Z200&lt;&gt;"STAR", R200="")), "已完工", "STAR異常")
))))</f>
        <v>未到店</v>
      </c>
      <c r="P200" s="238" t="str">
        <f>(TEXT(I200,"yyyymmdd"))&amp;$S$2&amp;A200&amp;$S$2&amp;B200&amp;$Q$2</f>
        <v>-L519-車麗屋林口店(定保)</v>
      </c>
      <c r="Q200" s="357" t="str" cm="1">
        <f t="array" ref="Q200">IF(AND(SUMPRODUCT((IM!$F$2:$F$2000=A200)*(ISNUMBER(SEARCH("EDC", IM!$AC$2:$AC$2000))))&gt;0), "EDC", "")</f>
        <v/>
      </c>
      <c r="R200" s="358" t="str" cm="1">
        <f t="array" ref="R200">IF(AND(SUMPRODUCT((IM!$F$2:$F$2000=A200)*(ISNUMBER(SEARCH("STAR", IM!$AC$2:$AC$2000))))&gt;0), "STAR", "")</f>
        <v/>
      </c>
      <c r="S200" s="359" t="str" cm="1">
        <f t="array" ref="S200">IFERROR(INDEX(IM!$X$2:$X$650, MATCH(1, (IM!$F$2:$F$650=A200) * (ISNUMBER(SEARCH($D$1, IM!$AC$2:$AC$650))), 0)), "")</f>
        <v/>
      </c>
      <c r="T200" s="355">
        <f>IF(AND(X200&lt;&gt;"", Y200&lt;&gt;""), 2, IF(OR(X200&lt;&gt;"", Y200&lt;&gt;""), 1, 0))</f>
        <v>0</v>
      </c>
      <c r="U200" s="355"/>
      <c r="V200" s="373">
        <f>IF(OR(R200="STAR", T200="", U200=""), T200,
"總數：" &amp; T200 &amp; CHAR(10) &amp;
"已維修：" &amp; U200 &amp; CHAR(10) &amp;
"未更換：" &amp; (T200 - U200))</f>
        <v>0</v>
      </c>
      <c r="W200" s="360" t="str">
        <f>IF(VLOOKUP(A200,'0919門市清單主檔'!B:E,4,FALSE)=0,"",VLOOKUP(A200,'0919門市清單主檔'!B:E,4,FALSE))</f>
        <v/>
      </c>
      <c r="Y200" s="5"/>
      <c r="Z200" s="5" t="str">
        <f>IF(T200&gt;0,"STAR","")</f>
        <v/>
      </c>
    </row>
    <row r="201" spans="1:26" ht="15.75" customHeight="1">
      <c r="A201" s="174" t="s">
        <v>1449</v>
      </c>
      <c r="B201" s="175" t="str">
        <f>VLOOKUP(A201,'0919門市清單主檔'!B:C,2,FALSE)</f>
        <v>林口顧家店</v>
      </c>
      <c r="C201" s="176" t="str">
        <f>VLOOKUP($A201,'0919門市清單主檔'!B:V,20,FALSE)</f>
        <v>新北市</v>
      </c>
      <c r="D201" s="177" t="str">
        <f>VLOOKUP($A201,'0919門市清單主檔'!B:V,21,FALSE)</f>
        <v>林口區</v>
      </c>
      <c r="E201" s="178" t="str">
        <f>VLOOKUP(D201,區域表!A:B,2,FALSE)</f>
        <v>湯家瑋</v>
      </c>
      <c r="F201" s="179" t="str">
        <f>IFERROR(IF(VLOOKUP(A201,門市狀態!A:D,4,FALSE)=0,"",VLOOKUP(A201,門市狀態!A:D,4,FALSE)),"")</f>
        <v/>
      </c>
      <c r="G201" s="180" t="s">
        <v>1743</v>
      </c>
      <c r="H201" s="181" t="str">
        <f>IF(I201&gt;0,(TEXT(I201,"yyyymmdd")&amp;$S$2&amp;A201&amp;$S$2&amp;B201&amp;$Q$2),"")</f>
        <v>-L551-林口顧家店(定保)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69" t="str">
        <f>Q201&amp;IF(R201&lt;&gt;"",$P$2,"")&amp;R201</f>
        <v/>
      </c>
      <c r="N201" s="339" t="str" cm="1">
        <f t="array" ref="N201">IF(AND(
    SUMPRODUCT(
        (IM!$F$2:$F$2000=A201) *
        ISNUMBER(SEARCH("HUB", IM!$AC$2:$AC$2000)) *
        (IM!$X$2:$X$2000&gt;=$A$1) *
        (IM!$X$2:$X$2000&lt;=$B$1)*(W201="HUB")
    ) &gt; 0
), "HUB", "")</f>
        <v/>
      </c>
      <c r="O201" s="371" t="str">
        <f>IF(I201="","未到店",
IF(AND(S201&gt;I201, R201="STAR", NOT(AND(G201&lt;&gt;"萊到店 WebPOS", Q201&lt;&gt;"EDC"))), "完工已補裝",
IF(AND(G201&lt;&gt;"萊到店 WebPOS", Q201&lt;&gt;"EDC"), "EDC異常",
IF(AND(W201="HUB", N201=""), "HUB異常",
IF(OR(AND(Z201="STAR", R201="STAR"), AND(Z201&lt;&gt;"STAR", R201="")), "已完工", "STAR異常")
))))</f>
        <v>未到店</v>
      </c>
      <c r="P201" s="238" t="str">
        <f>(TEXT(I201,"yyyymmdd"))&amp;$S$2&amp;A201&amp;$S$2&amp;B201&amp;$Q$2</f>
        <v>-L551-林口顧家店(定保)</v>
      </c>
      <c r="Q201" s="357" t="str" cm="1">
        <f t="array" ref="Q201">IF(AND(SUMPRODUCT((IM!$F$2:$F$2000=A201)*(ISNUMBER(SEARCH("EDC", IM!$AC$2:$AC$2000))))&gt;0), "EDC", "")</f>
        <v/>
      </c>
      <c r="R201" s="358" t="str" cm="1">
        <f t="array" ref="R201">IF(AND(SUMPRODUCT((IM!$F$2:$F$2000=A201)*(ISNUMBER(SEARCH("STAR", IM!$AC$2:$AC$2000))))&gt;0), "STAR", "")</f>
        <v/>
      </c>
      <c r="S201" s="359" t="str" cm="1">
        <f t="array" ref="S201">IFERROR(INDEX(IM!$X$2:$X$650, MATCH(1, (IM!$F$2:$F$650=A201) * (ISNUMBER(SEARCH($D$1, IM!$AC$2:$AC$650))), 0)), "")</f>
        <v/>
      </c>
      <c r="T201" s="355">
        <f>IF(AND(X201&lt;&gt;"", Y201&lt;&gt;""), 2, IF(OR(X201&lt;&gt;"", Y201&lt;&gt;""), 1, 0))</f>
        <v>0</v>
      </c>
      <c r="U201" s="355"/>
      <c r="V201" s="373">
        <f>IF(OR(R201="STAR", T201="", U201=""), T201,
"總數：" &amp; T201 &amp; CHAR(10) &amp;
"已維修：" &amp; U201 &amp; CHAR(10) &amp;
"未更換：" &amp; (T201 - U201))</f>
        <v>0</v>
      </c>
      <c r="W201" s="360" t="str">
        <f>IF(VLOOKUP(A201,'0919門市清單主檔'!B:E,4,FALSE)=0,"",VLOOKUP(A201,'0919門市清單主檔'!B:E,4,FALSE))</f>
        <v/>
      </c>
      <c r="Y201" s="5"/>
      <c r="Z201" s="5" t="str">
        <f>IF(T201&gt;0,"STAR","")</f>
        <v/>
      </c>
    </row>
    <row r="202" spans="1:26" ht="15.75" customHeight="1">
      <c r="A202" s="174">
        <v>2746</v>
      </c>
      <c r="B202" s="175" t="str">
        <f>VLOOKUP(A202,'0919門市清單主檔'!B:C,2,FALSE)</f>
        <v>北縣板嘉店</v>
      </c>
      <c r="C202" s="176" t="str">
        <f>VLOOKUP($A202,'0919門市清單主檔'!B:V,20,FALSE)</f>
        <v>新北市</v>
      </c>
      <c r="D202" s="177" t="str">
        <f>VLOOKUP($A202,'0919門市清單主檔'!B:V,21,FALSE)</f>
        <v>板橋區</v>
      </c>
      <c r="E202" s="178" t="str">
        <f>VLOOKUP(D202,區域表!A:B,2,FALSE)</f>
        <v>狄澤洋</v>
      </c>
      <c r="F202" s="179" t="str">
        <f>IFERROR(IF(VLOOKUP(A202,門市狀態!A:D,4,FALSE)=0,"",VLOOKUP(A202,門市狀態!A:D,4,FALSE)),"")</f>
        <v/>
      </c>
      <c r="G202" s="180" t="s">
        <v>1742</v>
      </c>
      <c r="H202" s="181" t="str">
        <f>IF(I202&gt;0,(TEXT(I202,"yyyymmdd")&amp;$S$2&amp;A202&amp;$S$2&amp;B202&amp;$Q$2),"")</f>
        <v>-2746-北縣板嘉店(定保)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69" t="str">
        <f>Q202&amp;IF(R202&lt;&gt;"",$P$2,"")&amp;R202</f>
        <v/>
      </c>
      <c r="N202" s="339" t="str" cm="1">
        <f t="array" ref="N202">IF(AND(
    SUMPRODUCT(
        (IM!$F$2:$F$2000=A202) *
        ISNUMBER(SEARCH("HUB", IM!$AC$2:$AC$2000)) *
        (IM!$X$2:$X$2000&gt;=$A$1) *
        (IM!$X$2:$X$2000&lt;=$B$1)*(W202="HUB")
    ) &gt; 0
), "HUB", "")</f>
        <v/>
      </c>
      <c r="O202" s="371" t="str">
        <f>IF(I202="","未到店",
IF(AND(S202&gt;I202, R202="STAR", NOT(AND(G202&lt;&gt;"萊到店 WebPOS", Q202&lt;&gt;"EDC"))), "完工已補裝",
IF(AND(G202&lt;&gt;"萊到店 WebPOS", Q202&lt;&gt;"EDC"), "EDC異常",
IF(AND(W202="HUB", N202=""), "HUB異常",
IF(OR(AND(Z202="STAR", R202="STAR"), AND(Z202&lt;&gt;"STAR", R202="")), "已完工", "STAR異常")
))))</f>
        <v>未到店</v>
      </c>
      <c r="P202" s="238" t="str">
        <f>(TEXT(I202,"yyyymmdd"))&amp;$S$2&amp;A202&amp;$S$2&amp;B202&amp;$Q$2</f>
        <v>-2746-北縣板嘉店(定保)</v>
      </c>
      <c r="Q202" s="357" t="str" cm="1">
        <f t="array" ref="Q202">IF(AND(SUMPRODUCT((IM!$F$2:$F$2000=A202)*(ISNUMBER(SEARCH("EDC", IM!$AC$2:$AC$2000))))&gt;0), "EDC", "")</f>
        <v/>
      </c>
      <c r="R202" s="358" t="str" cm="1">
        <f t="array" ref="R202">IF(AND(SUMPRODUCT((IM!$F$2:$F$2000=A202)*(ISNUMBER(SEARCH("STAR", IM!$AC$2:$AC$2000))))&gt;0), "STAR", "")</f>
        <v/>
      </c>
      <c r="S202" s="359" t="str" cm="1">
        <f t="array" ref="S202">IFERROR(INDEX(IM!$X$2:$X$650, MATCH(1, (IM!$F$2:$F$650=A202) * (ISNUMBER(SEARCH($D$1, IM!$AC$2:$AC$650))), 0)), "")</f>
        <v/>
      </c>
      <c r="T202" s="355">
        <f>IF(AND(X202&lt;&gt;"", Y202&lt;&gt;""), 2, IF(OR(X202&lt;&gt;"", Y202&lt;&gt;""), 1, 0))</f>
        <v>2</v>
      </c>
      <c r="U202" s="355"/>
      <c r="V202" s="373">
        <f>IF(OR(R202="STAR", T202="", U202=""), T202,
"總數：" &amp; T202 &amp; CHAR(10) &amp;
"已維修：" &amp; U202 &amp; CHAR(10) &amp;
"未更換：" &amp; (T202 - U202))</f>
        <v>2</v>
      </c>
      <c r="W202" s="360" t="str">
        <f>IF(VLOOKUP(A202,'0919門市清單主檔'!B:E,4,FALSE)=0,"",VLOOKUP(A202,'0919門市清單主檔'!B:E,4,FALSE))</f>
        <v/>
      </c>
      <c r="X202" s="3" t="s">
        <v>4366</v>
      </c>
      <c r="Y202" s="5" t="s">
        <v>4367</v>
      </c>
      <c r="Z202" s="5" t="str">
        <f>IF(T202&gt;0,"STAR","")</f>
        <v>STAR</v>
      </c>
    </row>
    <row r="203" spans="1:26" ht="15.75" customHeight="1">
      <c r="A203" s="174">
        <v>4788</v>
      </c>
      <c r="B203" s="175" t="str">
        <f>VLOOKUP(A203,'0919門市清單主檔'!B:C,2,FALSE)</f>
        <v>淡水國家店</v>
      </c>
      <c r="C203" s="176" t="str">
        <f>VLOOKUP($A203,'0919門市清單主檔'!B:V,20,FALSE)</f>
        <v>新北市</v>
      </c>
      <c r="D203" s="177" t="str">
        <f>VLOOKUP($A203,'0919門市清單主檔'!B:V,21,FALSE)</f>
        <v>淡水區</v>
      </c>
      <c r="E203" s="178" t="str">
        <f>VLOOKUP(D203,區域表!A:B,2,FALSE)</f>
        <v>吳宗鴻</v>
      </c>
      <c r="F203" s="179" t="str">
        <f>IFERROR(IF(VLOOKUP(A203,門市狀態!A:D,4,FALSE)=0,"",VLOOKUP(A203,門市狀態!A:D,4,FALSE)),"")</f>
        <v/>
      </c>
      <c r="G203" s="180" t="s">
        <v>1742</v>
      </c>
      <c r="H203" s="181" t="str">
        <f>IF(I203&gt;0,(TEXT(I203,"yyyymmdd")&amp;$S$2&amp;A203&amp;$S$2&amp;B203&amp;$Q$2),"")</f>
        <v>-4788-淡水國家店(定保)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69" t="str">
        <f>Q203&amp;IF(R203&lt;&gt;"",$P$2,"")&amp;R203</f>
        <v/>
      </c>
      <c r="N203" s="339" t="str" cm="1">
        <f t="array" ref="N203">IF(AND(
    SUMPRODUCT(
        (IM!$F$2:$F$2000=A203) *
        ISNUMBER(SEARCH("HUB", IM!$AC$2:$AC$2000)) *
        (IM!$X$2:$X$2000&gt;=$A$1) *
        (IM!$X$2:$X$2000&lt;=$B$1)*(W203="HUB")
    ) &gt; 0
), "HUB", "")</f>
        <v/>
      </c>
      <c r="O203" s="371" t="str">
        <f>IF(I203="","未到店",
IF(AND(S203&gt;I203, R203="STAR", NOT(AND(G203&lt;&gt;"萊到店 WebPOS", Q203&lt;&gt;"EDC"))), "完工已補裝",
IF(AND(G203&lt;&gt;"萊到店 WebPOS", Q203&lt;&gt;"EDC"), "EDC異常",
IF(AND(W203="HUB", N203=""), "HUB異常",
IF(OR(AND(Z203="STAR", R203="STAR"), AND(Z203&lt;&gt;"STAR", R203="")), "已完工", "STAR異常")
))))</f>
        <v>未到店</v>
      </c>
      <c r="P203" s="238" t="str">
        <f>(TEXT(I203,"yyyymmdd"))&amp;$S$2&amp;A203&amp;$S$2&amp;B203&amp;$Q$2</f>
        <v>-4788-淡水國家店(定保)</v>
      </c>
      <c r="Q203" s="357" t="str" cm="1">
        <f t="array" ref="Q203">IF(AND(SUMPRODUCT((IM!$F$2:$F$2000=A203)*(ISNUMBER(SEARCH("EDC", IM!$AC$2:$AC$2000))))&gt;0), "EDC", "")</f>
        <v/>
      </c>
      <c r="R203" s="358" t="str" cm="1">
        <f t="array" ref="R203">IF(AND(SUMPRODUCT((IM!$F$2:$F$2000=A203)*(ISNUMBER(SEARCH("STAR", IM!$AC$2:$AC$2000))))&gt;0), "STAR", "")</f>
        <v/>
      </c>
      <c r="S203" s="359" t="str" cm="1">
        <f t="array" ref="S203">IFERROR(INDEX(IM!$X$2:$X$650, MATCH(1, (IM!$F$2:$F$650=A203) * (ISNUMBER(SEARCH($D$1, IM!$AC$2:$AC$650))), 0)), "")</f>
        <v/>
      </c>
      <c r="T203" s="355">
        <f>IF(AND(X203&lt;&gt;"", Y203&lt;&gt;""), 2, IF(OR(X203&lt;&gt;"", Y203&lt;&gt;""), 1, 0))</f>
        <v>2</v>
      </c>
      <c r="U203" s="355"/>
      <c r="V203" s="373">
        <f>IF(OR(R203="STAR", T203="", U203=""), T203,
"總數：" &amp; T203 &amp; CHAR(10) &amp;
"已維修：" &amp; U203 &amp; CHAR(10) &amp;
"未更換：" &amp; (T203 - U203))</f>
        <v>2</v>
      </c>
      <c r="W203" s="360" t="str">
        <f>IF(VLOOKUP(A203,'0919門市清單主檔'!B:E,4,FALSE)=0,"",VLOOKUP(A203,'0919門市清單主檔'!B:E,4,FALSE))</f>
        <v/>
      </c>
      <c r="X203" s="3" t="s">
        <v>4336</v>
      </c>
      <c r="Y203" s="5" t="s">
        <v>4337</v>
      </c>
      <c r="Z203" s="5" t="str">
        <f>IF(T203&gt;0,"STAR","")</f>
        <v>STAR</v>
      </c>
    </row>
    <row r="204" spans="1:26" ht="15.75" customHeight="1">
      <c r="A204" s="174">
        <v>4298</v>
      </c>
      <c r="B204" s="175" t="str">
        <f>VLOOKUP(A204,'0919門市清單主檔'!B:C,2,FALSE)</f>
        <v>淡水後洲店</v>
      </c>
      <c r="C204" s="176" t="str">
        <f>VLOOKUP($A204,'0919門市清單主檔'!B:V,20,FALSE)</f>
        <v>新北市</v>
      </c>
      <c r="D204" s="177" t="str">
        <f>VLOOKUP($A204,'0919門市清單主檔'!B:V,21,FALSE)</f>
        <v>淡水區</v>
      </c>
      <c r="E204" s="178" t="str">
        <f>VLOOKUP(D204,區域表!A:B,2,FALSE)</f>
        <v>吳宗鴻</v>
      </c>
      <c r="F204" s="179" t="str">
        <f>IFERROR(IF(VLOOKUP(A204,門市狀態!A:D,4,FALSE)=0,"",VLOOKUP(A204,門市狀態!A:D,4,FALSE)),"")</f>
        <v/>
      </c>
      <c r="G204" s="180" t="s">
        <v>1742</v>
      </c>
      <c r="H204" s="181" t="str">
        <f>IF(I204&gt;0,(TEXT(I204,"yyyymmdd")&amp;$S$2&amp;A204&amp;$S$2&amp;B204&amp;$Q$2),"")</f>
        <v>-4298-淡水後洲店(定保)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69" t="str">
        <f>Q204&amp;IF(R204&lt;&gt;"",$P$2,"")&amp;R204</f>
        <v/>
      </c>
      <c r="N204" s="339" t="str" cm="1">
        <f t="array" ref="N204">IF(AND(
    SUMPRODUCT(
        (IM!$F$2:$F$2000=A204) *
        ISNUMBER(SEARCH("HUB", IM!$AC$2:$AC$2000)) *
        (IM!$X$2:$X$2000&gt;=$A$1) *
        (IM!$X$2:$X$2000&lt;=$B$1)*(W204="HUB")
    ) &gt; 0
), "HUB", "")</f>
        <v/>
      </c>
      <c r="O204" s="371" t="str">
        <f>IF(I204="","未到店",
IF(AND(S204&gt;I204, R204="STAR", NOT(AND(G204&lt;&gt;"萊到店 WebPOS", Q204&lt;&gt;"EDC"))), "完工已補裝",
IF(AND(G204&lt;&gt;"萊到店 WebPOS", Q204&lt;&gt;"EDC"), "EDC異常",
IF(AND(W204="HUB", N204=""), "HUB異常",
IF(OR(AND(Z204="STAR", R204="STAR"), AND(Z204&lt;&gt;"STAR", R204="")), "已完工", "STAR異常")
))))</f>
        <v>未到店</v>
      </c>
      <c r="P204" s="238" t="str">
        <f>(TEXT(I204,"yyyymmdd"))&amp;$S$2&amp;A204&amp;$S$2&amp;B204&amp;$Q$2</f>
        <v>-4298-淡水後洲店(定保)</v>
      </c>
      <c r="Q204" s="357" t="str" cm="1">
        <f t="array" ref="Q204">IF(AND(SUMPRODUCT((IM!$F$2:$F$2000=A204)*(ISNUMBER(SEARCH("EDC", IM!$AC$2:$AC$2000))))&gt;0), "EDC", "")</f>
        <v/>
      </c>
      <c r="R204" s="358" t="str" cm="1">
        <f t="array" ref="R204">IF(AND(SUMPRODUCT((IM!$F$2:$F$2000=A204)*(ISNUMBER(SEARCH("STAR", IM!$AC$2:$AC$2000))))&gt;0), "STAR", "")</f>
        <v/>
      </c>
      <c r="S204" s="359" t="str" cm="1">
        <f t="array" ref="S204">IFERROR(INDEX(IM!$X$2:$X$650, MATCH(1, (IM!$F$2:$F$650=A204) * (ISNUMBER(SEARCH($D$1, IM!$AC$2:$AC$650))), 0)), "")</f>
        <v/>
      </c>
      <c r="T204" s="355">
        <f>IF(AND(X204&lt;&gt;"", Y204&lt;&gt;""), 2, IF(OR(X204&lt;&gt;"", Y204&lt;&gt;""), 1, 0))</f>
        <v>2</v>
      </c>
      <c r="U204" s="355"/>
      <c r="V204" s="373">
        <f>IF(OR(R204="STAR", T204="", U204=""), T204,
"總數：" &amp; T204 &amp; CHAR(10) &amp;
"已維修：" &amp; U204 &amp; CHAR(10) &amp;
"未更換：" &amp; (T204 - U204))</f>
        <v>2</v>
      </c>
      <c r="W204" s="360" t="str">
        <f>IF(VLOOKUP(A204,'0919門市清單主檔'!B:E,4,FALSE)=0,"",VLOOKUP(A204,'0919門市清單主檔'!B:E,4,FALSE))</f>
        <v/>
      </c>
      <c r="X204" s="3" t="s">
        <v>4338</v>
      </c>
      <c r="Y204" s="5" t="s">
        <v>4339</v>
      </c>
      <c r="Z204" s="5" t="str">
        <f>IF(T204&gt;0,"STAR","")</f>
        <v>STAR</v>
      </c>
    </row>
    <row r="205" spans="1:26" ht="15.75" customHeight="1">
      <c r="A205" s="174">
        <v>4541</v>
      </c>
      <c r="B205" s="175" t="str">
        <f>VLOOKUP(A205,'0919門市清單主檔'!B:C,2,FALSE)</f>
        <v>淡水海天店</v>
      </c>
      <c r="C205" s="176" t="str">
        <f>VLOOKUP($A205,'0919門市清單主檔'!B:V,20,FALSE)</f>
        <v>新北市</v>
      </c>
      <c r="D205" s="177" t="str">
        <f>VLOOKUP($A205,'0919門市清單主檔'!B:V,21,FALSE)</f>
        <v>淡水區</v>
      </c>
      <c r="E205" s="178" t="str">
        <f>VLOOKUP(D205,區域表!A:B,2,FALSE)</f>
        <v>吳宗鴻</v>
      </c>
      <c r="F205" s="179" t="str">
        <f>IFERROR(IF(VLOOKUP(A205,門市狀態!A:D,4,FALSE)=0,"",VLOOKUP(A205,門市狀態!A:D,4,FALSE)),"")</f>
        <v/>
      </c>
      <c r="G205" s="180" t="s">
        <v>1742</v>
      </c>
      <c r="H205" s="181" t="str">
        <f>IF(I205&gt;0,(TEXT(I205,"yyyymmdd")&amp;$S$2&amp;A205&amp;$S$2&amp;B205&amp;$Q$2),"")</f>
        <v>-4541-淡水海天店(定保)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69" t="str">
        <f>Q205&amp;IF(R205&lt;&gt;"",$P$2,"")&amp;R205</f>
        <v/>
      </c>
      <c r="N205" s="339" t="str" cm="1">
        <f t="array" ref="N205">IF(AND(
    SUMPRODUCT(
        (IM!$F$2:$F$2000=A205) *
        ISNUMBER(SEARCH("HUB", IM!$AC$2:$AC$2000)) *
        (IM!$X$2:$X$2000&gt;=$A$1) *
        (IM!$X$2:$X$2000&lt;=$B$1)*(W205="HUB")
    ) &gt; 0
), "HUB", "")</f>
        <v/>
      </c>
      <c r="O205" s="371" t="str">
        <f>IF(I205="","未到店",
IF(AND(S205&gt;I205, R205="STAR", NOT(AND(G205&lt;&gt;"萊到店 WebPOS", Q205&lt;&gt;"EDC"))), "完工已補裝",
IF(AND(G205&lt;&gt;"萊到店 WebPOS", Q205&lt;&gt;"EDC"), "EDC異常",
IF(AND(W205="HUB", N205=""), "HUB異常",
IF(OR(AND(Z205="STAR", R205="STAR"), AND(Z205&lt;&gt;"STAR", R205="")), "已完工", "STAR異常")
))))</f>
        <v>未到店</v>
      </c>
      <c r="P205" s="238" t="str">
        <f>(TEXT(I205,"yyyymmdd"))&amp;$S$2&amp;A205&amp;$S$2&amp;B205&amp;$Q$2</f>
        <v>-4541-淡水海天店(定保)</v>
      </c>
      <c r="Q205" s="357" t="str" cm="1">
        <f t="array" ref="Q205">IF(AND(SUMPRODUCT((IM!$F$2:$F$2000=A205)*(ISNUMBER(SEARCH("EDC", IM!$AC$2:$AC$2000))))&gt;0), "EDC", "")</f>
        <v/>
      </c>
      <c r="R205" s="358" t="str" cm="1">
        <f t="array" ref="R205">IF(AND(SUMPRODUCT((IM!$F$2:$F$2000=A205)*(ISNUMBER(SEARCH("STAR", IM!$AC$2:$AC$2000))))&gt;0), "STAR", "")</f>
        <v/>
      </c>
      <c r="S205" s="359" t="str" cm="1">
        <f t="array" ref="S205">IFERROR(INDEX(IM!$X$2:$X$650, MATCH(1, (IM!$F$2:$F$650=A205) * (ISNUMBER(SEARCH($D$1, IM!$AC$2:$AC$650))), 0)), "")</f>
        <v/>
      </c>
      <c r="T205" s="355">
        <f>IF(AND(X205&lt;&gt;"", Y205&lt;&gt;""), 2, IF(OR(X205&lt;&gt;"", Y205&lt;&gt;""), 1, 0))</f>
        <v>0</v>
      </c>
      <c r="U205" s="355"/>
      <c r="V205" s="373">
        <f>IF(OR(R205="STAR", T205="", U205=""), T205,
"總數：" &amp; T205 &amp; CHAR(10) &amp;
"已維修：" &amp; U205 &amp; CHAR(10) &amp;
"未更換：" &amp; (T205 - U205))</f>
        <v>0</v>
      </c>
      <c r="W205" s="360" t="str">
        <f>IF(VLOOKUP(A205,'0919門市清單主檔'!B:E,4,FALSE)=0,"",VLOOKUP(A205,'0919門市清單主檔'!B:E,4,FALSE))</f>
        <v/>
      </c>
      <c r="Y205" s="5"/>
      <c r="Z205" s="5" t="str">
        <f>IF(T205&gt;0,"STAR","")</f>
        <v/>
      </c>
    </row>
    <row r="206" spans="1:26" ht="15.75" customHeight="1">
      <c r="A206" s="174">
        <v>4802</v>
      </c>
      <c r="B206" s="175" t="str">
        <f>VLOOKUP(A206,'0919門市清單主檔'!B:C,2,FALSE)</f>
        <v>淡水沙崙店</v>
      </c>
      <c r="C206" s="176" t="str">
        <f>VLOOKUP($A206,'0919門市清單主檔'!B:V,20,FALSE)</f>
        <v>新北市</v>
      </c>
      <c r="D206" s="177" t="str">
        <f>VLOOKUP($A206,'0919門市清單主檔'!B:V,21,FALSE)</f>
        <v>淡水區</v>
      </c>
      <c r="E206" s="178" t="str">
        <f>VLOOKUP(D206,區域表!A:B,2,FALSE)</f>
        <v>吳宗鴻</v>
      </c>
      <c r="F206" s="179" t="str">
        <f>IFERROR(IF(VLOOKUP(A206,門市狀態!A:D,4,FALSE)=0,"",VLOOKUP(A206,門市狀態!A:D,4,FALSE)),"")</f>
        <v/>
      </c>
      <c r="G206" s="180" t="s">
        <v>1742</v>
      </c>
      <c r="H206" s="181" t="str">
        <f>IF(I206&gt;0,(TEXT(I206,"yyyymmdd")&amp;$S$2&amp;A206&amp;$S$2&amp;B206&amp;$Q$2),"")</f>
        <v>-4802-淡水沙崙店(定保)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69" t="str">
        <f>Q206&amp;IF(R206&lt;&gt;"",$P$2,"")&amp;R206</f>
        <v/>
      </c>
      <c r="N206" s="339" t="str" cm="1">
        <f t="array" ref="N206">IF(AND(
    SUMPRODUCT(
        (IM!$F$2:$F$2000=A206) *
        ISNUMBER(SEARCH("HUB", IM!$AC$2:$AC$2000)) *
        (IM!$X$2:$X$2000&gt;=$A$1) *
        (IM!$X$2:$X$2000&lt;=$B$1)*(W206="HUB")
    ) &gt; 0
), "HUB", "")</f>
        <v/>
      </c>
      <c r="O206" s="371" t="str">
        <f>IF(I206="","未到店",
IF(AND(S206&gt;I206, R206="STAR", NOT(AND(G206&lt;&gt;"萊到店 WebPOS", Q206&lt;&gt;"EDC"))), "完工已補裝",
IF(AND(G206&lt;&gt;"萊到店 WebPOS", Q206&lt;&gt;"EDC"), "EDC異常",
IF(AND(W206="HUB", N206=""), "HUB異常",
IF(OR(AND(Z206="STAR", R206="STAR"), AND(Z206&lt;&gt;"STAR", R206="")), "已完工", "STAR異常")
))))</f>
        <v>未到店</v>
      </c>
      <c r="P206" s="238" t="str">
        <f>(TEXT(I206,"yyyymmdd"))&amp;$S$2&amp;A206&amp;$S$2&amp;B206&amp;$Q$2</f>
        <v>-4802-淡水沙崙店(定保)</v>
      </c>
      <c r="Q206" s="357" t="str" cm="1">
        <f t="array" ref="Q206">IF(AND(SUMPRODUCT((IM!$F$2:$F$2000=A206)*(ISNUMBER(SEARCH("EDC", IM!$AC$2:$AC$2000))))&gt;0), "EDC", "")</f>
        <v/>
      </c>
      <c r="R206" s="358" t="str" cm="1">
        <f t="array" ref="R206">IF(AND(SUMPRODUCT((IM!$F$2:$F$2000=A206)*(ISNUMBER(SEARCH("STAR", IM!$AC$2:$AC$2000))))&gt;0), "STAR", "")</f>
        <v/>
      </c>
      <c r="S206" s="359" t="str" cm="1">
        <f t="array" ref="S206">IFERROR(INDEX(IM!$X$2:$X$650, MATCH(1, (IM!$F$2:$F$650=A206) * (ISNUMBER(SEARCH($D$1, IM!$AC$2:$AC$650))), 0)), "")</f>
        <v/>
      </c>
      <c r="T206" s="355">
        <f>IF(AND(X206&lt;&gt;"", Y206&lt;&gt;""), 2, IF(OR(X206&lt;&gt;"", Y206&lt;&gt;""), 1, 0))</f>
        <v>0</v>
      </c>
      <c r="U206" s="355"/>
      <c r="V206" s="373">
        <f>IF(OR(R206="STAR", T206="", U206=""), T206,
"總數：" &amp; T206 &amp; CHAR(10) &amp;
"已維修：" &amp; U206 &amp; CHAR(10) &amp;
"未更換：" &amp; (T206 - U206))</f>
        <v>0</v>
      </c>
      <c r="W206" s="360" t="str">
        <f>IF(VLOOKUP(A206,'0919門市清單主檔'!B:E,4,FALSE)=0,"",VLOOKUP(A206,'0919門市清單主檔'!B:E,4,FALSE))</f>
        <v/>
      </c>
      <c r="Y206" s="5"/>
      <c r="Z206" s="5" t="str">
        <f>IF(T206&gt;0,"STAR","")</f>
        <v/>
      </c>
    </row>
    <row r="207" spans="1:26" ht="15.75" customHeight="1">
      <c r="A207" s="174">
        <v>2224</v>
      </c>
      <c r="B207" s="175" t="str">
        <f>VLOOKUP(A207,'0919門市清單主檔'!B:C,2,FALSE)</f>
        <v>板橋莒光店</v>
      </c>
      <c r="C207" s="176" t="str">
        <f>VLOOKUP($A207,'0919門市清單主檔'!B:V,20,FALSE)</f>
        <v>新北市</v>
      </c>
      <c r="D207" s="177" t="str">
        <f>VLOOKUP($A207,'0919門市清單主檔'!B:V,21,FALSE)</f>
        <v>板橋區</v>
      </c>
      <c r="E207" s="178" t="str">
        <f>VLOOKUP(D207,區域表!A:B,2,FALSE)</f>
        <v>狄澤洋</v>
      </c>
      <c r="F207" s="179" t="str">
        <f>IFERROR(IF(VLOOKUP(A207,門市狀態!A:D,4,FALSE)=0,"",VLOOKUP(A207,門市狀態!A:D,4,FALSE)),"")</f>
        <v/>
      </c>
      <c r="G207" s="180" t="s">
        <v>1742</v>
      </c>
      <c r="H207" s="181" t="str">
        <f>IF(I207&gt;0,(TEXT(I207,"yyyymmdd")&amp;$S$2&amp;A207&amp;$S$2&amp;B207&amp;$Q$2),"")</f>
        <v>-2224-板橋莒光店(定保)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69" t="str">
        <f>Q207&amp;IF(R207&lt;&gt;"",$P$2,"")&amp;R207</f>
        <v/>
      </c>
      <c r="N207" s="339" t="str" cm="1">
        <f t="array" ref="N207">IF(AND(
    SUMPRODUCT(
        (IM!$F$2:$F$2000=A207) *
        ISNUMBER(SEARCH("HUB", IM!$AC$2:$AC$2000)) *
        (IM!$X$2:$X$2000&gt;=$A$1) *
        (IM!$X$2:$X$2000&lt;=$B$1)*(W207="HUB")
    ) &gt; 0
), "HUB", "")</f>
        <v/>
      </c>
      <c r="O207" s="371" t="str">
        <f>IF(I207="","未到店",
IF(AND(S207&gt;I207, R207="STAR", NOT(AND(G207&lt;&gt;"萊到店 WebPOS", Q207&lt;&gt;"EDC"))), "完工已補裝",
IF(AND(G207&lt;&gt;"萊到店 WebPOS", Q207&lt;&gt;"EDC"), "EDC異常",
IF(AND(W207="HUB", N207=""), "HUB異常",
IF(OR(AND(Z207="STAR", R207="STAR"), AND(Z207&lt;&gt;"STAR", R207="")), "已完工", "STAR異常")
))))</f>
        <v>未到店</v>
      </c>
      <c r="P207" s="238" t="str">
        <f>(TEXT(I207,"yyyymmdd"))&amp;$S$2&amp;A207&amp;$S$2&amp;B207&amp;$Q$2</f>
        <v>-2224-板橋莒光店(定保)</v>
      </c>
      <c r="Q207" s="357" t="str" cm="1">
        <f t="array" ref="Q207">IF(AND(SUMPRODUCT((IM!$F$2:$F$2000=A207)*(ISNUMBER(SEARCH("EDC", IM!$AC$2:$AC$2000))))&gt;0), "EDC", "")</f>
        <v/>
      </c>
      <c r="R207" s="358" t="str" cm="1">
        <f t="array" ref="R207">IF(AND(SUMPRODUCT((IM!$F$2:$F$2000=A207)*(ISNUMBER(SEARCH("STAR", IM!$AC$2:$AC$2000))))&gt;0), "STAR", "")</f>
        <v/>
      </c>
      <c r="S207" s="359" t="str" cm="1">
        <f t="array" ref="S207">IFERROR(INDEX(IM!$X$2:$X$650, MATCH(1, (IM!$F$2:$F$650=A207) * (ISNUMBER(SEARCH($D$1, IM!$AC$2:$AC$650))), 0)), "")</f>
        <v/>
      </c>
      <c r="T207" s="355">
        <f>IF(AND(X207&lt;&gt;"", Y207&lt;&gt;""), 2, IF(OR(X207&lt;&gt;"", Y207&lt;&gt;""), 1, 0))</f>
        <v>2</v>
      </c>
      <c r="U207" s="355"/>
      <c r="V207" s="373">
        <f>IF(OR(R207="STAR", T207="", U207=""), T207,
"總數：" &amp; T207 &amp; CHAR(10) &amp;
"已維修：" &amp; U207 &amp; CHAR(10) &amp;
"未更換：" &amp; (T207 - U207))</f>
        <v>2</v>
      </c>
      <c r="W207" s="360" t="str">
        <f>IF(VLOOKUP(A207,'0919門市清單主檔'!B:E,4,FALSE)=0,"",VLOOKUP(A207,'0919門市清單主檔'!B:E,4,FALSE))</f>
        <v/>
      </c>
      <c r="X207" s="3" t="s">
        <v>4372</v>
      </c>
      <c r="Y207" s="5" t="s">
        <v>4373</v>
      </c>
      <c r="Z207" s="5" t="str">
        <f>IF(T207&gt;0,"STAR","")</f>
        <v>STAR</v>
      </c>
    </row>
    <row r="208" spans="1:26" ht="15.75" customHeight="1">
      <c r="A208" s="174" t="s">
        <v>31</v>
      </c>
      <c r="B208" s="175" t="str">
        <f>VLOOKUP(A208,'0919門市清單主檔'!B:C,2,FALSE)</f>
        <v>北縣僑中三店</v>
      </c>
      <c r="C208" s="176" t="str">
        <f>VLOOKUP($A208,'0919門市清單主檔'!B:V,20,FALSE)</f>
        <v>新北市</v>
      </c>
      <c r="D208" s="177" t="str">
        <f>VLOOKUP($A208,'0919門市清單主檔'!B:V,21,FALSE)</f>
        <v>板橋區</v>
      </c>
      <c r="E208" s="178" t="str">
        <f>VLOOKUP(D208,區域表!A:B,2,FALSE)</f>
        <v>狄澤洋</v>
      </c>
      <c r="F208" s="179" t="str">
        <f>IFERROR(IF(VLOOKUP(A208,門市狀態!A:D,4,FALSE)=0,"",VLOOKUP(A208,門市狀態!A:D,4,FALSE)),"")</f>
        <v/>
      </c>
      <c r="G208" s="180" t="s">
        <v>1742</v>
      </c>
      <c r="H208" s="181" t="str">
        <f>IF(I208&gt;0,(TEXT(I208,"yyyymmdd")&amp;$S$2&amp;A208&amp;$S$2&amp;B208&amp;$Q$2),"")</f>
        <v>-D161-北縣僑中三店(定保)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69" t="str">
        <f>Q208&amp;IF(R208&lt;&gt;"",$P$2,"")&amp;R208</f>
        <v/>
      </c>
      <c r="N208" s="339" t="str" cm="1">
        <f t="array" ref="N208">IF(AND(
    SUMPRODUCT(
        (IM!$F$2:$F$2000=A208) *
        ISNUMBER(SEARCH("HUB", IM!$AC$2:$AC$2000)) *
        (IM!$X$2:$X$2000&gt;=$A$1) *
        (IM!$X$2:$X$2000&lt;=$B$1)*(W208="HUB")
    ) &gt; 0
), "HUB", "")</f>
        <v/>
      </c>
      <c r="O208" s="371" t="str">
        <f>IF(I208="","未到店",
IF(AND(S208&gt;I208, R208="STAR", NOT(AND(G208&lt;&gt;"萊到店 WebPOS", Q208&lt;&gt;"EDC"))), "完工已補裝",
IF(AND(G208&lt;&gt;"萊到店 WebPOS", Q208&lt;&gt;"EDC"), "EDC異常",
IF(AND(W208="HUB", N208=""), "HUB異常",
IF(OR(AND(Z208="STAR", R208="STAR"), AND(Z208&lt;&gt;"STAR", R208="")), "已完工", "STAR異常")
))))</f>
        <v>未到店</v>
      </c>
      <c r="P208" s="238" t="str">
        <f>(TEXT(I208,"yyyymmdd"))&amp;$S$2&amp;A208&amp;$S$2&amp;B208&amp;$Q$2</f>
        <v>-D161-北縣僑中三店(定保)</v>
      </c>
      <c r="Q208" s="357" t="str" cm="1">
        <f t="array" ref="Q208">IF(AND(SUMPRODUCT((IM!$F$2:$F$2000=A208)*(ISNUMBER(SEARCH("EDC", IM!$AC$2:$AC$2000))))&gt;0), "EDC", "")</f>
        <v/>
      </c>
      <c r="R208" s="358" t="str" cm="1">
        <f t="array" ref="R208">IF(AND(SUMPRODUCT((IM!$F$2:$F$2000=A208)*(ISNUMBER(SEARCH("STAR", IM!$AC$2:$AC$2000))))&gt;0), "STAR", "")</f>
        <v/>
      </c>
      <c r="S208" s="359" t="str" cm="1">
        <f t="array" ref="S208">IFERROR(INDEX(IM!$X$2:$X$650, MATCH(1, (IM!$F$2:$F$650=A208) * (ISNUMBER(SEARCH($D$1, IM!$AC$2:$AC$650))), 0)), "")</f>
        <v/>
      </c>
      <c r="T208" s="355">
        <f>IF(AND(X208&lt;&gt;"", Y208&lt;&gt;""), 2, IF(OR(X208&lt;&gt;"", Y208&lt;&gt;""), 1, 0))</f>
        <v>2</v>
      </c>
      <c r="U208" s="355"/>
      <c r="V208" s="373">
        <f>IF(OR(R208="STAR", T208="", U208=""), T208,
"總數：" &amp; T208 &amp; CHAR(10) &amp;
"已維修：" &amp; U208 &amp; CHAR(10) &amp;
"未更換：" &amp; (T208 - U208))</f>
        <v>2</v>
      </c>
      <c r="W208" s="360" t="str">
        <f>IF(VLOOKUP(A208,'0919門市清單主檔'!B:E,4,FALSE)=0,"",VLOOKUP(A208,'0919門市清單主檔'!B:E,4,FALSE))</f>
        <v/>
      </c>
      <c r="X208" s="3" t="s">
        <v>4360</v>
      </c>
      <c r="Y208" s="5" t="s">
        <v>4361</v>
      </c>
      <c r="Z208" s="5" t="str">
        <f>IF(T208&gt;0,"STAR","")</f>
        <v>STAR</v>
      </c>
    </row>
    <row r="209" spans="1:27" ht="15.75" customHeight="1">
      <c r="A209" s="174">
        <v>4145</v>
      </c>
      <c r="B209" s="175" t="str">
        <f>VLOOKUP(A209,'0919門市清單主檔'!B:C,2,FALSE)</f>
        <v>板橋僑興店</v>
      </c>
      <c r="C209" s="176" t="str">
        <f>VLOOKUP($A209,'0919門市清單主檔'!B:V,20,FALSE)</f>
        <v>新北市</v>
      </c>
      <c r="D209" s="177" t="str">
        <f>VLOOKUP($A209,'0919門市清單主檔'!B:V,21,FALSE)</f>
        <v>板橋區</v>
      </c>
      <c r="E209" s="178" t="str">
        <f>VLOOKUP(D209,區域表!A:B,2,FALSE)</f>
        <v>狄澤洋</v>
      </c>
      <c r="F209" s="179" t="str">
        <f>IFERROR(IF(VLOOKUP(A209,門市狀態!A:D,4,FALSE)=0,"",VLOOKUP(A209,門市狀態!A:D,4,FALSE)),"")</f>
        <v/>
      </c>
      <c r="G209" s="180" t="s">
        <v>1742</v>
      </c>
      <c r="H209" s="181" t="str">
        <f>IF(I209&gt;0,(TEXT(I209,"yyyymmdd")&amp;$S$2&amp;A209&amp;$S$2&amp;B209&amp;$Q$2),"")</f>
        <v>-4145-板橋僑興店(定保)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69" t="str">
        <f>Q209&amp;IF(R209&lt;&gt;"",$P$2,"")&amp;R209</f>
        <v/>
      </c>
      <c r="N209" s="339" t="str" cm="1">
        <f t="array" ref="N209">IF(AND(
    SUMPRODUCT(
        (IM!$F$2:$F$2000=A209) *
        ISNUMBER(SEARCH("HUB", IM!$AC$2:$AC$2000)) *
        (IM!$X$2:$X$2000&gt;=$A$1) *
        (IM!$X$2:$X$2000&lt;=$B$1)*(W209="HUB")
    ) &gt; 0
), "HUB", "")</f>
        <v/>
      </c>
      <c r="O209" s="371" t="str">
        <f>IF(I209="","未到店",
IF(AND(S209&gt;I209, R209="STAR", NOT(AND(G209&lt;&gt;"萊到店 WebPOS", Q209&lt;&gt;"EDC"))), "完工已補裝",
IF(AND(G209&lt;&gt;"萊到店 WebPOS", Q209&lt;&gt;"EDC"), "EDC異常",
IF(AND(W209="HUB", N209=""), "HUB異常",
IF(OR(AND(Z209="STAR", R209="STAR"), AND(Z209&lt;&gt;"STAR", R209="")), "已完工", "STAR異常")
))))</f>
        <v>未到店</v>
      </c>
      <c r="P209" s="238" t="str">
        <f>(TEXT(I209,"yyyymmdd"))&amp;$S$2&amp;A209&amp;$S$2&amp;B209&amp;$Q$2</f>
        <v>-4145-板橋僑興店(定保)</v>
      </c>
      <c r="Q209" s="357" t="str" cm="1">
        <f t="array" ref="Q209">IF(AND(SUMPRODUCT((IM!$F$2:$F$2000=A209)*(ISNUMBER(SEARCH("EDC", IM!$AC$2:$AC$2000))))&gt;0), "EDC", "")</f>
        <v/>
      </c>
      <c r="R209" s="358" t="str" cm="1">
        <f t="array" ref="R209">IF(AND(SUMPRODUCT((IM!$F$2:$F$2000=A209)*(ISNUMBER(SEARCH("STAR", IM!$AC$2:$AC$2000))))&gt;0), "STAR", "")</f>
        <v/>
      </c>
      <c r="S209" s="359" t="str" cm="1">
        <f t="array" ref="S209">IFERROR(INDEX(IM!$X$2:$X$650, MATCH(1, (IM!$F$2:$F$650=A209) * (ISNUMBER(SEARCH($D$1, IM!$AC$2:$AC$650))), 0)), "")</f>
        <v/>
      </c>
      <c r="T209" s="355">
        <f>IF(AND(X209&lt;&gt;"", Y209&lt;&gt;""), 2, IF(OR(X209&lt;&gt;"", Y209&lt;&gt;""), 1, 0))</f>
        <v>2</v>
      </c>
      <c r="U209" s="355"/>
      <c r="V209" s="373">
        <f>IF(OR(R209="STAR", T209="", U209=""), T209,
"總數：" &amp; T209 &amp; CHAR(10) &amp;
"已維修：" &amp; U209 &amp; CHAR(10) &amp;
"未更換：" &amp; (T209 - U209))</f>
        <v>2</v>
      </c>
      <c r="W209" s="360" t="str">
        <f>IF(VLOOKUP(A209,'0919門市清單主檔'!B:E,4,FALSE)=0,"",VLOOKUP(A209,'0919門市清單主檔'!B:E,4,FALSE))</f>
        <v/>
      </c>
      <c r="X209" s="3" t="s">
        <v>4378</v>
      </c>
      <c r="Y209" s="5" t="s">
        <v>4379</v>
      </c>
      <c r="Z209" s="5" t="str">
        <f>IF(T209&gt;0,"STAR","")</f>
        <v>STAR</v>
      </c>
    </row>
    <row r="210" spans="1:27" ht="15.75" customHeight="1">
      <c r="A210" s="174" t="s">
        <v>33</v>
      </c>
      <c r="B210" s="175" t="str">
        <f>VLOOKUP(A210,'0919門市清單主檔'!B:C,2,FALSE)</f>
        <v>板橋大興店</v>
      </c>
      <c r="C210" s="176" t="str">
        <f>VLOOKUP($A210,'0919門市清單主檔'!B:V,20,FALSE)</f>
        <v>新北市</v>
      </c>
      <c r="D210" s="177" t="str">
        <f>VLOOKUP($A210,'0919門市清單主檔'!B:V,21,FALSE)</f>
        <v>板橋區</v>
      </c>
      <c r="E210" s="178" t="str">
        <f>VLOOKUP(D210,區域表!A:B,2,FALSE)</f>
        <v>狄澤洋</v>
      </c>
      <c r="F210" s="179" t="str">
        <f>IFERROR(IF(VLOOKUP(A210,門市狀態!A:D,4,FALSE)=0,"",VLOOKUP(A210,門市狀態!A:D,4,FALSE)),"")</f>
        <v/>
      </c>
      <c r="G210" s="180" t="s">
        <v>1742</v>
      </c>
      <c r="H210" s="181" t="str">
        <f>IF(I210&gt;0,(TEXT(I210,"yyyymmdd")&amp;$S$2&amp;A210&amp;$S$2&amp;B210&amp;$Q$2),"")</f>
        <v>-D609-板橋大興店(定保)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69" t="str">
        <f>Q210&amp;IF(R210&lt;&gt;"",$P$2,"")&amp;R210</f>
        <v/>
      </c>
      <c r="N210" s="339" t="str" cm="1">
        <f t="array" ref="N210">IF(AND(
    SUMPRODUCT(
        (IM!$F$2:$F$2000=A210) *
        ISNUMBER(SEARCH("HUB", IM!$AC$2:$AC$2000)) *
        (IM!$X$2:$X$2000&gt;=$A$1) *
        (IM!$X$2:$X$2000&lt;=$B$1)*(W210="HUB")
    ) &gt; 0
), "HUB", "")</f>
        <v/>
      </c>
      <c r="O210" s="371" t="str">
        <f>IF(I210="","未到店",
IF(AND(S210&gt;I210, R210="STAR", NOT(AND(G210&lt;&gt;"萊到店 WebPOS", Q210&lt;&gt;"EDC"))), "完工已補裝",
IF(AND(G210&lt;&gt;"萊到店 WebPOS", Q210&lt;&gt;"EDC"), "EDC異常",
IF(AND(W210="HUB", N210=""), "HUB異常",
IF(OR(AND(Z210="STAR", R210="STAR"), AND(Z210&lt;&gt;"STAR", R210="")), "已完工", "STAR異常")
))))</f>
        <v>未到店</v>
      </c>
      <c r="P210" s="238" t="str">
        <f>(TEXT(I210,"yyyymmdd"))&amp;$S$2&amp;A210&amp;$S$2&amp;B210&amp;$Q$2</f>
        <v>-D609-板橋大興店(定保)</v>
      </c>
      <c r="Q210" s="357" t="str" cm="1">
        <f t="array" ref="Q210">IF(AND(SUMPRODUCT((IM!$F$2:$F$2000=A210)*(ISNUMBER(SEARCH("EDC", IM!$AC$2:$AC$2000))))&gt;0), "EDC", "")</f>
        <v/>
      </c>
      <c r="R210" s="358" t="str" cm="1">
        <f t="array" ref="R210">IF(AND(SUMPRODUCT((IM!$F$2:$F$2000=A210)*(ISNUMBER(SEARCH("STAR", IM!$AC$2:$AC$2000))))&gt;0), "STAR", "")</f>
        <v/>
      </c>
      <c r="S210" s="359" t="str" cm="1">
        <f t="array" ref="S210">IFERROR(INDEX(IM!$X$2:$X$650, MATCH(1, (IM!$F$2:$F$650=A210) * (ISNUMBER(SEARCH($D$1, IM!$AC$2:$AC$650))), 0)), "")</f>
        <v/>
      </c>
      <c r="T210" s="355">
        <f>IF(AND(X210&lt;&gt;"", Y210&lt;&gt;""), 2, IF(OR(X210&lt;&gt;"", Y210&lt;&gt;""), 1, 0))</f>
        <v>2</v>
      </c>
      <c r="U210" s="355"/>
      <c r="V210" s="373">
        <f>IF(OR(R210="STAR", T210="", U210=""), T210,
"總數：" &amp; T210 &amp; CHAR(10) &amp;
"已維修：" &amp; U210 &amp; CHAR(10) &amp;
"未更換：" &amp; (T210 - U210))</f>
        <v>2</v>
      </c>
      <c r="W210" s="360" t="str">
        <f>IF(VLOOKUP(A210,'0919門市清單主檔'!B:E,4,FALSE)=0,"",VLOOKUP(A210,'0919門市清單主檔'!B:E,4,FALSE))</f>
        <v/>
      </c>
      <c r="X210" s="3" t="s">
        <v>4380</v>
      </c>
      <c r="Y210" s="5" t="s">
        <v>4381</v>
      </c>
      <c r="Z210" s="5" t="str">
        <f>IF(T210&gt;0,"STAR","")</f>
        <v>STAR</v>
      </c>
    </row>
    <row r="211" spans="1:27" ht="15.75" customHeight="1">
      <c r="A211" s="174">
        <v>4552</v>
      </c>
      <c r="B211" s="175" t="str">
        <f>VLOOKUP(A211,'0919門市清單主檔'!B:C,2,FALSE)</f>
        <v>新莊福慧店</v>
      </c>
      <c r="C211" s="176" t="str">
        <f>VLOOKUP($A211,'0919門市清單主檔'!B:V,20,FALSE)</f>
        <v>新北市</v>
      </c>
      <c r="D211" s="177" t="str">
        <f>VLOOKUP($A211,'0919門市清單主檔'!B:V,21,FALSE)</f>
        <v>新莊區</v>
      </c>
      <c r="E211" s="178" t="str">
        <f>VLOOKUP(D211,區域表!A:B,2,FALSE)</f>
        <v>湯家瑋</v>
      </c>
      <c r="F211" s="179" t="str">
        <f>IFERROR(IF(VLOOKUP(A211,門市狀態!A:D,4,FALSE)=0,"",VLOOKUP(A211,門市狀態!A:D,4,FALSE)),"")</f>
        <v/>
      </c>
      <c r="G211" s="180" t="s">
        <v>1742</v>
      </c>
      <c r="H211" s="181" t="str">
        <f>IF(I211&gt;0,(TEXT(I211,"yyyymmdd")&amp;$S$2&amp;A211&amp;$S$2&amp;B211&amp;$Q$2),"")</f>
        <v>-4552-新莊福慧店(定保)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69" t="str">
        <f>Q211&amp;IF(R211&lt;&gt;"",$P$2,"")&amp;R211</f>
        <v/>
      </c>
      <c r="N211" s="339" t="str" cm="1">
        <f t="array" ref="N211">IF(AND(
    SUMPRODUCT(
        (IM!$F$2:$F$2000=A211) *
        ISNUMBER(SEARCH("HUB", IM!$AC$2:$AC$2000)) *
        (IM!$X$2:$X$2000&gt;=$A$1) *
        (IM!$X$2:$X$2000&lt;=$B$1)*(W211="HUB")
    ) &gt; 0
), "HUB", "")</f>
        <v/>
      </c>
      <c r="O211" s="371" t="str">
        <f>IF(I211="","未到店",
IF(AND(S211&gt;I211, R211="STAR", NOT(AND(G211&lt;&gt;"萊到店 WebPOS", Q211&lt;&gt;"EDC"))), "完工已補裝",
IF(AND(G211&lt;&gt;"萊到店 WebPOS", Q211&lt;&gt;"EDC"), "EDC異常",
IF(AND(W211="HUB", N211=""), "HUB異常",
IF(OR(AND(Z211="STAR", R211="STAR"), AND(Z211&lt;&gt;"STAR", R211="")), "已完工", "STAR異常")
))))</f>
        <v>未到店</v>
      </c>
      <c r="P211" s="238" t="str">
        <f>(TEXT(I211,"yyyymmdd"))&amp;$S$2&amp;A211&amp;$S$2&amp;B211&amp;$Q$2</f>
        <v>-4552-新莊福慧店(定保)</v>
      </c>
      <c r="Q211" s="357" t="str" cm="1">
        <f t="array" ref="Q211">IF(AND(SUMPRODUCT((IM!$F$2:$F$2000=A211)*(ISNUMBER(SEARCH("EDC", IM!$AC$2:$AC$2000))))&gt;0), "EDC", "")</f>
        <v/>
      </c>
      <c r="R211" s="358" t="str" cm="1">
        <f t="array" ref="R211">IF(AND(SUMPRODUCT((IM!$F$2:$F$2000=A211)*(ISNUMBER(SEARCH("STAR", IM!$AC$2:$AC$2000))))&gt;0), "STAR", "")</f>
        <v/>
      </c>
      <c r="S211" s="359" t="str" cm="1">
        <f t="array" ref="S211">IFERROR(INDEX(IM!$X$2:$X$650, MATCH(1, (IM!$F$2:$F$650=A211) * (ISNUMBER(SEARCH($D$1, IM!$AC$2:$AC$650))), 0)), "")</f>
        <v/>
      </c>
      <c r="T211" s="355">
        <f>IF(AND(X211&lt;&gt;"", Y211&lt;&gt;""), 2, IF(OR(X211&lt;&gt;"", Y211&lt;&gt;""), 1, 0))</f>
        <v>1</v>
      </c>
      <c r="U211" s="355"/>
      <c r="V211" s="373">
        <f>IF(OR(R211="STAR", T211="", U211=""), T211,
"總數：" &amp; T211 &amp; CHAR(10) &amp;
"已維修：" &amp; U211 &amp; CHAR(10) &amp;
"未更換：" &amp; (T211 - U211))</f>
        <v>1</v>
      </c>
      <c r="W211" s="360" t="str">
        <f>IF(VLOOKUP(A211,'0919門市清單主檔'!B:E,4,FALSE)=0,"",VLOOKUP(A211,'0919門市清單主檔'!B:E,4,FALSE))</f>
        <v/>
      </c>
      <c r="X211" s="3" t="s">
        <v>4404</v>
      </c>
      <c r="Y211" s="5"/>
      <c r="Z211" s="5" t="str">
        <f>IF(T211&gt;0,"STAR","")</f>
        <v>STAR</v>
      </c>
    </row>
    <row r="212" spans="1:27" ht="15.75" customHeight="1">
      <c r="A212" s="174">
        <v>3955</v>
      </c>
      <c r="B212" s="175" t="str">
        <f>VLOOKUP(A212,'0919門市清單主檔'!B:C,2,FALSE)</f>
        <v>板橋海龍店</v>
      </c>
      <c r="C212" s="176" t="str">
        <f>VLOOKUP($A212,'0919門市清單主檔'!B:V,20,FALSE)</f>
        <v>新北市</v>
      </c>
      <c r="D212" s="177" t="str">
        <f>VLOOKUP($A212,'0919門市清單主檔'!B:V,21,FALSE)</f>
        <v>板橋區</v>
      </c>
      <c r="E212" s="178" t="str">
        <f>VLOOKUP(D212,區域表!A:B,2,FALSE)</f>
        <v>狄澤洋</v>
      </c>
      <c r="F212" s="179" t="str">
        <f>IFERROR(IF(VLOOKUP(A212,門市狀態!A:D,4,FALSE)=0,"",VLOOKUP(A212,門市狀態!A:D,4,FALSE)),"")</f>
        <v/>
      </c>
      <c r="G212" s="180" t="s">
        <v>1742</v>
      </c>
      <c r="H212" s="181" t="str">
        <f>IF(I212&gt;0,(TEXT(I212,"yyyymmdd")&amp;$S$2&amp;A212&amp;$S$2&amp;B212&amp;$Q$2),"")</f>
        <v>-3955-板橋海龍店(定保)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69" t="str">
        <f>Q212&amp;IF(R212&lt;&gt;"",$P$2,"")&amp;R212</f>
        <v/>
      </c>
      <c r="N212" s="339" t="str" cm="1">
        <f t="array" ref="N212">IF(AND(
    SUMPRODUCT(
        (IM!$F$2:$F$2000=A212) *
        ISNUMBER(SEARCH("HUB", IM!$AC$2:$AC$2000)) *
        (IM!$X$2:$X$2000&gt;=$A$1) *
        (IM!$X$2:$X$2000&lt;=$B$1)*(W212="HUB")
    ) &gt; 0
), "HUB", "")</f>
        <v/>
      </c>
      <c r="O212" s="371" t="str">
        <f>IF(I212="","未到店",
IF(AND(S212&gt;I212, R212="STAR", NOT(AND(G212&lt;&gt;"萊到店 WebPOS", Q212&lt;&gt;"EDC"))), "完工已補裝",
IF(AND(G212&lt;&gt;"萊到店 WebPOS", Q212&lt;&gt;"EDC"), "EDC異常",
IF(AND(W212="HUB", N212=""), "HUB異常",
IF(OR(AND(Z212="STAR", R212="STAR"), AND(Z212&lt;&gt;"STAR", R212="")), "已完工", "STAR異常")
))))</f>
        <v>未到店</v>
      </c>
      <c r="P212" s="238" t="str">
        <f>(TEXT(I212,"yyyymmdd"))&amp;$S$2&amp;A212&amp;$S$2&amp;B212&amp;$Q$2</f>
        <v>-3955-板橋海龍店(定保)</v>
      </c>
      <c r="Q212" s="357" t="str" cm="1">
        <f t="array" ref="Q212">IF(AND(SUMPRODUCT((IM!$F$2:$F$2000=A212)*(ISNUMBER(SEARCH("EDC", IM!$AC$2:$AC$2000))))&gt;0), "EDC", "")</f>
        <v/>
      </c>
      <c r="R212" s="358" t="str" cm="1">
        <f t="array" ref="R212">IF(AND(SUMPRODUCT((IM!$F$2:$F$2000=A212)*(ISNUMBER(SEARCH("STAR", IM!$AC$2:$AC$2000))))&gt;0), "STAR", "")</f>
        <v/>
      </c>
      <c r="S212" s="359" t="str" cm="1">
        <f t="array" ref="S212">IFERROR(INDEX(IM!$X$2:$X$650, MATCH(1, (IM!$F$2:$F$650=A212) * (ISNUMBER(SEARCH($D$1, IM!$AC$2:$AC$650))), 0)), "")</f>
        <v/>
      </c>
      <c r="T212" s="355">
        <f>IF(AND(X212&lt;&gt;"", Y212&lt;&gt;""), 2, IF(OR(X212&lt;&gt;"", Y212&lt;&gt;""), 1, 0))</f>
        <v>2</v>
      </c>
      <c r="U212" s="355"/>
      <c r="V212" s="373">
        <f>IF(OR(R212="STAR", T212="", U212=""), T212,
"總數：" &amp; T212 &amp; CHAR(10) &amp;
"已維修：" &amp; U212 &amp; CHAR(10) &amp;
"未更換：" &amp; (T212 - U212))</f>
        <v>2</v>
      </c>
      <c r="W212" s="360" t="str">
        <f>IF(VLOOKUP(A212,'0919門市清單主檔'!B:E,4,FALSE)=0,"",VLOOKUP(A212,'0919門市清單主檔'!B:E,4,FALSE))</f>
        <v/>
      </c>
      <c r="X212" s="3" t="s">
        <v>4357</v>
      </c>
      <c r="Y212" s="5" t="s">
        <v>4358</v>
      </c>
      <c r="Z212" s="5" t="str">
        <f>IF(T212&gt;0,"STAR","")</f>
        <v>STAR</v>
      </c>
    </row>
    <row r="213" spans="1:27" ht="15.75" customHeight="1">
      <c r="A213" s="174" t="s">
        <v>46</v>
      </c>
      <c r="B213" s="175" t="str">
        <f>VLOOKUP(A213,'0919門市清單主檔'!B:C,2,FALSE)</f>
        <v>車麗屋新莊店</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1743</v>
      </c>
      <c r="H213" s="181" t="str">
        <f>IF(I213&gt;0,(TEXT(I213,"yyyymmdd")&amp;$S$2&amp;A213&amp;$S$2&amp;B213&amp;$Q$2),"")</f>
        <v>-L516-車麗屋新莊店(定保)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69" t="str">
        <f>Q213&amp;IF(R213&lt;&gt;"",$P$2,"")&amp;R213</f>
        <v/>
      </c>
      <c r="N213" s="339" t="str" cm="1">
        <f t="array" ref="N213">IF(AND(
    SUMPRODUCT(
        (IM!$F$2:$F$2000=A213) *
        ISNUMBER(SEARCH("HUB", IM!$AC$2:$AC$2000)) *
        (IM!$X$2:$X$2000&gt;=$A$1) *
        (IM!$X$2:$X$2000&lt;=$B$1)*(W213="HUB")
    ) &gt; 0
), "HUB", "")</f>
        <v/>
      </c>
      <c r="O213" s="371" t="str">
        <f>IF(I213="","未到店",
IF(AND(S213&gt;I213, R213="STAR", NOT(AND(G213&lt;&gt;"萊到店 WebPOS", Q213&lt;&gt;"EDC"))), "完工已補裝",
IF(AND(G213&lt;&gt;"萊到店 WebPOS", Q213&lt;&gt;"EDC"), "EDC異常",
IF(AND(W213="HUB", N213=""), "HUB異常",
IF(OR(AND(Z213="STAR", R213="STAR"), AND(Z213&lt;&gt;"STAR", R213="")), "已完工", "STAR異常")
))))</f>
        <v>未到店</v>
      </c>
      <c r="P213" s="238" t="str">
        <f>(TEXT(I213,"yyyymmdd"))&amp;$S$2&amp;A213&amp;$S$2&amp;B213&amp;$Q$2</f>
        <v>-L516-車麗屋新莊店(定保)</v>
      </c>
      <c r="Q213" s="357" t="str" cm="1">
        <f t="array" ref="Q213">IF(AND(SUMPRODUCT((IM!$F$2:$F$2000=A213)*(ISNUMBER(SEARCH("EDC", IM!$AC$2:$AC$2000))))&gt;0), "EDC", "")</f>
        <v/>
      </c>
      <c r="R213" s="358" t="str" cm="1">
        <f t="array" ref="R213">IF(AND(SUMPRODUCT((IM!$F$2:$F$2000=A213)*(ISNUMBER(SEARCH("STAR", IM!$AC$2:$AC$2000))))&gt;0), "STAR", "")</f>
        <v/>
      </c>
      <c r="S213" s="359" t="str" cm="1">
        <f t="array" ref="S213">IFERROR(INDEX(IM!$X$2:$X$650, MATCH(1, (IM!$F$2:$F$650=A213) * (ISNUMBER(SEARCH($D$1, IM!$AC$2:$AC$650))), 0)), "")</f>
        <v/>
      </c>
      <c r="T213" s="355">
        <f>IF(AND(X213&lt;&gt;"", Y213&lt;&gt;""), 2, IF(OR(X213&lt;&gt;"", Y213&lt;&gt;""), 1, 0))</f>
        <v>0</v>
      </c>
      <c r="U213" s="355"/>
      <c r="V213" s="373">
        <f>IF(OR(R213="STAR", T213="", U213=""), T213,
"總數：" &amp; T213 &amp; CHAR(10) &amp;
"已維修：" &amp; U213 &amp; CHAR(10) &amp;
"未更換：" &amp; (T213 - U213))</f>
        <v>0</v>
      </c>
      <c r="W213" s="360" t="str">
        <f>IF(VLOOKUP(A213,'0919門市清單主檔'!B:E,4,FALSE)=0,"",VLOOKUP(A213,'0919門市清單主檔'!B:E,4,FALSE))</f>
        <v/>
      </c>
      <c r="Y213" s="5"/>
      <c r="Z213" s="5" t="str">
        <f>IF(T213&gt;0,"STAR","")</f>
        <v/>
      </c>
    </row>
    <row r="214" spans="1:27" ht="15.75" customHeight="1">
      <c r="A214" s="174">
        <v>4679</v>
      </c>
      <c r="B214" s="175" t="str">
        <f>VLOOKUP(A214,'0919門市清單主檔'!B:C,2,FALSE)</f>
        <v>新莊幸運店</v>
      </c>
      <c r="C214" s="176" t="str">
        <f>VLOOKUP($A214,'0919門市清單主檔'!B:V,20,FALSE)</f>
        <v>新北市</v>
      </c>
      <c r="D214" s="177" t="str">
        <f>VLOOKUP($A214,'0919門市清單主檔'!B:V,21,FALSE)</f>
        <v>新莊區</v>
      </c>
      <c r="E214" s="178" t="str">
        <f>VLOOKUP(D214,區域表!A:B,2,FALSE)</f>
        <v>湯家瑋</v>
      </c>
      <c r="F214" s="179" t="str">
        <f>IFERROR(IF(VLOOKUP(A214,門市狀態!A:D,4,FALSE)=0,"",VLOOKUP(A214,門市狀態!A:D,4,FALSE)),"")</f>
        <v/>
      </c>
      <c r="G214" s="180" t="s">
        <v>1742</v>
      </c>
      <c r="H214" s="181" t="str">
        <f>IF(I214&gt;0,(TEXT(I214,"yyyymmdd")&amp;$S$2&amp;A214&amp;$S$2&amp;B214&amp;$Q$2),"")</f>
        <v>-4679-新莊幸運店(定保)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69" t="str">
        <f>Q214&amp;IF(R214&lt;&gt;"",$P$2,"")&amp;R214</f>
        <v/>
      </c>
      <c r="N214" s="339" t="str" cm="1">
        <f t="array" ref="N214">IF(AND(
    SUMPRODUCT(
        (IM!$F$2:$F$2000=A214) *
        ISNUMBER(SEARCH("HUB", IM!$AC$2:$AC$2000)) *
        (IM!$X$2:$X$2000&gt;=$A$1) *
        (IM!$X$2:$X$2000&lt;=$B$1)*(W214="HUB")
    ) &gt; 0
), "HUB", "")</f>
        <v/>
      </c>
      <c r="O214" s="371" t="str">
        <f>IF(I214="","未到店",
IF(AND(S214&gt;I214, R214="STAR", NOT(AND(G214&lt;&gt;"萊到店 WebPOS", Q214&lt;&gt;"EDC"))), "完工已補裝",
IF(AND(G214&lt;&gt;"萊到店 WebPOS", Q214&lt;&gt;"EDC"), "EDC異常",
IF(AND(W214="HUB", N214=""), "HUB異常",
IF(OR(AND(Z214="STAR", R214="STAR"), AND(Z214&lt;&gt;"STAR", R214="")), "已完工", "STAR異常")
))))</f>
        <v>未到店</v>
      </c>
      <c r="P214" s="238" t="str">
        <f>(TEXT(I214,"yyyymmdd"))&amp;$S$2&amp;A214&amp;$S$2&amp;B214&amp;$Q$2</f>
        <v>-4679-新莊幸運店(定保)</v>
      </c>
      <c r="Q214" s="357" t="str" cm="1">
        <f t="array" ref="Q214">IF(AND(SUMPRODUCT((IM!$F$2:$F$2000=A214)*(ISNUMBER(SEARCH("EDC", IM!$AC$2:$AC$2000))))&gt;0), "EDC", "")</f>
        <v/>
      </c>
      <c r="R214" s="358" t="str" cm="1">
        <f t="array" ref="R214">IF(AND(SUMPRODUCT((IM!$F$2:$F$2000=A214)*(ISNUMBER(SEARCH("STAR", IM!$AC$2:$AC$2000))))&gt;0), "STAR", "")</f>
        <v/>
      </c>
      <c r="S214" s="359" t="str" cm="1">
        <f t="array" ref="S214">IFERROR(INDEX(IM!$X$2:$X$650, MATCH(1, (IM!$F$2:$F$650=A214) * (ISNUMBER(SEARCH($D$1, IM!$AC$2:$AC$650))), 0)), "")</f>
        <v/>
      </c>
      <c r="T214" s="355">
        <f>IF(AND(X214&lt;&gt;"", Y214&lt;&gt;""), 2, IF(OR(X214&lt;&gt;"", Y214&lt;&gt;""), 1, 0))</f>
        <v>0</v>
      </c>
      <c r="U214" s="355"/>
      <c r="V214" s="373">
        <f>IF(OR(R214="STAR", T214="", U214=""), T214,
"總數：" &amp; T214 &amp; CHAR(10) &amp;
"已維修：" &amp; U214 &amp; CHAR(10) &amp;
"未更換：" &amp; (T214 - U214))</f>
        <v>0</v>
      </c>
      <c r="W214" s="360" t="str">
        <f>IF(VLOOKUP(A214,'0919門市清單主檔'!B:E,4,FALSE)=0,"",VLOOKUP(A214,'0919門市清單主檔'!B:E,4,FALSE))</f>
        <v/>
      </c>
      <c r="Y214" s="5"/>
      <c r="Z214" s="5" t="str">
        <f>IF(T214&gt;0,"STAR","")</f>
        <v/>
      </c>
    </row>
    <row r="215" spans="1:27" ht="15.75" customHeight="1">
      <c r="A215" s="174">
        <v>3962</v>
      </c>
      <c r="B215" s="175" t="str">
        <f>VLOOKUP(A215,'0919門市清單主檔'!B:C,2,FALSE)</f>
        <v>板橋仁化店</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IF(I215&gt;0,(TEXT(I215,"yyyymmdd")&amp;$S$2&amp;A215&amp;$S$2&amp;B215&amp;$Q$2),"")</f>
        <v>-3962-板橋仁化店(定保)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69" t="str">
        <f>Q215&amp;IF(R215&lt;&gt;"",$P$2,"")&amp;R215</f>
        <v/>
      </c>
      <c r="N215" s="339" t="str" cm="1">
        <f t="array" ref="N215">IF(AND(
    SUMPRODUCT(
        (IM!$F$2:$F$2000=A215) *
        ISNUMBER(SEARCH("HUB", IM!$AC$2:$AC$2000)) *
        (IM!$X$2:$X$2000&gt;=$A$1) *
        (IM!$X$2:$X$2000&lt;=$B$1)*(W215="HUB")
    ) &gt; 0
), "HUB", "")</f>
        <v/>
      </c>
      <c r="O215" s="371" t="str">
        <f>IF(I215="","未到店",
IF(AND(S215&gt;I215, R215="STAR", NOT(AND(G215&lt;&gt;"萊到店 WebPOS", Q215&lt;&gt;"EDC"))), "完工已補裝",
IF(AND(G215&lt;&gt;"萊到店 WebPOS", Q215&lt;&gt;"EDC"), "EDC異常",
IF(AND(W215="HUB", N215=""), "HUB異常",
IF(OR(AND(Z215="STAR", R215="STAR"), AND(Z215&lt;&gt;"STAR", R215="")), "已完工", "STAR異常")
))))</f>
        <v>未到店</v>
      </c>
      <c r="P215" s="238" t="str">
        <f>(TEXT(I215,"yyyymmdd"))&amp;$S$2&amp;A215&amp;$S$2&amp;B215&amp;$Q$2</f>
        <v>-3962-板橋仁化店(定保)</v>
      </c>
      <c r="Q215" s="357" t="str" cm="1">
        <f t="array" ref="Q215">IF(AND(SUMPRODUCT((IM!$F$2:$F$2000=A215)*(ISNUMBER(SEARCH("EDC", IM!$AC$2:$AC$2000))))&gt;0), "EDC", "")</f>
        <v/>
      </c>
      <c r="R215" s="358" t="str" cm="1">
        <f t="array" ref="R215">IF(AND(SUMPRODUCT((IM!$F$2:$F$2000=A215)*(ISNUMBER(SEARCH("STAR", IM!$AC$2:$AC$2000))))&gt;0), "STAR", "")</f>
        <v/>
      </c>
      <c r="S215" s="359" t="str" cm="1">
        <f t="array" ref="S215">IFERROR(INDEX(IM!$X$2:$X$650, MATCH(1, (IM!$F$2:$F$650=A215) * (ISNUMBER(SEARCH($D$1, IM!$AC$2:$AC$650))), 0)), "")</f>
        <v/>
      </c>
      <c r="T215" s="355">
        <f>IF(AND(X215&lt;&gt;"", Y215&lt;&gt;""), 2, IF(OR(X215&lt;&gt;"", Y215&lt;&gt;""), 1, 0))</f>
        <v>2</v>
      </c>
      <c r="U215" s="355"/>
      <c r="V215" s="373">
        <f>IF(OR(R215="STAR", T215="", U215=""), T215,
"總數：" &amp; T215 &amp; CHAR(10) &amp;
"已維修：" &amp; U215 &amp; CHAR(10) &amp;
"未更換：" &amp; (T215 - U215))</f>
        <v>2</v>
      </c>
      <c r="W215" s="360" t="str">
        <f>IF(VLOOKUP(A215,'0919門市清單主檔'!B:E,4,FALSE)=0,"",VLOOKUP(A215,'0919門市清單主檔'!B:E,4,FALSE))</f>
        <v/>
      </c>
      <c r="X215" s="3" t="s">
        <v>4353</v>
      </c>
      <c r="Y215" s="5" t="s">
        <v>4354</v>
      </c>
      <c r="Z215" s="5" t="str">
        <f>IF(T215&gt;0,"STAR","")</f>
        <v>STAR</v>
      </c>
    </row>
    <row r="216" spans="1:27" ht="15.75" customHeight="1">
      <c r="A216" s="174">
        <v>3399</v>
      </c>
      <c r="B216" s="175" t="str">
        <f>VLOOKUP(A216,'0919門市清單主檔'!B:C,2,FALSE)</f>
        <v>板橋藝文中心</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IF(I216&gt;0,(TEXT(I216,"yyyymmdd")&amp;$S$2&amp;A216&amp;$S$2&amp;B216&amp;$Q$2),"")</f>
        <v>-3399-板橋藝文中心(定保)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69" t="str">
        <f>Q216&amp;IF(R216&lt;&gt;"",$P$2,"")&amp;R216</f>
        <v/>
      </c>
      <c r="N216" s="339" t="str" cm="1">
        <f t="array" ref="N216">IF(AND(
    SUMPRODUCT(
        (IM!$F$2:$F$2000=A216) *
        ISNUMBER(SEARCH("HUB", IM!$AC$2:$AC$2000)) *
        (IM!$X$2:$X$2000&gt;=$A$1) *
        (IM!$X$2:$X$2000&lt;=$B$1)*(W216="HUB")
    ) &gt; 0
), "HUB", "")</f>
        <v/>
      </c>
      <c r="O216" s="371" t="str">
        <f>IF(I216="","未到店",
IF(AND(S216&gt;I216, R216="STAR", NOT(AND(G216&lt;&gt;"萊到店 WebPOS", Q216&lt;&gt;"EDC"))), "完工已補裝",
IF(AND(G216&lt;&gt;"萊到店 WebPOS", Q216&lt;&gt;"EDC"), "EDC異常",
IF(AND(W216="HUB", N216=""), "HUB異常",
IF(OR(AND(Z216="STAR", R216="STAR"), AND(Z216&lt;&gt;"STAR", R216="")), "已完工", "STAR異常")
))))</f>
        <v>未到店</v>
      </c>
      <c r="P216" s="238" t="str">
        <f>(TEXT(I216,"yyyymmdd"))&amp;$S$2&amp;A216&amp;$S$2&amp;B216&amp;$Q$2</f>
        <v>-3399-板橋藝文中心(定保)</v>
      </c>
      <c r="Q216" s="357" t="str" cm="1">
        <f t="array" ref="Q216">IF(AND(SUMPRODUCT((IM!$F$2:$F$2000=A216)*(ISNUMBER(SEARCH("EDC", IM!$AC$2:$AC$2000))))&gt;0), "EDC", "")</f>
        <v/>
      </c>
      <c r="R216" s="358" t="str" cm="1">
        <f t="array" ref="R216">IF(AND(SUMPRODUCT((IM!$F$2:$F$2000=A216)*(ISNUMBER(SEARCH("STAR", IM!$AC$2:$AC$2000))))&gt;0), "STAR", "")</f>
        <v/>
      </c>
      <c r="S216" s="359" t="str" cm="1">
        <f t="array" ref="S216">IFERROR(INDEX(IM!$X$2:$X$650, MATCH(1, (IM!$F$2:$F$650=A216) * (ISNUMBER(SEARCH($D$1, IM!$AC$2:$AC$650))), 0)), "")</f>
        <v/>
      </c>
      <c r="T216" s="355">
        <f>IF(AND(X216&lt;&gt;"", Y216&lt;&gt;""), 2, IF(OR(X216&lt;&gt;"", Y216&lt;&gt;""), 1, 0))</f>
        <v>2</v>
      </c>
      <c r="U216" s="355"/>
      <c r="V216" s="373">
        <f>IF(OR(R216="STAR", T216="", U216=""), T216,
"總數：" &amp; T216 &amp; CHAR(10) &amp;
"已維修：" &amp; U216 &amp; CHAR(10) &amp;
"未更換：" &amp; (T216 - U216))</f>
        <v>2</v>
      </c>
      <c r="W216" s="360" t="str">
        <f>IF(VLOOKUP(A216,'0919門市清單主檔'!B:E,4,FALSE)=0,"",VLOOKUP(A216,'0919門市清單主檔'!B:E,4,FALSE))</f>
        <v/>
      </c>
      <c r="X216" s="3" t="s">
        <v>4370</v>
      </c>
      <c r="Y216" s="5" t="s">
        <v>4371</v>
      </c>
      <c r="Z216" s="5" t="str">
        <f>IF(T216&gt;0,"STAR","")</f>
        <v>STAR</v>
      </c>
    </row>
    <row r="217" spans="1:27" ht="15.75" customHeight="1">
      <c r="A217" s="174">
        <v>3551</v>
      </c>
      <c r="B217" s="175" t="str">
        <f>VLOOKUP(A217,'0919門市清單主檔'!B:C,2,FALSE)</f>
        <v>北縣板豐店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IF(I217&gt;0,(TEXT(I217,"yyyymmdd")&amp;$S$2&amp;A217&amp;$S$2&amp;B217&amp;$Q$2),"")</f>
        <v>-3551-北縣板豐店(定保)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69" t="str">
        <f>Q217&amp;IF(R217&lt;&gt;"",$P$2,"")&amp;R217</f>
        <v/>
      </c>
      <c r="N217" s="339" t="str" cm="1">
        <f t="array" ref="N217">IF(AND(
    SUMPRODUCT(
        (IM!$F$2:$F$2000=A217) *
        ISNUMBER(SEARCH("HUB", IM!$AC$2:$AC$2000)) *
        (IM!$X$2:$X$2000&gt;=$A$1) *
        (IM!$X$2:$X$2000&lt;=$B$1)*(W217="HUB")
    ) &gt; 0
), "HUB", "")</f>
        <v/>
      </c>
      <c r="O217" s="371" t="str">
        <f>IF(I217="","未到店",
IF(AND(S217&gt;I217, R217="STAR", NOT(AND(G217&lt;&gt;"萊到店 WebPOS", Q217&lt;&gt;"EDC"))), "完工已補裝",
IF(AND(G217&lt;&gt;"萊到店 WebPOS", Q217&lt;&gt;"EDC"), "EDC異常",
IF(AND(W217="HUB", N217=""), "HUB異常",
IF(OR(AND(Z217="STAR", R217="STAR"), AND(Z217&lt;&gt;"STAR", R217="")), "已完工", "STAR異常")
))))</f>
        <v>未到店</v>
      </c>
      <c r="P217" s="238" t="str">
        <f>(TEXT(I217,"yyyymmdd"))&amp;$S$2&amp;A217&amp;$S$2&amp;B217&amp;$Q$2</f>
        <v>-3551-北縣板豐店(定保)</v>
      </c>
      <c r="Q217" s="357" t="str" cm="1">
        <f t="array" ref="Q217">IF(AND(SUMPRODUCT((IM!$F$2:$F$2000=A217)*(ISNUMBER(SEARCH("EDC", IM!$AC$2:$AC$2000))))&gt;0), "EDC", "")</f>
        <v/>
      </c>
      <c r="R217" s="358" t="str" cm="1">
        <f t="array" ref="R217">IF(AND(SUMPRODUCT((IM!$F$2:$F$2000=A217)*(ISNUMBER(SEARCH("STAR", IM!$AC$2:$AC$2000))))&gt;0), "STAR", "")</f>
        <v/>
      </c>
      <c r="S217" s="359" t="str" cm="1">
        <f t="array" ref="S217">IFERROR(INDEX(IM!$X$2:$X$650, MATCH(1, (IM!$F$2:$F$650=A217) * (ISNUMBER(SEARCH($D$1, IM!$AC$2:$AC$650))), 0)), "")</f>
        <v/>
      </c>
      <c r="T217" s="355">
        <f>IF(AND(X217&lt;&gt;"", Y217&lt;&gt;""), 2, IF(OR(X217&lt;&gt;"", Y217&lt;&gt;""), 1, 0))</f>
        <v>2</v>
      </c>
      <c r="U217" s="355"/>
      <c r="V217" s="373">
        <f>IF(OR(R217="STAR", T217="", U217=""), T217,
"總數：" &amp; T217 &amp; CHAR(10) &amp;
"已維修：" &amp; U217 &amp; CHAR(10) &amp;
"未更換：" &amp; (T217 - U217))</f>
        <v>2</v>
      </c>
      <c r="W217" s="360" t="str">
        <f>IF(VLOOKUP(A217,'0919門市清單主檔'!B:E,4,FALSE)=0,"",VLOOKUP(A217,'0919門市清單主檔'!B:E,4,FALSE))</f>
        <v/>
      </c>
      <c r="X217" s="3" t="s">
        <v>4364</v>
      </c>
      <c r="Y217" s="5" t="s">
        <v>4365</v>
      </c>
      <c r="Z217" s="5" t="str">
        <f>IF(T217&gt;0,"STAR","")</f>
        <v>STAR</v>
      </c>
    </row>
    <row r="218" spans="1:27" ht="15.75" customHeight="1">
      <c r="A218" s="174" t="s">
        <v>30</v>
      </c>
      <c r="B218" s="175" t="str">
        <f>VLOOKUP(A218,'0919門市清單主檔'!B:C,2,FALSE)</f>
        <v>北縣府中店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IF(I218&gt;0,(TEXT(I218,"yyyymmdd")&amp;$S$2&amp;A218&amp;$S$2&amp;B218&amp;$Q$2),"")</f>
        <v>-D111-北縣府中店(定保)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69" t="str">
        <f>Q218&amp;IF(R218&lt;&gt;"",$P$2,"")&amp;R218</f>
        <v/>
      </c>
      <c r="N218" s="339" t="str" cm="1">
        <f t="array" ref="N218">IF(AND(
    SUMPRODUCT(
        (IM!$F$2:$F$2000=A218) *
        ISNUMBER(SEARCH("HUB", IM!$AC$2:$AC$2000)) *
        (IM!$X$2:$X$2000&gt;=$A$1) *
        (IM!$X$2:$X$2000&lt;=$B$1)*(W218="HUB")
    ) &gt; 0
), "HUB", "")</f>
        <v/>
      </c>
      <c r="O218" s="371" t="str">
        <f>IF(I218="","未到店",
IF(AND(S218&gt;I218, R218="STAR", NOT(AND(G218&lt;&gt;"萊到店 WebPOS", Q218&lt;&gt;"EDC"))), "完工已補裝",
IF(AND(G218&lt;&gt;"萊到店 WebPOS", Q218&lt;&gt;"EDC"), "EDC異常",
IF(AND(W218="HUB", N218=""), "HUB異常",
IF(OR(AND(Z218="STAR", R218="STAR"), AND(Z218&lt;&gt;"STAR", R218="")), "已完工", "STAR異常")
))))</f>
        <v>未到店</v>
      </c>
      <c r="P218" s="238" t="str">
        <f>(TEXT(I218,"yyyymmdd"))&amp;$S$2&amp;A218&amp;$S$2&amp;B218&amp;$Q$2</f>
        <v>-D111-北縣府中店(定保)</v>
      </c>
      <c r="Q218" s="357" t="str" cm="1">
        <f t="array" ref="Q218">IF(AND(SUMPRODUCT((IM!$F$2:$F$2000=A218)*(ISNUMBER(SEARCH("EDC", IM!$AC$2:$AC$2000))))&gt;0), "EDC", "")</f>
        <v/>
      </c>
      <c r="R218" s="358" t="str" cm="1">
        <f t="array" ref="R218">IF(AND(SUMPRODUCT((IM!$F$2:$F$2000=A218)*(ISNUMBER(SEARCH("STAR", IM!$AC$2:$AC$2000))))&gt;0), "STAR", "")</f>
        <v/>
      </c>
      <c r="S218" s="359" t="str" cm="1">
        <f t="array" ref="S218">IFERROR(INDEX(IM!$X$2:$X$650, MATCH(1, (IM!$F$2:$F$650=A218) * (ISNUMBER(SEARCH($D$1, IM!$AC$2:$AC$650))), 0)), "")</f>
        <v/>
      </c>
      <c r="T218" s="355">
        <f>IF(AND(X218&lt;&gt;"", Y218&lt;&gt;""), 2, IF(OR(X218&lt;&gt;"", Y218&lt;&gt;""), 1, 0))</f>
        <v>2</v>
      </c>
      <c r="U218" s="355"/>
      <c r="V218" s="373">
        <f>IF(OR(R218="STAR", T218="", U218=""), T218,
"總數：" &amp; T218 &amp; CHAR(10) &amp;
"已維修：" &amp; U218 &amp; CHAR(10) &amp;
"未更換：" &amp; (T218 - U218))</f>
        <v>2</v>
      </c>
      <c r="W218" s="360" t="str">
        <f>IF(VLOOKUP(A218,'0919門市清單主檔'!B:E,4,FALSE)=0,"",VLOOKUP(A218,'0919門市清單主檔'!B:E,4,FALSE))</f>
        <v/>
      </c>
      <c r="X218" s="3" t="s">
        <v>4390</v>
      </c>
      <c r="Y218" s="5" t="s">
        <v>4391</v>
      </c>
      <c r="Z218" s="5" t="str">
        <f>IF(T218&gt;0,"STAR","")</f>
        <v>STAR</v>
      </c>
    </row>
    <row r="219" spans="1:27" ht="15.75" customHeight="1">
      <c r="A219" s="174" t="s">
        <v>32</v>
      </c>
      <c r="B219" s="175" t="str">
        <f>VLOOKUP(A219,'0919門市清單主檔'!B:C,2,FALSE)</f>
        <v>板橋成都店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IF(I219&gt;0,(TEXT(I219,"yyyymmdd")&amp;$S$2&amp;A219&amp;$S$2&amp;B219&amp;$Q$2),"")</f>
        <v>-D349-板橋成都店(定保)</v>
      </c>
      <c r="I219" s="192" t="s">
        <v>1742</v>
      </c>
      <c r="J219" s="240"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69" t="str">
        <f>Q219&amp;IF(R219&lt;&gt;"",$P$2,"")&amp;R219</f>
        <v/>
      </c>
      <c r="N219" s="339" t="str" cm="1">
        <f t="array" ref="N219">IF(AND(
    SUMPRODUCT(
        (IM!$F$2:$F$2000=A219) *
        ISNUMBER(SEARCH("HUB", IM!$AC$2:$AC$2000)) *
        (IM!$X$2:$X$2000&gt;=$A$1) *
        (IM!$X$2:$X$2000&lt;=$B$1)*(W219="HUB")
    ) &gt; 0
), "HUB", "")</f>
        <v/>
      </c>
      <c r="O219" s="371" t="str">
        <f>IF(I219="","未到店",
IF(AND(S219&gt;I219, R219="STAR", NOT(AND(G219&lt;&gt;"萊到店 WebPOS", Q219&lt;&gt;"EDC"))), "完工已補裝",
IF(AND(G219&lt;&gt;"萊到店 WebPOS", Q219&lt;&gt;"EDC"), "EDC異常",
IF(AND(W219="HUB", N219=""), "HUB異常",
IF(OR(AND(Z219="STAR", R219="STAR"), AND(Z219&lt;&gt;"STAR", R219="")), "已完工", "STAR異常")
))))</f>
        <v>未到店</v>
      </c>
      <c r="P219" s="238" t="str">
        <f>(TEXT(I219,"yyyymmdd"))&amp;$S$2&amp;A219&amp;$S$2&amp;B219&amp;$Q$2</f>
        <v>-D349-板橋成都店(定保)</v>
      </c>
      <c r="Q219" s="357" t="str" cm="1">
        <f t="array" ref="Q219">IF(AND(SUMPRODUCT((IM!$F$2:$F$2000=A219)*(ISNUMBER(SEARCH("EDC", IM!$AC$2:$AC$2000))))&gt;0), "EDC", "")</f>
        <v/>
      </c>
      <c r="R219" s="358" t="str" cm="1">
        <f t="array" ref="R219">IF(AND(SUMPRODUCT((IM!$F$2:$F$2000=A219)*(ISNUMBER(SEARCH("STAR", IM!$AC$2:$AC$2000))))&gt;0), "STAR", "")</f>
        <v/>
      </c>
      <c r="S219" s="359" t="str" cm="1">
        <f t="array" ref="S219">IFERROR(INDEX(IM!$X$2:$X$650, MATCH(1, (IM!$F$2:$F$650=A219) * (ISNUMBER(SEARCH($D$1, IM!$AC$2:$AC$650))), 0)), "")</f>
        <v/>
      </c>
      <c r="T219" s="355">
        <f>IF(AND(X219&lt;&gt;"", Y219&lt;&gt;""), 2, IF(OR(X219&lt;&gt;"", Y219&lt;&gt;""), 1, 0))</f>
        <v>0</v>
      </c>
      <c r="U219" s="355"/>
      <c r="V219" s="373">
        <f>IF(OR(R219="STAR", T219="", U219=""), T219,
"總數：" &amp; T219 &amp; CHAR(10) &amp;
"已維修：" &amp; U219 &amp; CHAR(10) &amp;
"未更換：" &amp; (T219 - U219))</f>
        <v>0</v>
      </c>
      <c r="W219" s="360" t="str">
        <f>IF(VLOOKUP(A219,'0919門市清單主檔'!B:E,4,FALSE)=0,"",VLOOKUP(A219,'0919門市清單主檔'!B:E,4,FALSE))</f>
        <v/>
      </c>
      <c r="Y219" s="5"/>
      <c r="Z219" s="5" t="str">
        <f>IF(T219&gt;0,"STAR","")</f>
        <v/>
      </c>
    </row>
    <row r="220" spans="1:27" ht="15.75" customHeight="1">
      <c r="A220" s="174">
        <v>3416</v>
      </c>
      <c r="B220" s="175" t="str">
        <f>VLOOKUP(A220,'0919門市清單主檔'!B:C,2,FALSE)</f>
        <v>板橋國慶店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1742</v>
      </c>
      <c r="H220" s="181" t="str">
        <f>IF(I220&gt;0,(TEXT(I220,"yyyymmdd")&amp;$S$2&amp;A220&amp;$S$2&amp;B220&amp;$Q$2),"")</f>
        <v>-3416-板橋國慶店(定保)</v>
      </c>
      <c r="I220" s="192" t="s">
        <v>1742</v>
      </c>
      <c r="J220" s="240"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69" t="str">
        <f>Q220&amp;IF(R220&lt;&gt;"",$P$2,"")&amp;R220</f>
        <v/>
      </c>
      <c r="N220" s="339" t="str" cm="1">
        <f t="array" ref="N220">IF(AND(
    SUMPRODUCT(
        (IM!$F$2:$F$2000=A220) *
        ISNUMBER(SEARCH("HUB", IM!$AC$2:$AC$2000)) *
        (IM!$X$2:$X$2000&gt;=$A$1) *
        (IM!$X$2:$X$2000&lt;=$B$1)*(W220="HUB")
    ) &gt; 0
), "HUB", "")</f>
        <v/>
      </c>
      <c r="O220" s="371" t="str">
        <f>IF(I220="","未到店",
IF(AND(S220&gt;I220, R220="STAR", NOT(AND(G220&lt;&gt;"萊到店 WebPOS", Q220&lt;&gt;"EDC"))), "完工已補裝",
IF(AND(G220&lt;&gt;"萊到店 WebPOS", Q220&lt;&gt;"EDC"), "EDC異常",
IF(AND(W220="HUB", N220=""), "HUB異常",
IF(OR(AND(Z220="STAR", R220="STAR"), AND(Z220&lt;&gt;"STAR", R220="")), "已完工", "STAR異常")
))))</f>
        <v>未到店</v>
      </c>
      <c r="P220" s="238" t="str">
        <f>(TEXT(I220,"yyyymmdd"))&amp;$S$2&amp;A220&amp;$S$2&amp;B220&amp;$Q$2</f>
        <v>-3416-板橋國慶店(定保)</v>
      </c>
      <c r="Q220" s="357" t="str" cm="1">
        <f t="array" ref="Q220">IF(AND(SUMPRODUCT((IM!$F$2:$F$2000=A220)*(ISNUMBER(SEARCH("EDC", IM!$AC$2:$AC$2000))))&gt;0), "EDC", "")</f>
        <v/>
      </c>
      <c r="R220" s="358" t="str" cm="1">
        <f t="array" ref="R220">IF(AND(SUMPRODUCT((IM!$F$2:$F$2000=A220)*(ISNUMBER(SEARCH("STAR", IM!$AC$2:$AC$2000))))&gt;0), "STAR", "")</f>
        <v/>
      </c>
      <c r="S220" s="359" t="str" cm="1">
        <f t="array" ref="S220">IFERROR(INDEX(IM!$X$2:$X$650, MATCH(1, (IM!$F$2:$F$650=A220) * (ISNUMBER(SEARCH($D$1, IM!$AC$2:$AC$650))), 0)), "")</f>
        <v/>
      </c>
      <c r="T220" s="355">
        <f>IF(AND(X220&lt;&gt;"", Y220&lt;&gt;""), 2, IF(OR(X220&lt;&gt;"", Y220&lt;&gt;""), 1, 0))</f>
        <v>2</v>
      </c>
      <c r="U220" s="355"/>
      <c r="V220" s="373">
        <f>IF(OR(R220="STAR", T220="", U220=""), T220,
"總數：" &amp; T220 &amp; CHAR(10) &amp;
"已維修：" &amp; U220 &amp; CHAR(10) &amp;
"未更換：" &amp; (T220 - U220))</f>
        <v>2</v>
      </c>
      <c r="W220" s="360" t="str">
        <f>IF(VLOOKUP(A220,'0919門市清單主檔'!B:E,4,FALSE)=0,"",VLOOKUP(A220,'0919門市清單主檔'!B:E,4,FALSE))</f>
        <v/>
      </c>
      <c r="X220" s="3" t="s">
        <v>4388</v>
      </c>
      <c r="Y220" s="5" t="s">
        <v>4389</v>
      </c>
      <c r="Z220" s="5" t="str">
        <f>IF(T220&gt;0,"STAR","")</f>
        <v>STAR</v>
      </c>
    </row>
    <row r="221" spans="1:27" ht="15.75" customHeight="1">
      <c r="A221" s="188" t="s">
        <v>35</v>
      </c>
      <c r="B221" s="175" t="str">
        <f>VLOOKUP(A221,'0919門市清單主檔'!B:C,2,FALSE)</f>
        <v>車麗屋板橋店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1743</v>
      </c>
      <c r="H221" s="181" t="str">
        <f>IF(I221&gt;0,(TEXT(I221,"yyyymmdd")&amp;$S$2&amp;A221&amp;$S$2&amp;B221&amp;$Q$2),"")</f>
        <v>-L501-車麗屋板橋店(定保)</v>
      </c>
      <c r="I221" s="192" t="s">
        <v>1742</v>
      </c>
      <c r="J221" s="240"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69" t="str">
        <f>Q221&amp;IF(R221&lt;&gt;"",$P$2,"")&amp;R221</f>
        <v/>
      </c>
      <c r="N221" s="339" t="str" cm="1">
        <f t="array" ref="N221">IF(AND(
    SUMPRODUCT(
        (IM!$F$2:$F$2000=A221) *
        ISNUMBER(SEARCH("HUB", IM!$AC$2:$AC$2000)) *
        (IM!$X$2:$X$2000&gt;=$A$1) *
        (IM!$X$2:$X$2000&lt;=$B$1)*(W221="HUB")
    ) &gt; 0
), "HUB", "")</f>
        <v/>
      </c>
      <c r="O221" s="371" t="str">
        <f>IF(I221="","未到店",
IF(AND(S221&gt;I221, R221="STAR", NOT(AND(G221&lt;&gt;"萊到店 WebPOS", Q221&lt;&gt;"EDC"))), "完工已補裝",
IF(AND(G221&lt;&gt;"萊到店 WebPOS", Q221&lt;&gt;"EDC"), "EDC異常",
IF(AND(W221="HUB", N221=""), "HUB異常",
IF(OR(AND(Z221="STAR", R221="STAR"), AND(Z221&lt;&gt;"STAR", R221="")), "已完工", "STAR異常")
))))</f>
        <v>未到店</v>
      </c>
      <c r="P221" s="238" t="str">
        <f>(TEXT(I221,"yyyymmdd"))&amp;$S$2&amp;A221&amp;$S$2&amp;B221&amp;$Q$2</f>
        <v>-L501-車麗屋板橋店(定保)</v>
      </c>
      <c r="Q221" s="357" t="str" cm="1">
        <f t="array" ref="Q221">IF(AND(SUMPRODUCT((IM!$F$2:$F$2000=A221)*(ISNUMBER(SEARCH("EDC", IM!$AC$2:$AC$2000))))&gt;0), "EDC", "")</f>
        <v/>
      </c>
      <c r="R221" s="358" t="str" cm="1">
        <f t="array" ref="R221">IF(AND(SUMPRODUCT((IM!$F$2:$F$2000=A221)*(ISNUMBER(SEARCH("STAR", IM!$AC$2:$AC$2000))))&gt;0), "STAR", "")</f>
        <v/>
      </c>
      <c r="S221" s="359" t="str" cm="1">
        <f t="array" ref="S221">IFERROR(INDEX(IM!$X$2:$X$650, MATCH(1, (IM!$F$2:$F$650=A221) * (ISNUMBER(SEARCH($D$1, IM!$AC$2:$AC$650))), 0)), "")</f>
        <v/>
      </c>
      <c r="T221" s="355">
        <f>IF(AND(X221&lt;&gt;"", Y221&lt;&gt;""), 2, IF(OR(X221&lt;&gt;"", Y221&lt;&gt;""), 1, 0))</f>
        <v>0</v>
      </c>
      <c r="U221" s="355"/>
      <c r="V221" s="373">
        <f>IF(OR(R221="STAR", T221="", U221=""), T221,
"總數：" &amp; T221 &amp; CHAR(10) &amp;
"已維修：" &amp; U221 &amp; CHAR(10) &amp;
"未更換：" &amp; (T221 - U221))</f>
        <v>0</v>
      </c>
      <c r="W221" s="360" t="str">
        <f>IF(VLOOKUP(A221,'0919門市清單主檔'!B:E,4,FALSE)=0,"",VLOOKUP(A221,'0919門市清單主檔'!B:E,4,FALSE))</f>
        <v/>
      </c>
      <c r="Y221" s="5"/>
      <c r="Z221" s="5" t="str">
        <f>IF(T221&gt;0,"STAR","")</f>
        <v/>
      </c>
    </row>
    <row r="222" spans="1:27" s="5" customFormat="1" ht="15" customHeight="1">
      <c r="A222" s="208">
        <v>4422</v>
      </c>
      <c r="B222" s="175" t="str">
        <f>VLOOKUP(A222,'0919門市清單主檔'!B:C,2,FALSE)</f>
        <v>板橋合安店</v>
      </c>
      <c r="C222" s="193" t="str">
        <f>VLOOKUP($A222,'0919門市清單主檔'!B:V,20,FALSE)</f>
        <v>新北市</v>
      </c>
      <c r="D222" s="193" t="str">
        <f>VLOOKUP($A222,'0919門市清單主檔'!B:V,21,FALSE)</f>
        <v>板橋區</v>
      </c>
      <c r="E222" s="178" t="str">
        <f>VLOOKUP(D222,區域表!A:B,2,FALSE)</f>
        <v>狄澤洋</v>
      </c>
      <c r="F222" s="179" t="str">
        <f>IFERROR(IF(VLOOKUP(A222,門市狀態!A:D,4,FALSE)=0,"",VLOOKUP(A222,門市狀態!A:D,4,FALSE)),"")</f>
        <v/>
      </c>
      <c r="G222" s="194" t="s">
        <v>1742</v>
      </c>
      <c r="H222" s="181" t="str">
        <f>IF(I222&gt;0,(TEXT(I222,"yyyymmdd")&amp;$S$2&amp;A222&amp;$S$2&amp;B222&amp;$Q$2),"")</f>
        <v>-4422-板橋合安店(定保)</v>
      </c>
      <c r="I222" s="192" t="s">
        <v>1742</v>
      </c>
      <c r="J222" s="240"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69" t="str">
        <f>Q222&amp;IF(R222&lt;&gt;"",$P$2,"")&amp;R222</f>
        <v/>
      </c>
      <c r="N222" s="339" t="str" cm="1">
        <f t="array" ref="N222">IF(AND(
    SUMPRODUCT(
        (IM!$F$2:$F$2000=A222) *
        ISNUMBER(SEARCH("HUB", IM!$AC$2:$AC$2000)) *
        (IM!$X$2:$X$2000&gt;=$A$1) *
        (IM!$X$2:$X$2000&lt;=$B$1)*(W222="HUB")
    ) &gt; 0
), "HUB", "")</f>
        <v/>
      </c>
      <c r="O222" s="371" t="str">
        <f>IF(I222="","未到店",
IF(AND(S222&gt;I222, R222="STAR", NOT(AND(G222&lt;&gt;"萊到店 WebPOS", Q222&lt;&gt;"EDC"))), "完工已補裝",
IF(AND(G222&lt;&gt;"萊到店 WebPOS", Q222&lt;&gt;"EDC"), "EDC異常",
IF(AND(W222="HUB", N222=""), "HUB異常",
IF(OR(AND(Z222="STAR", R222="STAR"), AND(Z222&lt;&gt;"STAR", R222="")), "已完工", "STAR異常")
))))</f>
        <v>未到店</v>
      </c>
      <c r="P222" s="238" t="str">
        <f>(TEXT(I222,"yyyymmdd"))&amp;$S$2&amp;A222&amp;$S$2&amp;B222&amp;$Q$2</f>
        <v>-4422-板橋合安店(定保)</v>
      </c>
      <c r="Q222" s="357" t="str" cm="1">
        <f t="array" ref="Q222">IF(AND(SUMPRODUCT((IM!$F$2:$F$2000=A222)*(ISNUMBER(SEARCH("EDC", IM!$AC$2:$AC$2000))))&gt;0), "EDC", "")</f>
        <v/>
      </c>
      <c r="R222" s="358" t="str" cm="1">
        <f t="array" ref="R222">IF(AND(SUMPRODUCT((IM!$F$2:$F$2000=A222)*(ISNUMBER(SEARCH("STAR", IM!$AC$2:$AC$2000))))&gt;0), "STAR", "")</f>
        <v/>
      </c>
      <c r="S222" s="359" t="str" cm="1">
        <f t="array" ref="S222">IFERROR(INDEX(IM!$X$2:$X$650, MATCH(1, (IM!$F$2:$F$650=A222) * (ISNUMBER(SEARCH($D$1, IM!$AC$2:$AC$650))), 0)), "")</f>
        <v/>
      </c>
      <c r="T222" s="355">
        <f>IF(AND(X222&lt;&gt;"", Y222&lt;&gt;""), 2, IF(OR(X222&lt;&gt;"", Y222&lt;&gt;""), 1, 0))</f>
        <v>0</v>
      </c>
      <c r="U222" s="355"/>
      <c r="V222" s="373">
        <f>IF(OR(R222="STAR", T222="", U222=""), T222,
"總數：" &amp; T222 &amp; CHAR(10) &amp;
"已維修：" &amp; U222 &amp; CHAR(10) &amp;
"未更換：" &amp; (T222 - U222))</f>
        <v>0</v>
      </c>
      <c r="W222" s="360" t="str">
        <f>IF(VLOOKUP(A222,'0919門市清單主檔'!B:E,4,FALSE)=0,"",VLOOKUP(A222,'0919門市清單主檔'!B:E,4,FALSE))</f>
        <v/>
      </c>
      <c r="X222" s="3"/>
      <c r="Z222" s="5" t="str">
        <f>IF(T222&gt;0,"STAR","")</f>
        <v/>
      </c>
      <c r="AA222" s="3"/>
    </row>
    <row r="223" spans="1:27" s="5" customFormat="1" ht="15" customHeight="1">
      <c r="A223" s="208">
        <v>2535</v>
      </c>
      <c r="B223" s="175" t="str">
        <f>VLOOKUP(A223,'0919門市清單主檔'!B:C,2,FALSE)</f>
        <v>五股五工店</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1742</v>
      </c>
      <c r="H223" s="181" t="str">
        <f>IF(I223&gt;0,(TEXT(I223,"yyyymmdd")&amp;$S$2&amp;A223&amp;$S$2&amp;B223&amp;$Q$2),"")</f>
        <v>-2535-五股五工店(定保)</v>
      </c>
      <c r="I223" s="192" t="s">
        <v>1742</v>
      </c>
      <c r="J223" s="240"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69" t="str">
        <f>Q223&amp;IF(R223&lt;&gt;"",$P$2,"")&amp;R223</f>
        <v/>
      </c>
      <c r="N223" s="339" t="str" cm="1">
        <f t="array" ref="N223">IF(AND(
    SUMPRODUCT(
        (IM!$F$2:$F$2000=A223) *
        ISNUMBER(SEARCH("HUB", IM!$AC$2:$AC$2000)) *
        (IM!$X$2:$X$2000&gt;=$A$1) *
        (IM!$X$2:$X$2000&lt;=$B$1)*(W223="HUB")
    ) &gt; 0
), "HUB", "")</f>
        <v/>
      </c>
      <c r="O223" s="371" t="str">
        <f>IF(I223="","未到店",
IF(AND(S223&gt;I223, R223="STAR", NOT(AND(G223&lt;&gt;"萊到店 WebPOS", Q223&lt;&gt;"EDC"))), "完工已補裝",
IF(AND(G223&lt;&gt;"萊到店 WebPOS", Q223&lt;&gt;"EDC"), "EDC異常",
IF(AND(W223="HUB", N223=""), "HUB異常",
IF(OR(AND(Z223="STAR", R223="STAR"), AND(Z223&lt;&gt;"STAR", R223="")), "已完工", "STAR異常")
))))</f>
        <v>未到店</v>
      </c>
      <c r="P223" s="238" t="str">
        <f>(TEXT(I223,"yyyymmdd"))&amp;$S$2&amp;A223&amp;$S$2&amp;B223&amp;$Q$2</f>
        <v>-2535-五股五工店(定保)</v>
      </c>
      <c r="Q223" s="357" t="str" cm="1">
        <f t="array" ref="Q223">IF(AND(SUMPRODUCT((IM!$F$2:$F$2000=A223)*(ISNUMBER(SEARCH("EDC", IM!$AC$2:$AC$2000))))&gt;0), "EDC", "")</f>
        <v/>
      </c>
      <c r="R223" s="358" t="str" cm="1">
        <f t="array" ref="R223">IF(AND(SUMPRODUCT((IM!$F$2:$F$2000=A223)*(ISNUMBER(SEARCH("STAR", IM!$AC$2:$AC$2000))))&gt;0), "STAR", "")</f>
        <v/>
      </c>
      <c r="S223" s="361" t="str" cm="1">
        <f t="array" ref="S223">IFERROR(INDEX(IM!$X$2:$X$650, MATCH(1, (IM!$F$2:$F$650=A223) * (ISNUMBER(SEARCH($D$1, IM!$AC$2:$AC$650))), 0)), "")</f>
        <v/>
      </c>
      <c r="T223" s="355">
        <f>IF(AND(X223&lt;&gt;"", Y223&lt;&gt;""), 2, IF(OR(X223&lt;&gt;"", Y223&lt;&gt;""), 1, 0))</f>
        <v>1</v>
      </c>
      <c r="U223" s="355"/>
      <c r="V223" s="373">
        <f>IF(OR(R223="STAR", T223="", U223=""), T223,
"總數：" &amp; T223 &amp; CHAR(10) &amp;
"已維修：" &amp; U223 &amp; CHAR(10) &amp;
"未更換：" &amp; (T223 - U223))</f>
        <v>1</v>
      </c>
      <c r="W223" s="360" t="str">
        <f>IF(VLOOKUP(A223,'0919門市清單主檔'!B:E,4,FALSE)=0,"",VLOOKUP(A223,'0919門市清單主檔'!B:E,4,FALSE))</f>
        <v/>
      </c>
      <c r="X223" s="3" t="s">
        <v>4392</v>
      </c>
      <c r="Z223" s="5" t="str">
        <f>IF(T223&gt;0,"STAR","")</f>
        <v>STAR</v>
      </c>
    </row>
    <row r="224" spans="1:27" s="243" customFormat="1" ht="15" customHeight="1">
      <c r="A224" s="347" t="s">
        <v>854</v>
      </c>
      <c r="B224" s="175" t="str">
        <f>VLOOKUP(A224,'0919門市清單主檔'!B:C,2,FALSE)</f>
        <v>五股訓練教室</v>
      </c>
      <c r="C224" s="310" t="str">
        <f>VLOOKUP($A224,'0919門市清單主檔'!B:V,20,FALSE)</f>
        <v>新北市</v>
      </c>
      <c r="D224" s="310" t="str">
        <f>VLOOKUP($A224,'0919門市清單主檔'!B:V,21,FALSE)</f>
        <v>五股區</v>
      </c>
      <c r="E224" s="311" t="str">
        <f>VLOOKUP(D224,區域表!A:B,2,FALSE)</f>
        <v>湯家瑋</v>
      </c>
      <c r="F224" s="312" t="str">
        <f>IFERROR(IF(VLOOKUP(A224,門市狀態!A:D,4,FALSE)=0,"",VLOOKUP(A224,門市狀態!A:D,4,FALSE)),"")</f>
        <v/>
      </c>
      <c r="G224" s="313" t="s">
        <v>847</v>
      </c>
      <c r="H224" s="314" t="str">
        <f>IF(I224&gt;0,(TEXT(I224,"yyyymmdd")&amp;$S$2&amp;A224&amp;$S$2&amp;B224&amp;$Q$2),"")</f>
        <v>-TT01-五股訓練教室(定保)</v>
      </c>
      <c r="I224" s="192" t="s">
        <v>1742</v>
      </c>
      <c r="J224" s="240"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69" t="str">
        <f>Q224&amp;IF(R224&lt;&gt;"",$P$2,"")&amp;R224</f>
        <v/>
      </c>
      <c r="N224" s="339" t="str" cm="1">
        <f t="array" ref="N224">IF(AND(
    SUMPRODUCT(
        (IM!$F$2:$F$2000=A224) *
        ISNUMBER(SEARCH("HUB", IM!$AC$2:$AC$2000)) *
        (IM!$X$2:$X$2000&gt;=$A$1) *
        (IM!$X$2:$X$2000&lt;=$B$1)*(W224="HUB")
    ) &gt; 0
), "HUB", "")</f>
        <v/>
      </c>
      <c r="O224" s="371" t="str">
        <f>IF(I224="","未到店",
IF(AND(S224&gt;I224, R224="STAR", NOT(AND(G224&lt;&gt;"萊到店 WebPOS", Q224&lt;&gt;"EDC"))), "完工已補裝",
IF(AND(G224&lt;&gt;"萊到店 WebPOS", Q224&lt;&gt;"EDC"), "EDC異常",
IF(AND(W224="HUB", N224=""), "HUB異常",
IF(OR(AND(Z224="STAR", R224="STAR"), AND(Z224&lt;&gt;"STAR", R224="")), "已完工", "STAR異常")
))))</f>
        <v>未到店</v>
      </c>
      <c r="P224" s="238" t="str">
        <f>(TEXT(I224,"yyyymmdd"))&amp;$S$2&amp;A224&amp;$S$2&amp;B224&amp;$Q$2</f>
        <v>-TT01-五股訓練教室(定保)</v>
      </c>
      <c r="Q224" s="357" t="str" cm="1">
        <f t="array" ref="Q224">IF(AND(SUMPRODUCT((IM!$F$2:$F$2000=A224)*(ISNUMBER(SEARCH("EDC", IM!$AC$2:$AC$2000))))&gt;0), "EDC", "")</f>
        <v/>
      </c>
      <c r="R224" s="358" t="str" cm="1">
        <f t="array" ref="R224">IF(AND(SUMPRODUCT((IM!$F$2:$F$2000=A224)*(ISNUMBER(SEARCH("STAR", IM!$AC$2:$AC$2000))))&gt;0), "STAR", "")</f>
        <v/>
      </c>
      <c r="S224" s="361" t="str" cm="1">
        <f t="array" ref="S224">IFERROR(INDEX(IM!$X$2:$X$650, MATCH(1, (IM!$F$2:$F$650=A224) * (ISNUMBER(SEARCH($D$1, IM!$AC$2:$AC$650))), 0)), "")</f>
        <v/>
      </c>
      <c r="T224" s="355">
        <f>IF(AND(X224&lt;&gt;"", Y224&lt;&gt;""), 2, IF(OR(X224&lt;&gt;"", Y224&lt;&gt;""), 1, 0))</f>
        <v>1</v>
      </c>
      <c r="U224" s="355"/>
      <c r="V224" s="373">
        <f>IF(OR(R224="STAR", T224="", U224=""), T224,
"總數：" &amp; T224 &amp; CHAR(10) &amp;
"已維修：" &amp; U224 &amp; CHAR(10) &amp;
"未更換：" &amp; (T224 - U224))</f>
        <v>1</v>
      </c>
      <c r="W224" s="360" t="str">
        <f>IF(VLOOKUP(A224,'0919門市清單主檔'!B:E,4,FALSE)=0,"",VLOOKUP(A224,'0919門市清單主檔'!B:E,4,FALSE))</f>
        <v/>
      </c>
      <c r="X224" s="242" t="s">
        <v>4393</v>
      </c>
      <c r="Z224" s="243" t="str">
        <f>IF(T224&gt;0,"STAR","")</f>
        <v>STAR</v>
      </c>
    </row>
    <row r="225" spans="1:26" s="243"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16" t="str">
        <f>VLOOKUP(D225,區域表!A:B,2,FALSE)</f>
        <v>吳宗鴻</v>
      </c>
      <c r="F225" s="315" t="str">
        <f>IFERROR(IF(VLOOKUP(A225,門市狀態!A:D,4,FALSE)=0,"",VLOOKUP(A225,門市狀態!A:D,4,FALSE)),"")</f>
        <v>新開</v>
      </c>
      <c r="G225" s="194" t="s">
        <v>1742</v>
      </c>
      <c r="H225" s="317" t="str">
        <f>IF(I225&gt;0,(TEXT(I225,"yyyymmdd")&amp;$S$2&amp;A225&amp;$S$2&amp;B225&amp;$Q$2),"")</f>
        <v>-5341-蘆洲切仔麵(定保)</v>
      </c>
      <c r="I225" s="184" t="s">
        <v>1742</v>
      </c>
      <c r="J225" s="240" t="str" cm="1">
        <f t="array" ref="J225">IFERROR(INDEX(IM!$X$2:$X$650, MATCH(1, (IM!$F$2:$F$650=A225) * (ISNUMBER(SEARCH($C$1, IM!$AC$2:$AC$650))), 0)), "")</f>
        <v/>
      </c>
      <c r="K225" s="318">
        <f>COUNTIFS(IM!F:F,A225,IM!AD:AD,"O",IM!X:X,"&gt;="&amp;$A$1,IM!X:X,"&lt;="&amp;$B$1)</f>
        <v>0</v>
      </c>
      <c r="L225" s="220" t="str" cm="1">
        <f t="array" ref="L225">IF(K225&gt;0,IFERROR(HYPERLINK("#'IM'!AC"&amp;MATCH(1,(IM!$F$1:$F$7700=A225)*(ISNUMBER(SEARCH("PMQ2",IM!$AC$1:$AC$7700))),0),"檢核"),"未登錄"),"")</f>
        <v/>
      </c>
      <c r="M225" s="369" t="str">
        <f>Q225&amp;IF(R225&lt;&gt;"",$P$2,"")&amp;R225</f>
        <v/>
      </c>
      <c r="N225" s="339" t="str" cm="1">
        <f t="array" ref="N225">IF(AND(
    SUMPRODUCT(
        (IM!$F$2:$F$2000=A225) *
        ISNUMBER(SEARCH("HUB", IM!$AC$2:$AC$2000)) *
        (IM!$X$2:$X$2000&gt;=$A$1) *
        (IM!$X$2:$X$2000&lt;=$B$1)*(W225="HUB")
    ) &gt; 0
), "HUB", "")</f>
        <v/>
      </c>
      <c r="O225" s="371" t="str">
        <f>IF(I225="","未到店",
IF(AND(S225&gt;I225, R225="STAR", NOT(AND(G225&lt;&gt;"萊到店 WebPOS", Q225&lt;&gt;"EDC"))), "完工已補裝",
IF(AND(G225&lt;&gt;"萊到店 WebPOS", Q225&lt;&gt;"EDC"), "EDC異常",
IF(AND(W225="HUB", N225=""), "HUB異常",
IF(OR(AND(Z225="STAR", R225="STAR"), AND(Z225&lt;&gt;"STAR", R225="")), "已完工", "STAR異常")
))))</f>
        <v>未到店</v>
      </c>
      <c r="P225" s="238" t="str">
        <f>(TEXT(I225,"yyyymmdd"))&amp;$S$2&amp;A225&amp;$S$2&amp;B225&amp;$Q$2</f>
        <v>-5341-蘆洲切仔麵(定保)</v>
      </c>
      <c r="Q225" s="357" t="str" cm="1">
        <f t="array" ref="Q225">IF(AND(SUMPRODUCT((IM!$F$2:$F$2000=A225)*(ISNUMBER(SEARCH("EDC", IM!$AC$2:$AC$2000))))&gt;0), "EDC", "")</f>
        <v/>
      </c>
      <c r="R225" s="358" t="str" cm="1">
        <f t="array" ref="R225">IF(AND(SUMPRODUCT((IM!$F$2:$F$2000=A225)*(ISNUMBER(SEARCH("STAR", IM!$AC$2:$AC$2000))))&gt;0), "STAR", "")</f>
        <v/>
      </c>
      <c r="S225" s="359" t="str" cm="1">
        <f t="array" ref="S225">IFERROR(INDEX(IM!$X$2:$X$650, MATCH(1, (IM!$F$2:$F$650=A225) * (ISNUMBER(SEARCH($D$1, IM!$AC$2:$AC$650))), 0)), "")</f>
        <v/>
      </c>
      <c r="T225" s="362">
        <f>IF(AND(X225&lt;&gt;"", Y225&lt;&gt;""), 2, IF(OR(X225&lt;&gt;"", Y225&lt;&gt;""), 1, 0))</f>
        <v>0</v>
      </c>
      <c r="U225" s="362"/>
      <c r="V225" s="373">
        <f>IF(OR(R225="STAR", T225="", U225=""), T225,
"總數：" &amp; T225 &amp; CHAR(10) &amp;
"已維修：" &amp; U225 &amp; CHAR(10) &amp;
"未更換：" &amp; (T225 - U225))</f>
        <v>0</v>
      </c>
      <c r="W225" s="360" t="str">
        <f>IF(VLOOKUP(A225,'0919門市清單主檔'!B:E,4,FALSE)=0,"",VLOOKUP(A225,'0919門市清單主檔'!B:E,4,FALSE))</f>
        <v/>
      </c>
      <c r="X225" s="242"/>
      <c r="Z225" s="243" t="str">
        <f>IF(T225&gt;0,"STAR","")</f>
        <v/>
      </c>
    </row>
    <row r="226" spans="1:26" s="243"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16" t="str">
        <f>VLOOKUP(D226,區域表!A:B,2,FALSE)</f>
        <v>吳宗鴻</v>
      </c>
      <c r="F226" s="315" t="str">
        <f>IFERROR(IF(VLOOKUP(A226,門市狀態!A:D,4,FALSE)=0,"",VLOOKUP(A226,門市狀態!A:D,4,FALSE)),"")</f>
        <v>新開</v>
      </c>
      <c r="G226" s="194" t="s">
        <v>1742</v>
      </c>
      <c r="H226" s="319" t="str">
        <f>IF(I226&gt;0,(TEXT(I226,"yyyymmdd")&amp;$S$2&amp;A226&amp;$S$2&amp;B226&amp;$Q$2),"")</f>
        <v>-5352-三重重陽店(定保)</v>
      </c>
      <c r="I226" s="320" t="s">
        <v>1742</v>
      </c>
      <c r="J226" s="241" t="str" cm="1">
        <f t="array" ref="J226">IFERROR(INDEX(IM!$X$2:$X$650, MATCH(1, (IM!$F$2:$F$650=A226) * (ISNUMBER(SEARCH($C$1, IM!$AC$2:$AC$650))), 0)), "")</f>
        <v/>
      </c>
      <c r="K226" s="321">
        <f>COUNTIFS(IM!F:F,A226,IM!AD:AD,"O",IM!X:X,"&gt;="&amp;$A$1,IM!X:X,"&lt;="&amp;$B$1)</f>
        <v>0</v>
      </c>
      <c r="L226" s="336" t="str" cm="1">
        <f t="array" ref="L226">IF(K226&gt;0,IFERROR(HYPERLINK("#'IM'!AC"&amp;MATCH(1,(IM!$F$1:$F$7700=A226)*(ISNUMBER(SEARCH("PMQ2",IM!$AC$1:$AC$7700))),0),"檢核"),"未登錄"),"")</f>
        <v/>
      </c>
      <c r="M226" s="370" t="str">
        <f>Q226&amp;IF(R226&lt;&gt;"",$P$2,"")&amp;R226</f>
        <v/>
      </c>
      <c r="N226" s="340" t="str" cm="1">
        <f t="array" ref="N226">IF(AND(
    SUMPRODUCT(
        (IM!$F$2:$F$2000=A226) *
        ISNUMBER(SEARCH("HUB", IM!$AC$2:$AC$2000)) *
        (IM!$X$2:$X$2000&gt;=$A$1) *
        (IM!$X$2:$X$2000&lt;=$B$1)*(W226="HUB")
    ) &gt; 0
), "HUB", "")</f>
        <v/>
      </c>
      <c r="O226" s="371" t="str">
        <f>IF(I226="","未到店",
IF(AND(S226&gt;I226, R226="STAR", NOT(AND(G226&lt;&gt;"萊到店 WebPOS", Q226&lt;&gt;"EDC"))), "完工已補裝",
IF(AND(G226&lt;&gt;"萊到店 WebPOS", Q226&lt;&gt;"EDC"), "EDC異常",
IF(AND(W226="HUB", N226=""), "HUB異常",
IF(OR(AND(Z226="STAR", R226="STAR"), AND(Z226&lt;&gt;"STAR", R226="")), "已完工", "STAR異常")
))))</f>
        <v>未到店</v>
      </c>
      <c r="P226" s="239" t="str">
        <f>(TEXT(I226,"yyyymmdd"))&amp;$S$2&amp;A226&amp;$S$2&amp;B226&amp;$Q$2</f>
        <v>-5352-三重重陽店(定保)</v>
      </c>
      <c r="Q226" s="363" t="str" cm="1">
        <f t="array" ref="Q226">IF(AND(SUMPRODUCT((IM!$F$2:$F$2000=A226)*(ISNUMBER(SEARCH("EDC", IM!$AC$2:$AC$2000))))&gt;0), "EDC", "")</f>
        <v/>
      </c>
      <c r="R226" s="364" t="str" cm="1">
        <f t="array" ref="R226">IF(AND(SUMPRODUCT((IM!$F$2:$F$2000=A226)*(ISNUMBER(SEARCH("STAR", IM!$AC$2:$AC$2000))))&gt;0), "STAR", "")</f>
        <v/>
      </c>
      <c r="S226" s="365" t="str" cm="1">
        <f t="array" ref="S226">IFERROR(INDEX(IM!$X$2:$X$650, MATCH(1, (IM!$F$2:$F$650=A226) * (ISNUMBER(SEARCH($D$1, IM!$AC$2:$AC$650))), 0)), "")</f>
        <v/>
      </c>
      <c r="T226" s="366">
        <f>IF(AND(X226&lt;&gt;"", Y226&lt;&gt;""), 2, IF(OR(X226&lt;&gt;"", Y226&lt;&gt;""), 1, 0))</f>
        <v>0</v>
      </c>
      <c r="U226" s="366"/>
      <c r="V226" s="373">
        <f>IF(OR(R226="STAR", T226="", U226=""), T226,
"總數：" &amp; T226 &amp; CHAR(10) &amp;
"已維修：" &amp; U226 &amp; CHAR(10) &amp;
"未更換：" &amp; (T226 - U226))</f>
        <v>0</v>
      </c>
      <c r="W226" s="367" t="str">
        <f>IF(VLOOKUP(A226,'0919門市清單主檔'!B:E,4,FALSE)=0,"",VLOOKUP(A226,'0919門市清單主檔'!B:E,4,FALSE))</f>
        <v/>
      </c>
      <c r="X226" s="242"/>
      <c r="Z226" s="243" t="str">
        <f>IF(T226&gt;0,"STAR","")</f>
        <v/>
      </c>
    </row>
  </sheetData>
  <autoFilter ref="A14:AA14" xr:uid="{00000000-0001-0000-0000-000000000000}">
    <sortState xmlns:xlrd2="http://schemas.microsoft.com/office/spreadsheetml/2017/richdata2" ref="A15:AA226">
      <sortCondition ref="I14"/>
    </sortState>
  </autoFilter>
  <phoneticPr fontId="30" type="noConversion"/>
  <conditionalFormatting sqref="A15:A25 A221:A222 A27:A219 A227:A304">
    <cfRule type="expression" dxfId="398" priority="51">
      <formula>F15="撤店"</formula>
    </cfRule>
  </conditionalFormatting>
  <conditionalFormatting sqref="K15:K25 K27:K222 K227:K303">
    <cfRule type="expression" dxfId="397" priority="50">
      <formula>K15&gt;2</formula>
    </cfRule>
  </conditionalFormatting>
  <conditionalFormatting sqref="I227:I303">
    <cfRule type="expression" dxfId="396" priority="44">
      <formula>AND(I227&lt;&gt;"", OR(M227="", O227=""))</formula>
    </cfRule>
    <cfRule type="expression" dxfId="395" priority="46">
      <formula>AND(K227&gt;0, ISBLANK(I227))</formula>
    </cfRule>
  </conditionalFormatting>
  <conditionalFormatting sqref="M227:M1048576">
    <cfRule type="expression" dxfId="394" priority="42">
      <formula>VLOOKUP(A227,#REF!,9,FALSE)="異常"</formula>
    </cfRule>
  </conditionalFormatting>
  <conditionalFormatting sqref="A220">
    <cfRule type="expression" dxfId="393" priority="39">
      <formula>F220="撤店"</formula>
    </cfRule>
  </conditionalFormatting>
  <conditionalFormatting sqref="A26">
    <cfRule type="expression" dxfId="392" priority="31">
      <formula>F26="撤店"</formula>
    </cfRule>
  </conditionalFormatting>
  <conditionalFormatting sqref="K26">
    <cfRule type="expression" dxfId="391" priority="30">
      <formula>K26&gt;2</formula>
    </cfRule>
  </conditionalFormatting>
  <conditionalFormatting sqref="O15:O226">
    <cfRule type="expression" dxfId="390" priority="3">
      <formula>O15="已維修完工"</formula>
    </cfRule>
    <cfRule type="expression" dxfId="389" priority="4">
      <formula>O15="HUB異常"</formula>
    </cfRule>
    <cfRule type="expression" dxfId="388" priority="27">
      <formula>O15="完工"</formula>
    </cfRule>
    <cfRule type="expression" dxfId="387" priority="28">
      <formula>O15="STAR異常"</formula>
    </cfRule>
    <cfRule type="expression" dxfId="386" priority="1">
      <formula>O15="完工已補裝"</formula>
    </cfRule>
  </conditionalFormatting>
  <conditionalFormatting sqref="A224">
    <cfRule type="expression" dxfId="385" priority="26">
      <formula>F224="撤店"</formula>
    </cfRule>
  </conditionalFormatting>
  <conditionalFormatting sqref="K224">
    <cfRule type="expression" dxfId="384" priority="25">
      <formula>K224&gt;2</formula>
    </cfRule>
  </conditionalFormatting>
  <conditionalFormatting sqref="A223">
    <cfRule type="expression" dxfId="383" priority="17">
      <formula>F223="撤店"</formula>
    </cfRule>
  </conditionalFormatting>
  <conditionalFormatting sqref="K223">
    <cfRule type="expression" dxfId="382" priority="16">
      <formula>K223&gt;2</formula>
    </cfRule>
  </conditionalFormatting>
  <conditionalFormatting sqref="S15:S224">
    <cfRule type="expression" dxfId="381" priority="12">
      <formula>S15&lt;&gt;I15</formula>
    </cfRule>
  </conditionalFormatting>
  <conditionalFormatting sqref="A225:A226">
    <cfRule type="expression" dxfId="380" priority="7">
      <formula>F225="撤店"</formula>
    </cfRule>
  </conditionalFormatting>
  <conditionalFormatting sqref="K225:K226">
    <cfRule type="expression" dxfId="379" priority="6">
      <formula>K225&gt;2</formula>
    </cfRule>
  </conditionalFormatting>
  <conditionalFormatting sqref="S225:S226">
    <cfRule type="expression" dxfId="378" priority="5">
      <formula>S225&lt;&gt;I225</formula>
    </cfRule>
  </conditionalFormatting>
  <conditionalFormatting sqref="I225:I226">
    <cfRule type="expression" dxfId="377" priority="486">
      <formula>AND(I225&lt;&gt;"", OR(#REF!="", Q225=""))</formula>
    </cfRule>
  </conditionalFormatting>
  <conditionalFormatting sqref="I15:I25 I221:I222 I27:I219">
    <cfRule type="expression" dxfId="376" priority="489">
      <formula>AND(I15&lt;&gt;"", OR(#REF!="", Q15=""))</formula>
    </cfRule>
    <cfRule type="expression" dxfId="375" priority="490">
      <formula>AND(K15&gt;0, ISBLANK(I15))</formula>
    </cfRule>
  </conditionalFormatting>
  <conditionalFormatting sqref="I220 I224 I26">
    <cfRule type="expression" dxfId="374" priority="495">
      <formula>AND(I26&lt;&gt;"", OR(#REF!="", Q26=""))</formula>
    </cfRule>
    <cfRule type="expression" dxfId="373" priority="496">
      <formula>AND(K26&gt;0, ISBLANK(I26))</formula>
    </cfRule>
  </conditionalFormatting>
  <conditionalFormatting sqref="B4">
    <cfRule type="expression" dxfId="372" priority="2">
      <formula>A4&lt;&gt;B4</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222</xdr:row>
                    <xdr:rowOff>175260</xdr:rowOff>
                  </from>
                  <to>
                    <xdr:col>7</xdr:col>
                    <xdr:colOff>53340</xdr:colOff>
                    <xdr:row>224</xdr:row>
                    <xdr:rowOff>53340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221</xdr:row>
                    <xdr:rowOff>175260</xdr:rowOff>
                  </from>
                  <to>
                    <xdr:col>7</xdr:col>
                    <xdr:colOff>53340</xdr:colOff>
                    <xdr:row>223</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220</xdr:row>
                    <xdr:rowOff>167640</xdr:rowOff>
                  </from>
                  <to>
                    <xdr:col>7</xdr:col>
                    <xdr:colOff>53340</xdr:colOff>
                    <xdr:row>222</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164</xdr:row>
                    <xdr:rowOff>167640</xdr:rowOff>
                  </from>
                  <to>
                    <xdr:col>7</xdr:col>
                    <xdr:colOff>53340</xdr:colOff>
                    <xdr:row>166</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219</xdr:row>
                    <xdr:rowOff>175260</xdr:rowOff>
                  </from>
                  <to>
                    <xdr:col>7</xdr:col>
                    <xdr:colOff>53340</xdr:colOff>
                    <xdr:row>221</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122</xdr:row>
                    <xdr:rowOff>152400</xdr:rowOff>
                  </from>
                  <to>
                    <xdr:col>7</xdr:col>
                    <xdr:colOff>53340</xdr:colOff>
                    <xdr:row>124</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223</xdr:row>
                    <xdr:rowOff>175260</xdr:rowOff>
                  </from>
                  <to>
                    <xdr:col>7</xdr:col>
                    <xdr:colOff>53340</xdr:colOff>
                    <xdr:row>225</xdr:row>
                    <xdr:rowOff>53340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167640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167640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F15" sqref="F15"/>
    </sheetView>
  </sheetViews>
  <sheetFormatPr defaultColWidth="9.69921875" defaultRowHeight="15.6"/>
  <cols>
    <col min="1" max="1" width="10.8984375" bestFit="1" customWidth="1"/>
    <col min="2" max="2" width="12.19921875" bestFit="1" customWidth="1"/>
    <col min="3" max="3" width="11.5" bestFit="1" customWidth="1"/>
    <col min="4" max="4" width="11.3984375" customWidth="1"/>
    <col min="5" max="5" width="11.09765625" customWidth="1"/>
    <col min="6" max="7" width="12.3984375" bestFit="1" customWidth="1"/>
  </cols>
  <sheetData>
    <row r="1" spans="1:7">
      <c r="A1" s="304" t="s">
        <v>5215</v>
      </c>
      <c r="B1" s="304" t="s">
        <v>7292</v>
      </c>
      <c r="C1" s="304" t="s">
        <v>5091</v>
      </c>
      <c r="D1" s="305" t="s">
        <v>4128</v>
      </c>
      <c r="E1" s="305" t="s">
        <v>4129</v>
      </c>
      <c r="F1" s="305" t="s">
        <v>4130</v>
      </c>
    </row>
    <row r="2" spans="1:7">
      <c r="A2" s="301">
        <f>門市主檔!B3</f>
        <v>212</v>
      </c>
      <c r="B2" s="301">
        <f>COUNTIF('0919門市清單主檔'!E2:E300,"HUB")</f>
        <v>2</v>
      </c>
      <c r="C2" s="301">
        <f>門市主檔!B4</f>
        <v>161</v>
      </c>
      <c r="D2" s="302">
        <f>門市主檔!B5</f>
        <v>0</v>
      </c>
      <c r="E2" s="302">
        <f>門市主檔!B6</f>
        <v>2</v>
      </c>
      <c r="F2" s="302">
        <f>門市主檔!B7</f>
        <v>7</v>
      </c>
    </row>
    <row r="3" spans="1:7">
      <c r="A3" s="308" t="s">
        <v>5024</v>
      </c>
      <c r="B3" s="306" t="s">
        <v>5219</v>
      </c>
      <c r="C3" s="307" t="s">
        <v>5217</v>
      </c>
      <c r="D3" s="308" t="s">
        <v>7295</v>
      </c>
      <c r="E3" s="308" t="s">
        <v>5216</v>
      </c>
      <c r="F3" s="306" t="s">
        <v>4423</v>
      </c>
      <c r="G3" s="307" t="s">
        <v>5218</v>
      </c>
    </row>
    <row r="4" spans="1:7">
      <c r="A4" s="309" t="str">
        <f>ROUND(門市主檔!B12*100,1)&amp;"%"</f>
        <v>67%</v>
      </c>
      <c r="B4" s="303">
        <f>門市主檔!B8</f>
        <v>142</v>
      </c>
      <c r="C4" s="303">
        <f>門市主檔!B9</f>
        <v>68</v>
      </c>
      <c r="D4" s="309">
        <f>COUNTIF(門市主檔!N15:N300,"HUB")</f>
        <v>2</v>
      </c>
      <c r="E4" s="309" t="str">
        <f>ROUND(門市主檔!B13*100,1)&amp;"%"</f>
        <v>49.7%</v>
      </c>
      <c r="F4" s="303">
        <f>門市主檔!B10</f>
        <v>80</v>
      </c>
      <c r="G4" s="303">
        <f>門市主檔!B11</f>
        <v>81</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95"/>
  <sheetViews>
    <sheetView topLeftCell="S1" zoomScaleNormal="100" workbookViewId="0">
      <pane ySplit="1" topLeftCell="A578" activePane="bottomLeft" state="frozen"/>
      <selection activeCell="H5" sqref="H5"/>
      <selection pane="bottomLeft" activeCell="AN587" sqref="AN587"/>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22" t="s">
        <v>760</v>
      </c>
      <c r="B1" s="322" t="s">
        <v>1683</v>
      </c>
      <c r="C1" s="322" t="s">
        <v>1684</v>
      </c>
      <c r="D1" s="322" t="s">
        <v>1685</v>
      </c>
      <c r="E1" s="322" t="s">
        <v>1686</v>
      </c>
      <c r="F1" s="322" t="s">
        <v>5015</v>
      </c>
      <c r="G1" s="322" t="s">
        <v>1688</v>
      </c>
      <c r="H1" s="322" t="s">
        <v>1689</v>
      </c>
      <c r="I1" s="322" t="s">
        <v>1690</v>
      </c>
      <c r="J1" s="322" t="s">
        <v>1691</v>
      </c>
      <c r="K1" s="322" t="s">
        <v>1692</v>
      </c>
      <c r="L1" s="322" t="s">
        <v>1693</v>
      </c>
      <c r="M1" s="322" t="s">
        <v>1694</v>
      </c>
      <c r="N1" s="322" t="s">
        <v>1695</v>
      </c>
      <c r="O1" s="322" t="s">
        <v>1696</v>
      </c>
      <c r="P1" s="322" t="s">
        <v>1697</v>
      </c>
      <c r="Q1" s="322" t="s">
        <v>1698</v>
      </c>
      <c r="R1" s="322" t="s">
        <v>1699</v>
      </c>
      <c r="S1" s="322" t="s">
        <v>1700</v>
      </c>
      <c r="T1" s="322" t="s">
        <v>1701</v>
      </c>
      <c r="U1" s="322" t="s">
        <v>1702</v>
      </c>
      <c r="V1" s="322" t="s">
        <v>1703</v>
      </c>
      <c r="W1" s="322" t="s">
        <v>1704</v>
      </c>
      <c r="X1" s="323" t="s">
        <v>1705</v>
      </c>
      <c r="Y1" s="322" t="s">
        <v>1706</v>
      </c>
      <c r="Z1" s="322" t="s">
        <v>1707</v>
      </c>
      <c r="AA1" s="322" t="s">
        <v>1708</v>
      </c>
      <c r="AB1" s="322" t="s">
        <v>1709</v>
      </c>
      <c r="AC1" s="322" t="s">
        <v>1710</v>
      </c>
      <c r="AD1" s="322" t="s">
        <v>1711</v>
      </c>
      <c r="AE1" s="322" t="s">
        <v>1712</v>
      </c>
      <c r="AF1" s="322" t="s">
        <v>1713</v>
      </c>
      <c r="AG1" s="322" t="s">
        <v>1714</v>
      </c>
      <c r="AH1" s="322" t="s">
        <v>1715</v>
      </c>
      <c r="AI1" s="322" t="s">
        <v>1716</v>
      </c>
      <c r="AJ1" s="322" t="s">
        <v>1717</v>
      </c>
      <c r="AK1" s="322" t="s">
        <v>1718</v>
      </c>
      <c r="AL1" s="324" t="s">
        <v>4099</v>
      </c>
      <c r="AM1" s="261" t="s">
        <v>5022</v>
      </c>
    </row>
    <row r="2" spans="1:39" s="27" customFormat="1" ht="21.6" customHeight="1">
      <c r="A2" s="28">
        <v>1</v>
      </c>
      <c r="B2" s="28" t="s">
        <v>5033</v>
      </c>
      <c r="C2" s="28">
        <v>2024123630</v>
      </c>
      <c r="D2" s="28" t="s">
        <v>5250</v>
      </c>
      <c r="E2" s="28" t="s">
        <v>5035</v>
      </c>
      <c r="F2" s="28" t="s">
        <v>18</v>
      </c>
      <c r="G2" s="28" t="s">
        <v>1492</v>
      </c>
      <c r="H2" s="28" t="s">
        <v>1747</v>
      </c>
      <c r="I2" s="28" t="s">
        <v>5251</v>
      </c>
      <c r="J2" s="28" t="s">
        <v>5252</v>
      </c>
      <c r="K2" s="28" t="s">
        <v>5039</v>
      </c>
      <c r="L2" s="28" t="s">
        <v>5068</v>
      </c>
      <c r="M2" s="29" t="s">
        <v>1723</v>
      </c>
      <c r="N2" s="28">
        <v>2304</v>
      </c>
      <c r="O2" s="29" t="s">
        <v>5097</v>
      </c>
      <c r="P2" s="30" t="s">
        <v>5253</v>
      </c>
      <c r="Q2" s="28" t="s">
        <v>5254</v>
      </c>
      <c r="R2" s="28" t="s">
        <v>52</v>
      </c>
      <c r="S2" s="28" t="s">
        <v>4110</v>
      </c>
      <c r="T2" s="28">
        <v>1</v>
      </c>
      <c r="U2" s="28" t="s">
        <v>1719</v>
      </c>
      <c r="V2" s="28" t="s">
        <v>5255</v>
      </c>
      <c r="W2" s="28" t="s">
        <v>5256</v>
      </c>
      <c r="X2" s="135">
        <v>45659.501388888886</v>
      </c>
      <c r="Y2" s="28" t="s">
        <v>5257</v>
      </c>
      <c r="Z2" s="28">
        <v>0.4</v>
      </c>
      <c r="AA2" s="28"/>
      <c r="AB2" s="28" t="s">
        <v>1720</v>
      </c>
      <c r="AC2" s="30" t="s">
        <v>5258</v>
      </c>
      <c r="AD2" s="28"/>
      <c r="AE2" s="28"/>
      <c r="AF2" s="28"/>
      <c r="AG2" s="28"/>
      <c r="AH2" s="28"/>
      <c r="AI2" s="28"/>
      <c r="AJ2" s="28"/>
      <c r="AK2" s="28" t="s">
        <v>1721</v>
      </c>
      <c r="AL2" s="325">
        <f t="shared" ref="AL2:AL65" si="0">DATEVALUE(TEXT(I2, "yyyy/mm/dd"))</f>
        <v>45657</v>
      </c>
      <c r="AM2" s="27" t="str">
        <f t="shared" ref="AM2" si="1">IF(ISNUMBER(SEARCH("STAR", AC2)), "STAR", "")</f>
        <v/>
      </c>
    </row>
    <row r="3" spans="1:39" s="27" customFormat="1" ht="21.6" customHeight="1">
      <c r="A3" s="31">
        <v>2</v>
      </c>
      <c r="B3" s="31" t="s">
        <v>5033</v>
      </c>
      <c r="C3" s="31">
        <v>2024123631</v>
      </c>
      <c r="D3" s="31" t="s">
        <v>5259</v>
      </c>
      <c r="E3" s="31" t="s">
        <v>5035</v>
      </c>
      <c r="F3" s="31" t="s">
        <v>18</v>
      </c>
      <c r="G3" s="31" t="s">
        <v>1492</v>
      </c>
      <c r="H3" s="31" t="s">
        <v>1747</v>
      </c>
      <c r="I3" s="31" t="s">
        <v>5260</v>
      </c>
      <c r="J3" s="31" t="s">
        <v>5252</v>
      </c>
      <c r="K3" s="31" t="s">
        <v>5039</v>
      </c>
      <c r="L3" s="31" t="s">
        <v>5261</v>
      </c>
      <c r="M3" s="32" t="s">
        <v>5262</v>
      </c>
      <c r="N3" s="31">
        <v>5801</v>
      </c>
      <c r="O3" s="32" t="s">
        <v>5263</v>
      </c>
      <c r="P3" s="33" t="s">
        <v>5264</v>
      </c>
      <c r="Q3" s="31" t="s">
        <v>5254</v>
      </c>
      <c r="R3" s="31" t="s">
        <v>52</v>
      </c>
      <c r="S3" s="31" t="s">
        <v>4110</v>
      </c>
      <c r="T3" s="31">
        <v>1</v>
      </c>
      <c r="U3" s="31" t="s">
        <v>1719</v>
      </c>
      <c r="V3" s="31" t="s">
        <v>5265</v>
      </c>
      <c r="W3" s="31" t="s">
        <v>5266</v>
      </c>
      <c r="X3" s="211">
        <v>45659.5</v>
      </c>
      <c r="Y3" s="31" t="s">
        <v>5267</v>
      </c>
      <c r="Z3" s="31">
        <v>0.3</v>
      </c>
      <c r="AA3" s="31"/>
      <c r="AB3" s="31" t="s">
        <v>1720</v>
      </c>
      <c r="AC3" s="33" t="s">
        <v>5268</v>
      </c>
      <c r="AD3" s="31"/>
      <c r="AE3" s="31"/>
      <c r="AF3" s="31"/>
      <c r="AG3" s="31"/>
      <c r="AH3" s="31"/>
      <c r="AI3" s="31"/>
      <c r="AJ3" s="31"/>
      <c r="AK3" s="31" t="s">
        <v>1721</v>
      </c>
      <c r="AL3" s="325">
        <f t="shared" si="0"/>
        <v>45657</v>
      </c>
      <c r="AM3" s="27" t="str">
        <f t="shared" ref="AM3" si="2">IF(ISNUMBER(SEARCH("STAR", AC3)), "STAR", "")</f>
        <v/>
      </c>
    </row>
    <row r="4" spans="1:39" s="27" customFormat="1" ht="21.6" customHeight="1">
      <c r="A4" s="28">
        <v>3</v>
      </c>
      <c r="B4" s="28" t="s">
        <v>5033</v>
      </c>
      <c r="C4" s="28">
        <v>2025010034</v>
      </c>
      <c r="D4" s="28" t="s">
        <v>5269</v>
      </c>
      <c r="E4" s="28" t="s">
        <v>5035</v>
      </c>
      <c r="F4" s="28">
        <v>3362</v>
      </c>
      <c r="G4" s="28" t="s">
        <v>180</v>
      </c>
      <c r="H4" s="28" t="s">
        <v>1747</v>
      </c>
      <c r="I4" s="28" t="s">
        <v>5270</v>
      </c>
      <c r="J4" s="28" t="s">
        <v>5066</v>
      </c>
      <c r="K4" s="28" t="s">
        <v>5039</v>
      </c>
      <c r="L4" s="28" t="s">
        <v>5271</v>
      </c>
      <c r="M4" s="29" t="s">
        <v>5272</v>
      </c>
      <c r="N4" s="28" t="s">
        <v>663</v>
      </c>
      <c r="O4" s="29" t="s">
        <v>5273</v>
      </c>
      <c r="P4" s="30" t="s">
        <v>5274</v>
      </c>
      <c r="Q4" s="28" t="s">
        <v>5275</v>
      </c>
      <c r="R4" s="28" t="s">
        <v>52</v>
      </c>
      <c r="S4" s="28" t="s">
        <v>4110</v>
      </c>
      <c r="T4" s="28">
        <v>1</v>
      </c>
      <c r="U4" s="28" t="s">
        <v>1719</v>
      </c>
      <c r="V4" s="28" t="s">
        <v>5276</v>
      </c>
      <c r="W4" s="28" t="s">
        <v>5277</v>
      </c>
      <c r="X4" s="135">
        <v>45660.434027777781</v>
      </c>
      <c r="Y4" s="28" t="s">
        <v>5278</v>
      </c>
      <c r="Z4" s="28">
        <v>0.5</v>
      </c>
      <c r="AA4" s="28"/>
      <c r="AB4" s="28" t="s">
        <v>1720</v>
      </c>
      <c r="AC4" s="30" t="s">
        <v>5279</v>
      </c>
      <c r="AD4" s="28"/>
      <c r="AE4" s="28"/>
      <c r="AF4" s="28"/>
      <c r="AG4" s="28"/>
      <c r="AH4" s="28"/>
      <c r="AI4" s="28"/>
      <c r="AJ4" s="28"/>
      <c r="AK4" s="28" t="s">
        <v>1721</v>
      </c>
      <c r="AL4" s="325">
        <f t="shared" si="0"/>
        <v>45658</v>
      </c>
      <c r="AM4" s="27" t="str">
        <f t="shared" ref="AM4:AM7" si="3">IF(ISNUMBER(SEARCH("STAR", AC4)), "STAR", "")</f>
        <v/>
      </c>
    </row>
    <row r="5" spans="1:39" s="27" customFormat="1" ht="21.6" customHeight="1">
      <c r="A5" s="31">
        <v>4</v>
      </c>
      <c r="B5" s="31" t="s">
        <v>5033</v>
      </c>
      <c r="C5" s="31">
        <v>2025010035</v>
      </c>
      <c r="D5" s="31" t="s">
        <v>5280</v>
      </c>
      <c r="E5" s="31" t="s">
        <v>5035</v>
      </c>
      <c r="F5" s="31">
        <v>3890</v>
      </c>
      <c r="G5" s="31" t="s">
        <v>253</v>
      </c>
      <c r="H5" s="31" t="s">
        <v>1747</v>
      </c>
      <c r="I5" s="31" t="s">
        <v>5281</v>
      </c>
      <c r="J5" s="31" t="s">
        <v>5066</v>
      </c>
      <c r="K5" s="31" t="s">
        <v>5039</v>
      </c>
      <c r="L5" s="31" t="s">
        <v>5068</v>
      </c>
      <c r="M5" s="32" t="s">
        <v>1723</v>
      </c>
      <c r="N5" s="31">
        <v>2302</v>
      </c>
      <c r="O5" s="32" t="s">
        <v>5282</v>
      </c>
      <c r="P5" s="33" t="s">
        <v>5283</v>
      </c>
      <c r="Q5" s="31" t="s">
        <v>5284</v>
      </c>
      <c r="R5" s="31" t="s">
        <v>52</v>
      </c>
      <c r="S5" s="31" t="s">
        <v>4110</v>
      </c>
      <c r="T5" s="31">
        <v>1</v>
      </c>
      <c r="U5" s="31" t="s">
        <v>1719</v>
      </c>
      <c r="V5" s="31" t="s">
        <v>5285</v>
      </c>
      <c r="W5" s="31" t="s">
        <v>5286</v>
      </c>
      <c r="X5" s="211">
        <v>45660.462500000001</v>
      </c>
      <c r="Y5" s="31" t="s">
        <v>5278</v>
      </c>
      <c r="Z5" s="31">
        <v>0.5</v>
      </c>
      <c r="AA5" s="31"/>
      <c r="AB5" s="31" t="s">
        <v>1720</v>
      </c>
      <c r="AC5" s="33" t="s">
        <v>5287</v>
      </c>
      <c r="AD5" s="31"/>
      <c r="AE5" s="31"/>
      <c r="AF5" s="31"/>
      <c r="AG5" s="31"/>
      <c r="AH5" s="31"/>
      <c r="AI5" s="31"/>
      <c r="AJ5" s="31"/>
      <c r="AK5" s="31" t="s">
        <v>1721</v>
      </c>
      <c r="AL5" s="325">
        <f t="shared" si="0"/>
        <v>45658</v>
      </c>
      <c r="AM5" s="27" t="str">
        <f t="shared" si="3"/>
        <v/>
      </c>
    </row>
    <row r="6" spans="1:39" s="27" customFormat="1" ht="21.6" customHeight="1">
      <c r="A6" s="28">
        <v>5</v>
      </c>
      <c r="B6" s="28" t="s">
        <v>1724</v>
      </c>
      <c r="C6" s="28">
        <v>2025010171</v>
      </c>
      <c r="D6" s="28"/>
      <c r="E6" s="28"/>
      <c r="F6" s="28">
        <v>5155</v>
      </c>
      <c r="G6" s="28" t="s">
        <v>5288</v>
      </c>
      <c r="H6" s="28" t="s">
        <v>3321</v>
      </c>
      <c r="I6" s="28"/>
      <c r="J6" s="28"/>
      <c r="K6" s="28"/>
      <c r="L6" s="28"/>
      <c r="M6" s="29"/>
      <c r="N6" s="28"/>
      <c r="O6" s="29"/>
      <c r="P6" s="30"/>
      <c r="Q6" s="28" t="s">
        <v>5289</v>
      </c>
      <c r="R6" s="28" t="s">
        <v>52</v>
      </c>
      <c r="S6" s="28" t="s">
        <v>4110</v>
      </c>
      <c r="T6" s="28">
        <v>1</v>
      </c>
      <c r="U6" s="28" t="s">
        <v>1719</v>
      </c>
      <c r="V6" s="28" t="s">
        <v>5290</v>
      </c>
      <c r="W6" s="28" t="s">
        <v>5291</v>
      </c>
      <c r="X6" s="135">
        <v>45659.458333333336</v>
      </c>
      <c r="Y6" s="28"/>
      <c r="Z6" s="28">
        <v>0.5</v>
      </c>
      <c r="AA6" s="28"/>
      <c r="AB6" s="28" t="s">
        <v>1720</v>
      </c>
      <c r="AC6" s="30" t="s">
        <v>5292</v>
      </c>
      <c r="AD6" s="28"/>
      <c r="AE6" s="28" t="s">
        <v>1721</v>
      </c>
      <c r="AF6" s="28"/>
      <c r="AG6" s="28"/>
      <c r="AH6" s="28"/>
      <c r="AI6" s="28"/>
      <c r="AJ6" s="28"/>
      <c r="AK6" s="28" t="s">
        <v>1721</v>
      </c>
      <c r="AL6" s="325" t="e">
        <f t="shared" si="0"/>
        <v>#VALUE!</v>
      </c>
      <c r="AM6" s="27" t="str">
        <f t="shared" si="3"/>
        <v/>
      </c>
    </row>
    <row r="7" spans="1:39" s="27" customFormat="1" ht="21.6" customHeight="1">
      <c r="A7" s="31">
        <v>6</v>
      </c>
      <c r="B7" s="31" t="s">
        <v>1724</v>
      </c>
      <c r="C7" s="31">
        <v>2025010397</v>
      </c>
      <c r="D7" s="31"/>
      <c r="E7" s="31"/>
      <c r="F7" s="31">
        <v>5155</v>
      </c>
      <c r="G7" s="31" t="s">
        <v>5288</v>
      </c>
      <c r="H7" s="31" t="s">
        <v>3321</v>
      </c>
      <c r="I7" s="31"/>
      <c r="J7" s="31"/>
      <c r="K7" s="31"/>
      <c r="L7" s="31"/>
      <c r="M7" s="32"/>
      <c r="N7" s="31"/>
      <c r="O7" s="32"/>
      <c r="P7" s="33"/>
      <c r="Q7" s="31" t="s">
        <v>5289</v>
      </c>
      <c r="R7" s="31" t="s">
        <v>52</v>
      </c>
      <c r="S7" s="31" t="s">
        <v>16</v>
      </c>
      <c r="T7" s="31">
        <v>1</v>
      </c>
      <c r="U7" s="31" t="s">
        <v>1719</v>
      </c>
      <c r="V7" s="31" t="s">
        <v>5293</v>
      </c>
      <c r="W7" s="31" t="s">
        <v>5294</v>
      </c>
      <c r="X7" s="211">
        <v>45659.479166666664</v>
      </c>
      <c r="Y7" s="31"/>
      <c r="Z7" s="31">
        <v>2.5</v>
      </c>
      <c r="AA7" s="31"/>
      <c r="AB7" s="31" t="s">
        <v>1720</v>
      </c>
      <c r="AC7" s="33" t="s">
        <v>5295</v>
      </c>
      <c r="AD7" s="31"/>
      <c r="AE7" s="31" t="s">
        <v>1721</v>
      </c>
      <c r="AF7" s="31"/>
      <c r="AG7" s="31"/>
      <c r="AH7" s="31"/>
      <c r="AI7" s="31"/>
      <c r="AJ7" s="31"/>
      <c r="AK7" s="31" t="s">
        <v>1721</v>
      </c>
      <c r="AL7" s="325" t="e">
        <f t="shared" si="0"/>
        <v>#VALUE!</v>
      </c>
      <c r="AM7" s="27" t="str">
        <f t="shared" si="3"/>
        <v/>
      </c>
    </row>
    <row r="8" spans="1:39" s="27" customFormat="1" ht="21.6" customHeight="1">
      <c r="A8" s="28">
        <v>7</v>
      </c>
      <c r="B8" s="28" t="s">
        <v>5033</v>
      </c>
      <c r="C8" s="28">
        <v>2025010486</v>
      </c>
      <c r="D8" s="28" t="s">
        <v>5296</v>
      </c>
      <c r="E8" s="28" t="s">
        <v>5035</v>
      </c>
      <c r="F8" s="28">
        <v>5245</v>
      </c>
      <c r="G8" s="28" t="s">
        <v>5297</v>
      </c>
      <c r="H8" s="28" t="s">
        <v>1747</v>
      </c>
      <c r="I8" s="28" t="s">
        <v>5298</v>
      </c>
      <c r="J8" s="28" t="s">
        <v>5299</v>
      </c>
      <c r="K8" s="28" t="s">
        <v>5067</v>
      </c>
      <c r="L8" s="28" t="s">
        <v>5040</v>
      </c>
      <c r="M8" s="29" t="s">
        <v>4057</v>
      </c>
      <c r="N8" s="28">
        <v>2501</v>
      </c>
      <c r="O8" s="29" t="s">
        <v>5041</v>
      </c>
      <c r="P8" s="30" t="s">
        <v>5300</v>
      </c>
      <c r="Q8" s="28" t="s">
        <v>5301</v>
      </c>
      <c r="R8" s="28" t="s">
        <v>52</v>
      </c>
      <c r="S8" s="28" t="s">
        <v>4110</v>
      </c>
      <c r="T8" s="28">
        <v>1</v>
      </c>
      <c r="U8" s="28" t="s">
        <v>1719</v>
      </c>
      <c r="V8" s="28" t="s">
        <v>5302</v>
      </c>
      <c r="W8" s="28" t="s">
        <v>5303</v>
      </c>
      <c r="X8" s="135">
        <v>45660.53402777778</v>
      </c>
      <c r="Y8" s="28" t="s">
        <v>5304</v>
      </c>
      <c r="Z8" s="28">
        <v>0.5</v>
      </c>
      <c r="AA8" s="28"/>
      <c r="AB8" s="28" t="s">
        <v>1720</v>
      </c>
      <c r="AC8" s="30" t="s">
        <v>5305</v>
      </c>
      <c r="AD8" s="28"/>
      <c r="AE8" s="28"/>
      <c r="AF8" s="28"/>
      <c r="AG8" s="28"/>
      <c r="AH8" s="28"/>
      <c r="AI8" s="28"/>
      <c r="AJ8" s="28"/>
      <c r="AK8" s="28" t="s">
        <v>1721</v>
      </c>
      <c r="AL8" s="325">
        <f t="shared" si="0"/>
        <v>45660</v>
      </c>
      <c r="AM8" s="27" t="str">
        <f t="shared" ref="AM8:AM15" si="4">IF(ISNUMBER(SEARCH("STAR", AC8)), "STAR", "")</f>
        <v/>
      </c>
    </row>
    <row r="9" spans="1:39" s="27" customFormat="1" ht="21.6" customHeight="1">
      <c r="A9" s="31">
        <v>8</v>
      </c>
      <c r="B9" s="31" t="s">
        <v>5033</v>
      </c>
      <c r="C9" s="31">
        <v>2025010506</v>
      </c>
      <c r="D9" s="31" t="s">
        <v>5306</v>
      </c>
      <c r="E9" s="31" t="s">
        <v>5035</v>
      </c>
      <c r="F9" s="31" t="s">
        <v>42</v>
      </c>
      <c r="G9" s="31" t="s">
        <v>1478</v>
      </c>
      <c r="H9" s="31" t="s">
        <v>3321</v>
      </c>
      <c r="I9" s="31" t="s">
        <v>5307</v>
      </c>
      <c r="J9" s="31" t="s">
        <v>5299</v>
      </c>
      <c r="K9" s="31" t="s">
        <v>5067</v>
      </c>
      <c r="L9" s="31" t="s">
        <v>5261</v>
      </c>
      <c r="M9" s="32" t="s">
        <v>5262</v>
      </c>
      <c r="N9" s="31">
        <v>5804</v>
      </c>
      <c r="O9" s="32" t="s">
        <v>5308</v>
      </c>
      <c r="P9" s="33" t="s">
        <v>5309</v>
      </c>
      <c r="Q9" s="31" t="s">
        <v>5110</v>
      </c>
      <c r="R9" s="31" t="s">
        <v>52</v>
      </c>
      <c r="S9" s="31" t="s">
        <v>4110</v>
      </c>
      <c r="T9" s="31">
        <v>1</v>
      </c>
      <c r="U9" s="31" t="s">
        <v>1719</v>
      </c>
      <c r="V9" s="31" t="s">
        <v>5310</v>
      </c>
      <c r="W9" s="31" t="s">
        <v>5311</v>
      </c>
      <c r="X9" s="211">
        <v>45663.438888888886</v>
      </c>
      <c r="Y9" s="31" t="s">
        <v>5312</v>
      </c>
      <c r="Z9" s="31">
        <v>0.5</v>
      </c>
      <c r="AA9" s="31"/>
      <c r="AB9" s="31" t="s">
        <v>1720</v>
      </c>
      <c r="AC9" s="33" t="s">
        <v>5313</v>
      </c>
      <c r="AD9" s="31"/>
      <c r="AE9" s="31"/>
      <c r="AF9" s="31"/>
      <c r="AG9" s="31"/>
      <c r="AH9" s="31"/>
      <c r="AI9" s="31"/>
      <c r="AJ9" s="31"/>
      <c r="AK9" s="31" t="s">
        <v>1721</v>
      </c>
      <c r="AL9" s="325">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5275</v>
      </c>
      <c r="R10" s="28" t="s">
        <v>52</v>
      </c>
      <c r="S10" s="28" t="s">
        <v>4110</v>
      </c>
      <c r="T10" s="28">
        <v>1</v>
      </c>
      <c r="U10" s="28" t="s">
        <v>1719</v>
      </c>
      <c r="V10" s="28" t="s">
        <v>5314</v>
      </c>
      <c r="W10" s="28" t="s">
        <v>5315</v>
      </c>
      <c r="X10" s="135">
        <v>45660.43472222222</v>
      </c>
      <c r="Y10" s="28"/>
      <c r="Z10" s="28">
        <v>0.3</v>
      </c>
      <c r="AA10" s="28"/>
      <c r="AB10" s="28" t="s">
        <v>1720</v>
      </c>
      <c r="AC10" s="30" t="s">
        <v>4119</v>
      </c>
      <c r="AD10" s="28" t="s">
        <v>1721</v>
      </c>
      <c r="AE10" s="28"/>
      <c r="AF10" s="28"/>
      <c r="AG10" s="28"/>
      <c r="AH10" s="28"/>
      <c r="AI10" s="28"/>
      <c r="AJ10" s="28"/>
      <c r="AK10" s="28" t="s">
        <v>1721</v>
      </c>
      <c r="AL10" s="325" t="e">
        <f t="shared" si="0"/>
        <v>#VALUE!</v>
      </c>
      <c r="AM10" s="27" t="str">
        <f t="shared" si="4"/>
        <v/>
      </c>
    </row>
    <row r="11" spans="1:39" s="27" customFormat="1" ht="21.6" customHeight="1">
      <c r="A11" s="31">
        <v>10</v>
      </c>
      <c r="B11" s="31" t="s">
        <v>5033</v>
      </c>
      <c r="C11" s="31">
        <v>2025010532</v>
      </c>
      <c r="D11" s="31" t="s">
        <v>5316</v>
      </c>
      <c r="E11" s="31" t="s">
        <v>5035</v>
      </c>
      <c r="F11" s="31">
        <v>4191</v>
      </c>
      <c r="G11" s="31" t="s">
        <v>325</v>
      </c>
      <c r="H11" s="31" t="s">
        <v>1747</v>
      </c>
      <c r="I11" s="31" t="s">
        <v>5317</v>
      </c>
      <c r="J11" s="31" t="s">
        <v>5299</v>
      </c>
      <c r="K11" s="31" t="s">
        <v>5067</v>
      </c>
      <c r="L11" s="31" t="s">
        <v>5318</v>
      </c>
      <c r="M11" s="32" t="s">
        <v>5319</v>
      </c>
      <c r="N11" s="31" t="s">
        <v>5320</v>
      </c>
      <c r="O11" s="32" t="s">
        <v>5321</v>
      </c>
      <c r="P11" s="33" t="s">
        <v>5322</v>
      </c>
      <c r="Q11" s="31" t="s">
        <v>5323</v>
      </c>
      <c r="R11" s="31" t="s">
        <v>52</v>
      </c>
      <c r="S11" s="31" t="s">
        <v>4110</v>
      </c>
      <c r="T11" s="31">
        <v>1</v>
      </c>
      <c r="U11" s="31" t="s">
        <v>1719</v>
      </c>
      <c r="V11" s="31" t="s">
        <v>5324</v>
      </c>
      <c r="W11" s="31" t="s">
        <v>5325</v>
      </c>
      <c r="X11" s="211">
        <v>45660.506249999999</v>
      </c>
      <c r="Y11" s="31" t="s">
        <v>5326</v>
      </c>
      <c r="Z11" s="31">
        <v>0.5</v>
      </c>
      <c r="AA11" s="31"/>
      <c r="AB11" s="31" t="s">
        <v>1720</v>
      </c>
      <c r="AC11" s="33" t="s">
        <v>5327</v>
      </c>
      <c r="AD11" s="31"/>
      <c r="AE11" s="31"/>
      <c r="AF11" s="31"/>
      <c r="AG11" s="31"/>
      <c r="AH11" s="31"/>
      <c r="AI11" s="31"/>
      <c r="AJ11" s="31"/>
      <c r="AK11" s="31" t="s">
        <v>1721</v>
      </c>
      <c r="AL11" s="325">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5284</v>
      </c>
      <c r="R12" s="28" t="s">
        <v>52</v>
      </c>
      <c r="S12" s="28" t="s">
        <v>4110</v>
      </c>
      <c r="T12" s="28">
        <v>1</v>
      </c>
      <c r="U12" s="28" t="s">
        <v>1719</v>
      </c>
      <c r="V12" s="28" t="s">
        <v>5328</v>
      </c>
      <c r="W12" s="28" t="s">
        <v>5329</v>
      </c>
      <c r="X12" s="135">
        <v>45660.463888888888</v>
      </c>
      <c r="Y12" s="28"/>
      <c r="Z12" s="28">
        <v>0.3</v>
      </c>
      <c r="AA12" s="28"/>
      <c r="AB12" s="28" t="s">
        <v>1720</v>
      </c>
      <c r="AC12" s="30" t="s">
        <v>4119</v>
      </c>
      <c r="AD12" s="28" t="s">
        <v>1721</v>
      </c>
      <c r="AE12" s="28"/>
      <c r="AF12" s="28"/>
      <c r="AG12" s="28"/>
      <c r="AH12" s="28"/>
      <c r="AI12" s="28"/>
      <c r="AJ12" s="28"/>
      <c r="AK12" s="28" t="s">
        <v>1721</v>
      </c>
      <c r="AL12" s="325" t="e">
        <f t="shared" si="0"/>
        <v>#VALUE!</v>
      </c>
      <c r="AM12" s="27" t="str">
        <f t="shared" si="4"/>
        <v/>
      </c>
    </row>
    <row r="13" spans="1:39" s="27" customFormat="1" ht="21.6" customHeight="1">
      <c r="A13" s="31">
        <v>12</v>
      </c>
      <c r="B13" s="31" t="s">
        <v>5033</v>
      </c>
      <c r="C13" s="31">
        <v>2025010541</v>
      </c>
      <c r="D13" s="31" t="s">
        <v>5330</v>
      </c>
      <c r="E13" s="31" t="s">
        <v>5035</v>
      </c>
      <c r="F13" s="31">
        <v>4680</v>
      </c>
      <c r="G13" s="31" t="s">
        <v>480</v>
      </c>
      <c r="H13" s="31" t="s">
        <v>1722</v>
      </c>
      <c r="I13" s="31" t="s">
        <v>5331</v>
      </c>
      <c r="J13" s="31" t="s">
        <v>5299</v>
      </c>
      <c r="K13" s="31" t="s">
        <v>5067</v>
      </c>
      <c r="L13" s="31" t="s">
        <v>5227</v>
      </c>
      <c r="M13" s="32" t="s">
        <v>5228</v>
      </c>
      <c r="N13" s="31" t="s">
        <v>5229</v>
      </c>
      <c r="O13" s="32" t="s">
        <v>5230</v>
      </c>
      <c r="P13" s="33" t="s">
        <v>5332</v>
      </c>
      <c r="Q13" s="31" t="s">
        <v>5333</v>
      </c>
      <c r="R13" s="31" t="s">
        <v>52</v>
      </c>
      <c r="S13" s="31" t="s">
        <v>1157</v>
      </c>
      <c r="T13" s="31">
        <v>1</v>
      </c>
      <c r="U13" s="31" t="s">
        <v>1719</v>
      </c>
      <c r="V13" s="31" t="s">
        <v>5334</v>
      </c>
      <c r="W13" s="31" t="s">
        <v>5335</v>
      </c>
      <c r="X13" s="211">
        <v>45663.569444444445</v>
      </c>
      <c r="Y13" s="31" t="s">
        <v>5336</v>
      </c>
      <c r="Z13" s="31">
        <v>0.5</v>
      </c>
      <c r="AA13" s="31"/>
      <c r="AB13" s="31" t="s">
        <v>1720</v>
      </c>
      <c r="AC13" s="33" t="s">
        <v>5337</v>
      </c>
      <c r="AD13" s="31"/>
      <c r="AE13" s="31"/>
      <c r="AF13" s="31"/>
      <c r="AG13" s="31"/>
      <c r="AH13" s="31"/>
      <c r="AI13" s="31"/>
      <c r="AJ13" s="31"/>
      <c r="AK13" s="31" t="s">
        <v>1721</v>
      </c>
      <c r="AL13" s="325">
        <f t="shared" si="0"/>
        <v>45660</v>
      </c>
      <c r="AM13" s="27" t="str">
        <f t="shared" si="4"/>
        <v/>
      </c>
    </row>
    <row r="14" spans="1:39" s="27" customFormat="1" ht="21.6" customHeight="1">
      <c r="A14" s="28">
        <v>13</v>
      </c>
      <c r="B14" s="28" t="s">
        <v>5033</v>
      </c>
      <c r="C14" s="28">
        <v>2025010542</v>
      </c>
      <c r="D14" s="28" t="s">
        <v>5338</v>
      </c>
      <c r="E14" s="28" t="s">
        <v>5035</v>
      </c>
      <c r="F14" s="28">
        <v>4680</v>
      </c>
      <c r="G14" s="28" t="s">
        <v>480</v>
      </c>
      <c r="H14" s="28" t="s">
        <v>1722</v>
      </c>
      <c r="I14" s="28" t="s">
        <v>5339</v>
      </c>
      <c r="J14" s="28" t="s">
        <v>5299</v>
      </c>
      <c r="K14" s="28" t="s">
        <v>5067</v>
      </c>
      <c r="L14" s="28" t="s">
        <v>5227</v>
      </c>
      <c r="M14" s="29" t="s">
        <v>5228</v>
      </c>
      <c r="N14" s="28" t="s">
        <v>5229</v>
      </c>
      <c r="O14" s="29" t="s">
        <v>5230</v>
      </c>
      <c r="P14" s="30" t="s">
        <v>5340</v>
      </c>
      <c r="Q14" s="28" t="s">
        <v>5333</v>
      </c>
      <c r="R14" s="28" t="s">
        <v>52</v>
      </c>
      <c r="S14" s="28" t="s">
        <v>1157</v>
      </c>
      <c r="T14" s="28">
        <v>1</v>
      </c>
      <c r="U14" s="28" t="s">
        <v>1719</v>
      </c>
      <c r="V14" s="28" t="s">
        <v>5341</v>
      </c>
      <c r="W14" s="28" t="s">
        <v>5335</v>
      </c>
      <c r="X14" s="135">
        <v>45663.569444444445</v>
      </c>
      <c r="Y14" s="28" t="s">
        <v>5342</v>
      </c>
      <c r="Z14" s="28">
        <v>0.5</v>
      </c>
      <c r="AA14" s="28"/>
      <c r="AB14" s="28" t="s">
        <v>1720</v>
      </c>
      <c r="AC14" s="30" t="s">
        <v>5343</v>
      </c>
      <c r="AD14" s="28"/>
      <c r="AE14" s="28"/>
      <c r="AF14" s="28"/>
      <c r="AG14" s="28"/>
      <c r="AH14" s="28"/>
      <c r="AI14" s="28"/>
      <c r="AJ14" s="28"/>
      <c r="AK14" s="28" t="s">
        <v>1721</v>
      </c>
      <c r="AL14" s="325">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5323</v>
      </c>
      <c r="R15" s="31" t="s">
        <v>52</v>
      </c>
      <c r="S15" s="31" t="s">
        <v>4110</v>
      </c>
      <c r="T15" s="31">
        <v>1</v>
      </c>
      <c r="U15" s="31" t="s">
        <v>1719</v>
      </c>
      <c r="V15" s="31" t="s">
        <v>5344</v>
      </c>
      <c r="W15" s="31" t="s">
        <v>5345</v>
      </c>
      <c r="X15" s="211">
        <v>45660.51666666667</v>
      </c>
      <c r="Y15" s="31"/>
      <c r="Z15" s="31">
        <v>0.4</v>
      </c>
      <c r="AA15" s="31"/>
      <c r="AB15" s="31" t="s">
        <v>1720</v>
      </c>
      <c r="AC15" s="33" t="s">
        <v>4119</v>
      </c>
      <c r="AD15" s="31" t="s">
        <v>1721</v>
      </c>
      <c r="AE15" s="31"/>
      <c r="AF15" s="31"/>
      <c r="AG15" s="31"/>
      <c r="AH15" s="31"/>
      <c r="AI15" s="31"/>
      <c r="AJ15" s="31"/>
      <c r="AK15" s="31" t="s">
        <v>1721</v>
      </c>
      <c r="AL15" s="325" t="e">
        <f t="shared" si="0"/>
        <v>#VALUE!</v>
      </c>
      <c r="AM15" s="27" t="str">
        <f t="shared" si="4"/>
        <v/>
      </c>
    </row>
    <row r="16" spans="1:39" s="27" customFormat="1" ht="21.6" customHeight="1">
      <c r="A16" s="28">
        <v>15</v>
      </c>
      <c r="B16" s="28" t="s">
        <v>1724</v>
      </c>
      <c r="C16" s="28">
        <v>2025010561</v>
      </c>
      <c r="D16" s="28"/>
      <c r="E16" s="28"/>
      <c r="F16" s="28">
        <v>5245</v>
      </c>
      <c r="G16" s="28" t="s">
        <v>5297</v>
      </c>
      <c r="H16" s="28" t="s">
        <v>1747</v>
      </c>
      <c r="I16" s="28"/>
      <c r="J16" s="28"/>
      <c r="K16" s="28"/>
      <c r="L16" s="28"/>
      <c r="M16" s="29"/>
      <c r="N16" s="28"/>
      <c r="O16" s="29"/>
      <c r="P16" s="30"/>
      <c r="Q16" s="28" t="s">
        <v>5301</v>
      </c>
      <c r="R16" s="28" t="s">
        <v>52</v>
      </c>
      <c r="S16" s="28" t="s">
        <v>4110</v>
      </c>
      <c r="T16" s="28">
        <v>1</v>
      </c>
      <c r="U16" s="28" t="s">
        <v>1719</v>
      </c>
      <c r="V16" s="28" t="s">
        <v>5346</v>
      </c>
      <c r="W16" s="28" t="s">
        <v>5347</v>
      </c>
      <c r="X16" s="135">
        <v>45660.541666666664</v>
      </c>
      <c r="Y16" s="28"/>
      <c r="Z16" s="28">
        <v>0.5</v>
      </c>
      <c r="AA16" s="28"/>
      <c r="AB16" s="28" t="s">
        <v>1720</v>
      </c>
      <c r="AC16" s="30" t="s">
        <v>4119</v>
      </c>
      <c r="AD16" s="28" t="s">
        <v>1721</v>
      </c>
      <c r="AE16" s="28"/>
      <c r="AF16" s="28"/>
      <c r="AG16" s="28"/>
      <c r="AH16" s="28"/>
      <c r="AI16" s="28"/>
      <c r="AJ16" s="28"/>
      <c r="AK16" s="28" t="s">
        <v>1721</v>
      </c>
      <c r="AL16" s="325"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5131</v>
      </c>
      <c r="R17" s="31" t="s">
        <v>52</v>
      </c>
      <c r="S17" s="31" t="s">
        <v>4110</v>
      </c>
      <c r="T17" s="31">
        <v>1</v>
      </c>
      <c r="U17" s="31" t="s">
        <v>1719</v>
      </c>
      <c r="V17" s="31" t="s">
        <v>5348</v>
      </c>
      <c r="W17" s="31" t="s">
        <v>5349</v>
      </c>
      <c r="X17" s="211">
        <v>45660.622916666667</v>
      </c>
      <c r="Y17" s="31"/>
      <c r="Z17" s="31">
        <v>0.5</v>
      </c>
      <c r="AA17" s="31"/>
      <c r="AB17" s="31" t="s">
        <v>1720</v>
      </c>
      <c r="AC17" s="33" t="s">
        <v>4119</v>
      </c>
      <c r="AD17" s="31" t="s">
        <v>1721</v>
      </c>
      <c r="AE17" s="31"/>
      <c r="AF17" s="31"/>
      <c r="AG17" s="31"/>
      <c r="AH17" s="31"/>
      <c r="AI17" s="31"/>
      <c r="AJ17" s="31"/>
      <c r="AK17" s="31" t="s">
        <v>1721</v>
      </c>
      <c r="AL17" s="325"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5134</v>
      </c>
      <c r="R18" s="28" t="s">
        <v>52</v>
      </c>
      <c r="S18" s="28" t="s">
        <v>4110</v>
      </c>
      <c r="T18" s="28">
        <v>1</v>
      </c>
      <c r="U18" s="28" t="s">
        <v>1719</v>
      </c>
      <c r="V18" s="28" t="s">
        <v>5350</v>
      </c>
      <c r="W18" s="28" t="s">
        <v>5351</v>
      </c>
      <c r="X18" s="135">
        <v>45660.659722222219</v>
      </c>
      <c r="Y18" s="28"/>
      <c r="Z18" s="28">
        <v>0.5</v>
      </c>
      <c r="AA18" s="28"/>
      <c r="AB18" s="28" t="s">
        <v>1720</v>
      </c>
      <c r="AC18" s="30" t="s">
        <v>4119</v>
      </c>
      <c r="AD18" s="28" t="s">
        <v>1721</v>
      </c>
      <c r="AE18" s="28"/>
      <c r="AF18" s="28"/>
      <c r="AG18" s="28"/>
      <c r="AH18" s="28"/>
      <c r="AI18" s="28"/>
      <c r="AJ18" s="28"/>
      <c r="AK18" s="28" t="s">
        <v>1721</v>
      </c>
      <c r="AL18" s="325" t="e">
        <f t="shared" si="0"/>
        <v>#VALUE!</v>
      </c>
      <c r="AM18" s="27" t="str">
        <f t="shared" si="5"/>
        <v/>
      </c>
    </row>
    <row r="19" spans="1:39" s="27" customFormat="1" ht="21.6" customHeight="1">
      <c r="A19" s="31">
        <v>18</v>
      </c>
      <c r="B19" s="31" t="s">
        <v>5033</v>
      </c>
      <c r="C19" s="31">
        <v>2025010665</v>
      </c>
      <c r="D19" s="31" t="s">
        <v>5352</v>
      </c>
      <c r="E19" s="31" t="s">
        <v>5035</v>
      </c>
      <c r="F19" s="31">
        <v>4036</v>
      </c>
      <c r="G19" s="31" t="s">
        <v>1526</v>
      </c>
      <c r="H19" s="31" t="s">
        <v>1725</v>
      </c>
      <c r="I19" s="31" t="s">
        <v>5353</v>
      </c>
      <c r="J19" s="31" t="s">
        <v>5226</v>
      </c>
      <c r="K19" s="31" t="s">
        <v>5039</v>
      </c>
      <c r="L19" s="31" t="s">
        <v>5068</v>
      </c>
      <c r="M19" s="32" t="s">
        <v>1723</v>
      </c>
      <c r="N19" s="31">
        <v>2304</v>
      </c>
      <c r="O19" s="32" t="s">
        <v>5097</v>
      </c>
      <c r="P19" s="33" t="s">
        <v>5354</v>
      </c>
      <c r="Q19" s="31" t="s">
        <v>5355</v>
      </c>
      <c r="R19" s="31" t="s">
        <v>52</v>
      </c>
      <c r="S19" s="31" t="s">
        <v>4110</v>
      </c>
      <c r="T19" s="31">
        <v>1</v>
      </c>
      <c r="U19" s="31" t="s">
        <v>1719</v>
      </c>
      <c r="V19" s="31" t="s">
        <v>5356</v>
      </c>
      <c r="W19" s="31" t="s">
        <v>5357</v>
      </c>
      <c r="X19" s="211">
        <v>45663.601388888892</v>
      </c>
      <c r="Y19" s="31" t="s">
        <v>5358</v>
      </c>
      <c r="Z19" s="31">
        <v>0.5</v>
      </c>
      <c r="AA19" s="31"/>
      <c r="AB19" s="31" t="s">
        <v>1720</v>
      </c>
      <c r="AC19" s="33" t="s">
        <v>5359</v>
      </c>
      <c r="AD19" s="31"/>
      <c r="AE19" s="31"/>
      <c r="AF19" s="31"/>
      <c r="AG19" s="31"/>
      <c r="AH19" s="31"/>
      <c r="AI19" s="31"/>
      <c r="AJ19" s="31"/>
      <c r="AK19" s="31" t="s">
        <v>1721</v>
      </c>
      <c r="AL19" s="325">
        <f t="shared" si="0"/>
        <v>45662</v>
      </c>
      <c r="AM19" s="27" t="str">
        <f t="shared" ref="AM19:AM35" si="6">IF(ISNUMBER(SEARCH("STAR", AC19)), "STAR", "")</f>
        <v/>
      </c>
    </row>
    <row r="20" spans="1:39" s="27" customFormat="1" ht="21.6" customHeight="1">
      <c r="A20" s="28">
        <v>19</v>
      </c>
      <c r="B20" s="28" t="s">
        <v>5033</v>
      </c>
      <c r="C20" s="28">
        <v>2025010666</v>
      </c>
      <c r="D20" s="28" t="s">
        <v>5360</v>
      </c>
      <c r="E20" s="28" t="s">
        <v>5035</v>
      </c>
      <c r="F20" s="28">
        <v>4036</v>
      </c>
      <c r="G20" s="28" t="s">
        <v>1526</v>
      </c>
      <c r="H20" s="28" t="s">
        <v>1725</v>
      </c>
      <c r="I20" s="28" t="s">
        <v>5361</v>
      </c>
      <c r="J20" s="28" t="s">
        <v>5226</v>
      </c>
      <c r="K20" s="28" t="s">
        <v>5039</v>
      </c>
      <c r="L20" s="28" t="s">
        <v>5068</v>
      </c>
      <c r="M20" s="29" t="s">
        <v>1723</v>
      </c>
      <c r="N20" s="28">
        <v>2304</v>
      </c>
      <c r="O20" s="29" t="s">
        <v>5097</v>
      </c>
      <c r="P20" s="30" t="s">
        <v>5362</v>
      </c>
      <c r="Q20" s="28" t="s">
        <v>5355</v>
      </c>
      <c r="R20" s="28" t="s">
        <v>52</v>
      </c>
      <c r="S20" s="28" t="s">
        <v>4110</v>
      </c>
      <c r="T20" s="28">
        <v>1</v>
      </c>
      <c r="U20" s="28" t="s">
        <v>1719</v>
      </c>
      <c r="V20" s="28" t="s">
        <v>5363</v>
      </c>
      <c r="W20" s="28" t="s">
        <v>5364</v>
      </c>
      <c r="X20" s="135">
        <v>45663.6</v>
      </c>
      <c r="Y20" s="28" t="s">
        <v>5358</v>
      </c>
      <c r="Z20" s="28">
        <v>0.5</v>
      </c>
      <c r="AA20" s="28"/>
      <c r="AB20" s="28" t="s">
        <v>1720</v>
      </c>
      <c r="AC20" s="30" t="s">
        <v>5365</v>
      </c>
      <c r="AD20" s="28"/>
      <c r="AE20" s="28"/>
      <c r="AF20" s="28"/>
      <c r="AG20" s="28"/>
      <c r="AH20" s="28"/>
      <c r="AI20" s="28"/>
      <c r="AJ20" s="28"/>
      <c r="AK20" s="28" t="s">
        <v>1721</v>
      </c>
      <c r="AL20" s="325">
        <f t="shared" si="0"/>
        <v>45662</v>
      </c>
      <c r="AM20" s="27" t="str">
        <f t="shared" si="6"/>
        <v/>
      </c>
    </row>
    <row r="21" spans="1:39" s="27" customFormat="1" ht="21.6" customHeight="1">
      <c r="A21" s="31">
        <v>20</v>
      </c>
      <c r="B21" s="31" t="s">
        <v>5033</v>
      </c>
      <c r="C21" s="31">
        <v>2025010730</v>
      </c>
      <c r="D21" s="31" t="s">
        <v>5366</v>
      </c>
      <c r="E21" s="31" t="s">
        <v>5035</v>
      </c>
      <c r="F21" s="31" t="s">
        <v>44</v>
      </c>
      <c r="G21" s="31" t="s">
        <v>640</v>
      </c>
      <c r="H21" s="31" t="s">
        <v>1748</v>
      </c>
      <c r="I21" s="31" t="s">
        <v>5367</v>
      </c>
      <c r="J21" s="31" t="s">
        <v>5038</v>
      </c>
      <c r="K21" s="31" t="s">
        <v>5067</v>
      </c>
      <c r="L21" s="31" t="s">
        <v>5368</v>
      </c>
      <c r="M21" s="32" t="s">
        <v>5369</v>
      </c>
      <c r="N21" s="31">
        <v>2701</v>
      </c>
      <c r="O21" s="32" t="s">
        <v>5370</v>
      </c>
      <c r="P21" s="33" t="s">
        <v>5371</v>
      </c>
      <c r="Q21" s="31" t="s">
        <v>5372</v>
      </c>
      <c r="R21" s="31" t="s">
        <v>52</v>
      </c>
      <c r="S21" s="31" t="s">
        <v>16</v>
      </c>
      <c r="T21" s="31">
        <v>1</v>
      </c>
      <c r="U21" s="31" t="s">
        <v>1719</v>
      </c>
      <c r="V21" s="31" t="s">
        <v>5373</v>
      </c>
      <c r="W21" s="31" t="s">
        <v>5374</v>
      </c>
      <c r="X21" s="211">
        <v>45663.538194444445</v>
      </c>
      <c r="Y21" s="31" t="s">
        <v>5376</v>
      </c>
      <c r="Z21" s="31">
        <v>1.4</v>
      </c>
      <c r="AA21" s="31"/>
      <c r="AB21" s="31" t="s">
        <v>1720</v>
      </c>
      <c r="AC21" s="33" t="s">
        <v>5377</v>
      </c>
      <c r="AD21" s="31"/>
      <c r="AE21" s="31"/>
      <c r="AF21" s="31"/>
      <c r="AG21" s="31"/>
      <c r="AH21" s="31"/>
      <c r="AI21" s="31"/>
      <c r="AJ21" s="31"/>
      <c r="AK21" s="31" t="s">
        <v>1721</v>
      </c>
      <c r="AL21" s="325">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5110</v>
      </c>
      <c r="R22" s="28" t="s">
        <v>52</v>
      </c>
      <c r="S22" s="28" t="s">
        <v>4110</v>
      </c>
      <c r="T22" s="28">
        <v>1</v>
      </c>
      <c r="U22" s="28" t="s">
        <v>1719</v>
      </c>
      <c r="V22" s="28" t="s">
        <v>5378</v>
      </c>
      <c r="W22" s="28" t="s">
        <v>5379</v>
      </c>
      <c r="X22" s="135">
        <v>45663.465277777781</v>
      </c>
      <c r="Y22" s="28"/>
      <c r="Z22" s="28">
        <v>0.7</v>
      </c>
      <c r="AA22" s="28"/>
      <c r="AB22" s="28" t="s">
        <v>1720</v>
      </c>
      <c r="AC22" s="30" t="s">
        <v>4119</v>
      </c>
      <c r="AD22" s="28" t="s">
        <v>1721</v>
      </c>
      <c r="AE22" s="28"/>
      <c r="AF22" s="28"/>
      <c r="AG22" s="28"/>
      <c r="AH22" s="28"/>
      <c r="AI22" s="28"/>
      <c r="AJ22" s="28"/>
      <c r="AK22" s="28" t="s">
        <v>1721</v>
      </c>
      <c r="AL22" s="325"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5372</v>
      </c>
      <c r="R23" s="31" t="s">
        <v>52</v>
      </c>
      <c r="S23" s="31" t="s">
        <v>16</v>
      </c>
      <c r="T23" s="31">
        <v>1</v>
      </c>
      <c r="U23" s="31" t="s">
        <v>1719</v>
      </c>
      <c r="V23" s="31" t="s">
        <v>5380</v>
      </c>
      <c r="W23" s="31" t="s">
        <v>5375</v>
      </c>
      <c r="X23" s="211">
        <v>45663.548611111109</v>
      </c>
      <c r="Y23" s="31"/>
      <c r="Z23" s="31">
        <v>0.3</v>
      </c>
      <c r="AA23" s="31"/>
      <c r="AB23" s="31" t="s">
        <v>1720</v>
      </c>
      <c r="AC23" s="33" t="s">
        <v>4119</v>
      </c>
      <c r="AD23" s="31" t="s">
        <v>1721</v>
      </c>
      <c r="AE23" s="31"/>
      <c r="AF23" s="31"/>
      <c r="AG23" s="31"/>
      <c r="AH23" s="31"/>
      <c r="AI23" s="31"/>
      <c r="AJ23" s="31"/>
      <c r="AK23" s="31" t="s">
        <v>1721</v>
      </c>
      <c r="AL23" s="325" t="e">
        <f t="shared" si="0"/>
        <v>#VALUE!</v>
      </c>
      <c r="AM23" s="27" t="str">
        <f t="shared" si="6"/>
        <v/>
      </c>
    </row>
    <row r="24" spans="1:39" s="27" customFormat="1" ht="21.6" customHeight="1">
      <c r="A24" s="28">
        <v>23</v>
      </c>
      <c r="B24" s="28" t="s">
        <v>5033</v>
      </c>
      <c r="C24" s="28">
        <v>2025010770</v>
      </c>
      <c r="D24" s="28" t="s">
        <v>5381</v>
      </c>
      <c r="E24" s="28" t="s">
        <v>5035</v>
      </c>
      <c r="F24" s="28">
        <v>4145</v>
      </c>
      <c r="G24" s="28" t="s">
        <v>313</v>
      </c>
      <c r="H24" s="28" t="s">
        <v>1722</v>
      </c>
      <c r="I24" s="28" t="s">
        <v>5382</v>
      </c>
      <c r="J24" s="28" t="s">
        <v>5038</v>
      </c>
      <c r="K24" s="28" t="s">
        <v>5039</v>
      </c>
      <c r="L24" s="28" t="s">
        <v>5068</v>
      </c>
      <c r="M24" s="29" t="s">
        <v>1723</v>
      </c>
      <c r="N24" s="28">
        <v>2307</v>
      </c>
      <c r="O24" s="29" t="s">
        <v>5383</v>
      </c>
      <c r="P24" s="30" t="s">
        <v>5384</v>
      </c>
      <c r="Q24" s="28" t="s">
        <v>5385</v>
      </c>
      <c r="R24" s="28" t="s">
        <v>52</v>
      </c>
      <c r="S24" s="28" t="s">
        <v>1157</v>
      </c>
      <c r="T24" s="28">
        <v>1</v>
      </c>
      <c r="U24" s="28" t="s">
        <v>1719</v>
      </c>
      <c r="V24" s="28" t="s">
        <v>5386</v>
      </c>
      <c r="W24" s="28" t="s">
        <v>5387</v>
      </c>
      <c r="X24" s="135">
        <v>45663.619444444441</v>
      </c>
      <c r="Y24" s="28" t="s">
        <v>5388</v>
      </c>
      <c r="Z24" s="28">
        <v>0.5</v>
      </c>
      <c r="AA24" s="28"/>
      <c r="AB24" s="28"/>
      <c r="AC24" s="30" t="s">
        <v>5389</v>
      </c>
      <c r="AD24" s="28"/>
      <c r="AE24" s="28"/>
      <c r="AF24" s="28"/>
      <c r="AG24" s="28"/>
      <c r="AH24" s="28"/>
      <c r="AI24" s="28"/>
      <c r="AJ24" s="28"/>
      <c r="AK24" s="28" t="s">
        <v>1721</v>
      </c>
      <c r="AL24" s="325">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5390</v>
      </c>
      <c r="R25" s="31" t="s">
        <v>52</v>
      </c>
      <c r="S25" s="31" t="s">
        <v>1157</v>
      </c>
      <c r="T25" s="31">
        <v>1</v>
      </c>
      <c r="U25" s="31" t="s">
        <v>1719</v>
      </c>
      <c r="V25" s="31" t="s">
        <v>5391</v>
      </c>
      <c r="W25" s="31" t="s">
        <v>5392</v>
      </c>
      <c r="X25" s="211">
        <v>45663.586805555555</v>
      </c>
      <c r="Y25" s="31"/>
      <c r="Z25" s="31">
        <v>0.3</v>
      </c>
      <c r="AA25" s="31"/>
      <c r="AB25" s="31" t="s">
        <v>1720</v>
      </c>
      <c r="AC25" s="33" t="s">
        <v>4119</v>
      </c>
      <c r="AD25" s="31" t="s">
        <v>1721</v>
      </c>
      <c r="AE25" s="31"/>
      <c r="AF25" s="31"/>
      <c r="AG25" s="31"/>
      <c r="AH25" s="31"/>
      <c r="AI25" s="31"/>
      <c r="AJ25" s="31"/>
      <c r="AK25" s="31" t="s">
        <v>1721</v>
      </c>
      <c r="AL25" s="325"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5355</v>
      </c>
      <c r="R26" s="28" t="s">
        <v>52</v>
      </c>
      <c r="S26" s="28" t="s">
        <v>4110</v>
      </c>
      <c r="T26" s="28">
        <v>1</v>
      </c>
      <c r="U26" s="28" t="s">
        <v>1719</v>
      </c>
      <c r="V26" s="28" t="s">
        <v>5393</v>
      </c>
      <c r="W26" s="28" t="s">
        <v>5394</v>
      </c>
      <c r="X26" s="135">
        <v>45663.603472222225</v>
      </c>
      <c r="Y26" s="28"/>
      <c r="Z26" s="28">
        <v>0.7</v>
      </c>
      <c r="AA26" s="28"/>
      <c r="AB26" s="28" t="s">
        <v>1720</v>
      </c>
      <c r="AC26" s="30" t="s">
        <v>4119</v>
      </c>
      <c r="AD26" s="28" t="s">
        <v>1721</v>
      </c>
      <c r="AE26" s="28"/>
      <c r="AF26" s="28"/>
      <c r="AG26" s="28"/>
      <c r="AH26" s="28"/>
      <c r="AI26" s="28"/>
      <c r="AJ26" s="28"/>
      <c r="AK26" s="28" t="s">
        <v>1721</v>
      </c>
      <c r="AL26" s="325"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5395</v>
      </c>
      <c r="R27" s="31" t="s">
        <v>52</v>
      </c>
      <c r="S27" s="31" t="s">
        <v>16</v>
      </c>
      <c r="T27" s="31">
        <v>1</v>
      </c>
      <c r="U27" s="31" t="s">
        <v>1719</v>
      </c>
      <c r="V27" s="31" t="s">
        <v>5396</v>
      </c>
      <c r="W27" s="31" t="s">
        <v>5397</v>
      </c>
      <c r="X27" s="211">
        <v>45663.635416666664</v>
      </c>
      <c r="Y27" s="31"/>
      <c r="Z27" s="31">
        <v>0.3</v>
      </c>
      <c r="AA27" s="31"/>
      <c r="AB27" s="31" t="s">
        <v>1720</v>
      </c>
      <c r="AC27" s="33" t="s">
        <v>4119</v>
      </c>
      <c r="AD27" s="31" t="s">
        <v>1721</v>
      </c>
      <c r="AE27" s="31"/>
      <c r="AF27" s="31"/>
      <c r="AG27" s="31"/>
      <c r="AH27" s="31"/>
      <c r="AI27" s="31"/>
      <c r="AJ27" s="31"/>
      <c r="AK27" s="31" t="s">
        <v>1721</v>
      </c>
      <c r="AL27" s="325" t="e">
        <f t="shared" si="0"/>
        <v>#VALUE!</v>
      </c>
      <c r="AM27" s="27" t="str">
        <f t="shared" si="6"/>
        <v/>
      </c>
    </row>
    <row r="28" spans="1:39" s="27" customFormat="1" ht="21.6" customHeight="1">
      <c r="A28" s="28">
        <v>27</v>
      </c>
      <c r="B28" s="28" t="s">
        <v>5033</v>
      </c>
      <c r="C28" s="28">
        <v>2025010810</v>
      </c>
      <c r="D28" s="28" t="s">
        <v>5398</v>
      </c>
      <c r="E28" s="28" t="s">
        <v>5035</v>
      </c>
      <c r="F28" s="28">
        <v>3977</v>
      </c>
      <c r="G28" s="28" t="s">
        <v>278</v>
      </c>
      <c r="H28" s="28" t="s">
        <v>1722</v>
      </c>
      <c r="I28" s="28" t="s">
        <v>5399</v>
      </c>
      <c r="J28" s="28" t="s">
        <v>5038</v>
      </c>
      <c r="K28" s="28" t="s">
        <v>5039</v>
      </c>
      <c r="L28" s="28" t="s">
        <v>5227</v>
      </c>
      <c r="M28" s="29" t="s">
        <v>5228</v>
      </c>
      <c r="N28" s="28" t="s">
        <v>5229</v>
      </c>
      <c r="O28" s="29" t="s">
        <v>5230</v>
      </c>
      <c r="P28" s="30" t="s">
        <v>5400</v>
      </c>
      <c r="Q28" s="28" t="s">
        <v>5212</v>
      </c>
      <c r="R28" s="28" t="s">
        <v>52</v>
      </c>
      <c r="S28" s="28" t="s">
        <v>1157</v>
      </c>
      <c r="T28" s="28">
        <v>1</v>
      </c>
      <c r="U28" s="28" t="s">
        <v>1719</v>
      </c>
      <c r="V28" s="28" t="s">
        <v>5401</v>
      </c>
      <c r="W28" s="28" t="s">
        <v>5402</v>
      </c>
      <c r="X28" s="135">
        <v>45664.623611111114</v>
      </c>
      <c r="Y28" s="28" t="s">
        <v>5403</v>
      </c>
      <c r="Z28" s="28">
        <v>0.4</v>
      </c>
      <c r="AA28" s="28"/>
      <c r="AB28" s="28" t="s">
        <v>1720</v>
      </c>
      <c r="AC28" s="30" t="s">
        <v>5404</v>
      </c>
      <c r="AD28" s="28"/>
      <c r="AE28" s="28"/>
      <c r="AF28" s="28"/>
      <c r="AG28" s="28"/>
      <c r="AH28" s="28"/>
      <c r="AI28" s="28"/>
      <c r="AJ28" s="28"/>
      <c r="AK28" s="28" t="s">
        <v>1721</v>
      </c>
      <c r="AL28" s="325">
        <f t="shared" si="0"/>
        <v>45663</v>
      </c>
      <c r="AM28" s="27" t="str">
        <f t="shared" si="6"/>
        <v/>
      </c>
    </row>
    <row r="29" spans="1:39" s="27" customFormat="1" ht="21.6" customHeight="1">
      <c r="A29" s="31">
        <v>28</v>
      </c>
      <c r="B29" s="31" t="s">
        <v>5033</v>
      </c>
      <c r="C29" s="31">
        <v>2025010811</v>
      </c>
      <c r="D29" s="31" t="s">
        <v>5405</v>
      </c>
      <c r="E29" s="31" t="s">
        <v>5035</v>
      </c>
      <c r="F29" s="31">
        <v>3977</v>
      </c>
      <c r="G29" s="31" t="s">
        <v>278</v>
      </c>
      <c r="H29" s="31" t="s">
        <v>1722</v>
      </c>
      <c r="I29" s="31" t="s">
        <v>5406</v>
      </c>
      <c r="J29" s="31" t="s">
        <v>5038</v>
      </c>
      <c r="K29" s="31" t="s">
        <v>5039</v>
      </c>
      <c r="L29" s="31" t="s">
        <v>5227</v>
      </c>
      <c r="M29" s="32" t="s">
        <v>5228</v>
      </c>
      <c r="N29" s="31" t="s">
        <v>5229</v>
      </c>
      <c r="O29" s="32" t="s">
        <v>5230</v>
      </c>
      <c r="P29" s="33" t="s">
        <v>5407</v>
      </c>
      <c r="Q29" s="31" t="s">
        <v>5212</v>
      </c>
      <c r="R29" s="31" t="s">
        <v>52</v>
      </c>
      <c r="S29" s="31" t="s">
        <v>1157</v>
      </c>
      <c r="T29" s="31">
        <v>1</v>
      </c>
      <c r="U29" s="31" t="s">
        <v>1719</v>
      </c>
      <c r="V29" s="31" t="s">
        <v>5408</v>
      </c>
      <c r="W29" s="31" t="s">
        <v>5402</v>
      </c>
      <c r="X29" s="211">
        <v>45664.623611111114</v>
      </c>
      <c r="Y29" s="31" t="s">
        <v>5403</v>
      </c>
      <c r="Z29" s="31">
        <v>0.4</v>
      </c>
      <c r="AA29" s="31"/>
      <c r="AB29" s="31" t="s">
        <v>1720</v>
      </c>
      <c r="AC29" s="33" t="s">
        <v>5409</v>
      </c>
      <c r="AD29" s="31"/>
      <c r="AE29" s="31"/>
      <c r="AF29" s="31"/>
      <c r="AG29" s="31"/>
      <c r="AH29" s="31"/>
      <c r="AI29" s="31"/>
      <c r="AJ29" s="31"/>
      <c r="AK29" s="31" t="s">
        <v>1721</v>
      </c>
      <c r="AL29" s="325">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5410</v>
      </c>
      <c r="R30" s="28" t="s">
        <v>52</v>
      </c>
      <c r="S30" s="28" t="s">
        <v>16</v>
      </c>
      <c r="T30" s="28">
        <v>1</v>
      </c>
      <c r="U30" s="28" t="s">
        <v>1719</v>
      </c>
      <c r="V30" s="28" t="s">
        <v>5411</v>
      </c>
      <c r="W30" s="28" t="s">
        <v>5412</v>
      </c>
      <c r="X30" s="135">
        <v>45663.673611111109</v>
      </c>
      <c r="Y30" s="28"/>
      <c r="Z30" s="28">
        <v>0.3</v>
      </c>
      <c r="AA30" s="28"/>
      <c r="AB30" s="28" t="s">
        <v>1720</v>
      </c>
      <c r="AC30" s="30" t="s">
        <v>4119</v>
      </c>
      <c r="AD30" s="28" t="s">
        <v>1721</v>
      </c>
      <c r="AE30" s="28"/>
      <c r="AF30" s="28"/>
      <c r="AG30" s="28"/>
      <c r="AH30" s="28"/>
      <c r="AI30" s="28"/>
      <c r="AJ30" s="28"/>
      <c r="AK30" s="28" t="s">
        <v>1721</v>
      </c>
      <c r="AL30" s="325" t="e">
        <f t="shared" si="0"/>
        <v>#VALUE!</v>
      </c>
      <c r="AM30" s="27" t="str">
        <f t="shared" si="6"/>
        <v/>
      </c>
    </row>
    <row r="31" spans="1:39" s="27" customFormat="1" ht="21.6" customHeight="1">
      <c r="A31" s="31">
        <v>30</v>
      </c>
      <c r="B31" s="31" t="s">
        <v>5033</v>
      </c>
      <c r="C31" s="31">
        <v>2025010854</v>
      </c>
      <c r="D31" s="31" t="s">
        <v>5413</v>
      </c>
      <c r="E31" s="31" t="s">
        <v>5035</v>
      </c>
      <c r="F31" s="31">
        <v>4184</v>
      </c>
      <c r="G31" s="31" t="s">
        <v>324</v>
      </c>
      <c r="H31" s="31" t="s">
        <v>1747</v>
      </c>
      <c r="I31" s="31" t="s">
        <v>5414</v>
      </c>
      <c r="J31" s="31" t="s">
        <v>5038</v>
      </c>
      <c r="K31" s="31" t="s">
        <v>5415</v>
      </c>
      <c r="L31" s="31" t="s">
        <v>5040</v>
      </c>
      <c r="M31" s="32" t="s">
        <v>4057</v>
      </c>
      <c r="N31" s="31">
        <v>2501</v>
      </c>
      <c r="O31" s="32" t="s">
        <v>5041</v>
      </c>
      <c r="P31" s="33" t="s">
        <v>5416</v>
      </c>
      <c r="Q31" s="31" t="s">
        <v>5417</v>
      </c>
      <c r="R31" s="31" t="s">
        <v>52</v>
      </c>
      <c r="S31" s="31" t="s">
        <v>4110</v>
      </c>
      <c r="T31" s="31">
        <v>1</v>
      </c>
      <c r="U31" s="31" t="s">
        <v>1719</v>
      </c>
      <c r="V31" s="31" t="s">
        <v>5418</v>
      </c>
      <c r="W31" s="31" t="s">
        <v>5419</v>
      </c>
      <c r="X31" s="211">
        <v>45664.410416666666</v>
      </c>
      <c r="Y31" s="31" t="s">
        <v>5420</v>
      </c>
      <c r="Z31" s="31">
        <v>0.5</v>
      </c>
      <c r="AA31" s="31"/>
      <c r="AB31" s="31" t="s">
        <v>1720</v>
      </c>
      <c r="AC31" s="33" t="s">
        <v>5421</v>
      </c>
      <c r="AD31" s="31"/>
      <c r="AE31" s="31"/>
      <c r="AF31" s="31"/>
      <c r="AG31" s="31"/>
      <c r="AH31" s="31"/>
      <c r="AI31" s="31"/>
      <c r="AJ31" s="31"/>
      <c r="AK31" s="31" t="s">
        <v>1721</v>
      </c>
      <c r="AL31" s="325">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5422</v>
      </c>
      <c r="R32" s="28" t="s">
        <v>52</v>
      </c>
      <c r="S32" s="28" t="s">
        <v>4110</v>
      </c>
      <c r="T32" s="28">
        <v>1</v>
      </c>
      <c r="U32" s="28" t="s">
        <v>1719</v>
      </c>
      <c r="V32" s="28" t="s">
        <v>5423</v>
      </c>
      <c r="W32" s="28" t="s">
        <v>5424</v>
      </c>
      <c r="X32" s="135">
        <v>45664.484027777777</v>
      </c>
      <c r="Y32" s="28"/>
      <c r="Z32" s="28">
        <v>0.3</v>
      </c>
      <c r="AA32" s="28"/>
      <c r="AB32" s="28" t="s">
        <v>1720</v>
      </c>
      <c r="AC32" s="30" t="s">
        <v>4119</v>
      </c>
      <c r="AD32" s="28" t="s">
        <v>1721</v>
      </c>
      <c r="AE32" s="28"/>
      <c r="AF32" s="28"/>
      <c r="AG32" s="28"/>
      <c r="AH32" s="28"/>
      <c r="AI32" s="28"/>
      <c r="AJ32" s="28"/>
      <c r="AK32" s="28" t="s">
        <v>1721</v>
      </c>
      <c r="AL32" s="325"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5425</v>
      </c>
      <c r="R33" s="31" t="s">
        <v>52</v>
      </c>
      <c r="S33" s="31" t="s">
        <v>4110</v>
      </c>
      <c r="T33" s="31">
        <v>1</v>
      </c>
      <c r="U33" s="31" t="s">
        <v>1719</v>
      </c>
      <c r="V33" s="31" t="s">
        <v>5426</v>
      </c>
      <c r="W33" s="31" t="s">
        <v>5427</v>
      </c>
      <c r="X33" s="211">
        <v>45664.530555555553</v>
      </c>
      <c r="Y33" s="31"/>
      <c r="Z33" s="31">
        <v>0.3</v>
      </c>
      <c r="AA33" s="31"/>
      <c r="AB33" s="31" t="s">
        <v>1720</v>
      </c>
      <c r="AC33" s="33" t="s">
        <v>4119</v>
      </c>
      <c r="AD33" s="31" t="s">
        <v>1721</v>
      </c>
      <c r="AE33" s="31"/>
      <c r="AF33" s="31"/>
      <c r="AG33" s="31"/>
      <c r="AH33" s="31"/>
      <c r="AI33" s="31"/>
      <c r="AJ33" s="31"/>
      <c r="AK33" s="31" t="s">
        <v>1721</v>
      </c>
      <c r="AL33" s="325"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5428</v>
      </c>
      <c r="R34" s="28" t="s">
        <v>52</v>
      </c>
      <c r="S34" s="28" t="s">
        <v>4110</v>
      </c>
      <c r="T34" s="28">
        <v>1</v>
      </c>
      <c r="U34" s="28" t="s">
        <v>1719</v>
      </c>
      <c r="V34" s="28" t="s">
        <v>5429</v>
      </c>
      <c r="W34" s="28" t="s">
        <v>5430</v>
      </c>
      <c r="X34" s="135">
        <v>45664.546527777777</v>
      </c>
      <c r="Y34" s="28"/>
      <c r="Z34" s="28">
        <v>0.3</v>
      </c>
      <c r="AA34" s="28"/>
      <c r="AB34" s="28" t="s">
        <v>1720</v>
      </c>
      <c r="AC34" s="30" t="s">
        <v>4119</v>
      </c>
      <c r="AD34" s="28" t="s">
        <v>1721</v>
      </c>
      <c r="AE34" s="28"/>
      <c r="AF34" s="28"/>
      <c r="AG34" s="28"/>
      <c r="AH34" s="28"/>
      <c r="AI34" s="28"/>
      <c r="AJ34" s="28"/>
      <c r="AK34" s="28" t="s">
        <v>1721</v>
      </c>
      <c r="AL34" s="325"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5105</v>
      </c>
      <c r="R35" s="31" t="s">
        <v>52</v>
      </c>
      <c r="S35" s="31" t="s">
        <v>4110</v>
      </c>
      <c r="T35" s="31">
        <v>1</v>
      </c>
      <c r="U35" s="31" t="s">
        <v>1719</v>
      </c>
      <c r="V35" s="31" t="s">
        <v>5431</v>
      </c>
      <c r="W35" s="31" t="s">
        <v>5432</v>
      </c>
      <c r="X35" s="211">
        <v>45664.611111111109</v>
      </c>
      <c r="Y35" s="31"/>
      <c r="Z35" s="31">
        <v>12.3</v>
      </c>
      <c r="AA35" s="31"/>
      <c r="AB35" s="31" t="s">
        <v>1720</v>
      </c>
      <c r="AC35" s="33" t="s">
        <v>4119</v>
      </c>
      <c r="AD35" s="31" t="s">
        <v>1721</v>
      </c>
      <c r="AE35" s="31"/>
      <c r="AF35" s="31"/>
      <c r="AG35" s="31"/>
      <c r="AH35" s="31"/>
      <c r="AI35" s="31"/>
      <c r="AJ35" s="31"/>
      <c r="AK35" s="31" t="s">
        <v>1721</v>
      </c>
      <c r="AL35" s="325" t="e">
        <f t="shared" si="0"/>
        <v>#VALUE!</v>
      </c>
      <c r="AM35" s="27" t="str">
        <f t="shared" si="6"/>
        <v/>
      </c>
    </row>
    <row r="36" spans="1:39" s="27" customFormat="1" ht="21.6" customHeight="1">
      <c r="A36" s="28">
        <v>35</v>
      </c>
      <c r="B36" s="28" t="s">
        <v>5033</v>
      </c>
      <c r="C36" s="28">
        <v>2025010983</v>
      </c>
      <c r="D36" s="28" t="s">
        <v>5433</v>
      </c>
      <c r="E36" s="28" t="s">
        <v>5035</v>
      </c>
      <c r="F36" s="28">
        <v>3977</v>
      </c>
      <c r="G36" s="28" t="s">
        <v>278</v>
      </c>
      <c r="H36" s="28" t="s">
        <v>1722</v>
      </c>
      <c r="I36" s="28" t="s">
        <v>5434</v>
      </c>
      <c r="J36" s="28" t="s">
        <v>5252</v>
      </c>
      <c r="K36" s="28" t="s">
        <v>5039</v>
      </c>
      <c r="L36" s="28" t="s">
        <v>5271</v>
      </c>
      <c r="M36" s="29" t="s">
        <v>5272</v>
      </c>
      <c r="N36" s="28" t="s">
        <v>663</v>
      </c>
      <c r="O36" s="29" t="s">
        <v>5273</v>
      </c>
      <c r="P36" s="30" t="s">
        <v>5435</v>
      </c>
      <c r="Q36" s="28" t="s">
        <v>5212</v>
      </c>
      <c r="R36" s="28" t="s">
        <v>52</v>
      </c>
      <c r="S36" s="28" t="s">
        <v>1157</v>
      </c>
      <c r="T36" s="28">
        <v>1</v>
      </c>
      <c r="U36" s="28" t="s">
        <v>1719</v>
      </c>
      <c r="V36" s="28" t="s">
        <v>5436</v>
      </c>
      <c r="W36" s="28" t="s">
        <v>5402</v>
      </c>
      <c r="X36" s="135">
        <v>45664.631944444445</v>
      </c>
      <c r="Y36" s="28" t="s">
        <v>5437</v>
      </c>
      <c r="Z36" s="28">
        <v>0.6</v>
      </c>
      <c r="AA36" s="28"/>
      <c r="AB36" s="28" t="s">
        <v>1720</v>
      </c>
      <c r="AC36" s="30" t="s">
        <v>5438</v>
      </c>
      <c r="AD36" s="28"/>
      <c r="AE36" s="28"/>
      <c r="AF36" s="28"/>
      <c r="AG36" s="28"/>
      <c r="AH36" s="28"/>
      <c r="AI36" s="28"/>
      <c r="AJ36" s="28"/>
      <c r="AK36" s="28" t="s">
        <v>1721</v>
      </c>
      <c r="AL36" s="325">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5439</v>
      </c>
      <c r="R37" s="31" t="s">
        <v>52</v>
      </c>
      <c r="S37" s="31" t="s">
        <v>4110</v>
      </c>
      <c r="T37" s="31">
        <v>1</v>
      </c>
      <c r="U37" s="31" t="s">
        <v>1719</v>
      </c>
      <c r="V37" s="31" t="s">
        <v>5440</v>
      </c>
      <c r="W37" s="31" t="s">
        <v>5441</v>
      </c>
      <c r="X37" s="211">
        <v>45664.631944444445</v>
      </c>
      <c r="Y37" s="31"/>
      <c r="Z37" s="31">
        <v>0.3</v>
      </c>
      <c r="AA37" s="31"/>
      <c r="AB37" s="31" t="s">
        <v>1720</v>
      </c>
      <c r="AC37" s="33" t="s">
        <v>4119</v>
      </c>
      <c r="AD37" s="31" t="s">
        <v>1721</v>
      </c>
      <c r="AE37" s="31"/>
      <c r="AF37" s="31"/>
      <c r="AG37" s="31"/>
      <c r="AH37" s="31"/>
      <c r="AI37" s="31"/>
      <c r="AJ37" s="31"/>
      <c r="AK37" s="31" t="s">
        <v>1721</v>
      </c>
      <c r="AL37" s="325"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5212</v>
      </c>
      <c r="R38" s="28" t="s">
        <v>52</v>
      </c>
      <c r="S38" s="28" t="s">
        <v>1157</v>
      </c>
      <c r="T38" s="28">
        <v>1</v>
      </c>
      <c r="U38" s="28" t="s">
        <v>1719</v>
      </c>
      <c r="V38" s="28" t="s">
        <v>5442</v>
      </c>
      <c r="W38" s="28" t="s">
        <v>5443</v>
      </c>
      <c r="X38" s="135">
        <v>45664.631944444445</v>
      </c>
      <c r="Y38" s="28"/>
      <c r="Z38" s="28">
        <v>0.3</v>
      </c>
      <c r="AA38" s="28"/>
      <c r="AB38" s="28" t="s">
        <v>1720</v>
      </c>
      <c r="AC38" s="30" t="s">
        <v>4119</v>
      </c>
      <c r="AD38" s="28" t="s">
        <v>1721</v>
      </c>
      <c r="AE38" s="28"/>
      <c r="AF38" s="28"/>
      <c r="AG38" s="28"/>
      <c r="AH38" s="28"/>
      <c r="AI38" s="28"/>
      <c r="AJ38" s="28"/>
      <c r="AK38" s="28" t="s">
        <v>1721</v>
      </c>
      <c r="AL38" s="325"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5444</v>
      </c>
      <c r="R39" s="31" t="s">
        <v>52</v>
      </c>
      <c r="S39" s="31" t="s">
        <v>4110</v>
      </c>
      <c r="T39" s="31">
        <v>1</v>
      </c>
      <c r="U39" s="31" t="s">
        <v>1719</v>
      </c>
      <c r="V39" s="31" t="s">
        <v>5445</v>
      </c>
      <c r="W39" s="31" t="s">
        <v>5446</v>
      </c>
      <c r="X39" s="211">
        <v>45664.662499999999</v>
      </c>
      <c r="Y39" s="31"/>
      <c r="Z39" s="31">
        <v>0.4</v>
      </c>
      <c r="AA39" s="31"/>
      <c r="AB39" s="31" t="s">
        <v>1720</v>
      </c>
      <c r="AC39" s="33" t="s">
        <v>4119</v>
      </c>
      <c r="AD39" s="31" t="s">
        <v>1721</v>
      </c>
      <c r="AE39" s="31"/>
      <c r="AF39" s="31"/>
      <c r="AG39" s="31"/>
      <c r="AH39" s="31"/>
      <c r="AI39" s="31"/>
      <c r="AJ39" s="31"/>
      <c r="AK39" s="31" t="s">
        <v>1721</v>
      </c>
      <c r="AL39" s="325"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5243</v>
      </c>
      <c r="R40" s="28" t="s">
        <v>52</v>
      </c>
      <c r="S40" s="28" t="s">
        <v>4110</v>
      </c>
      <c r="T40" s="28">
        <v>1</v>
      </c>
      <c r="U40" s="28" t="s">
        <v>1719</v>
      </c>
      <c r="V40" s="28" t="s">
        <v>5447</v>
      </c>
      <c r="W40" s="28" t="s">
        <v>5448</v>
      </c>
      <c r="X40" s="135">
        <v>45664.704861111109</v>
      </c>
      <c r="Y40" s="28"/>
      <c r="Z40" s="28">
        <v>0.4</v>
      </c>
      <c r="AA40" s="28"/>
      <c r="AB40" s="28" t="s">
        <v>1720</v>
      </c>
      <c r="AC40" s="30" t="s">
        <v>4119</v>
      </c>
      <c r="AD40" s="28" t="s">
        <v>1721</v>
      </c>
      <c r="AE40" s="28"/>
      <c r="AF40" s="28"/>
      <c r="AG40" s="28"/>
      <c r="AH40" s="28"/>
      <c r="AI40" s="28"/>
      <c r="AJ40" s="28"/>
      <c r="AK40" s="28" t="s">
        <v>1721</v>
      </c>
      <c r="AL40" s="325" t="e">
        <f t="shared" si="0"/>
        <v>#VALUE!</v>
      </c>
      <c r="AM40" s="27" t="str">
        <f t="shared" si="7"/>
        <v/>
      </c>
    </row>
    <row r="41" spans="1:39" s="27" customFormat="1" ht="21.6" customHeight="1">
      <c r="A41" s="31">
        <v>40</v>
      </c>
      <c r="B41" s="31" t="s">
        <v>5033</v>
      </c>
      <c r="C41" s="31">
        <v>2025011106</v>
      </c>
      <c r="D41" s="31" t="s">
        <v>5449</v>
      </c>
      <c r="E41" s="31" t="s">
        <v>5035</v>
      </c>
      <c r="F41" s="31">
        <v>4856</v>
      </c>
      <c r="G41" s="31" t="s">
        <v>545</v>
      </c>
      <c r="H41" s="31" t="s">
        <v>1748</v>
      </c>
      <c r="I41" s="31" t="s">
        <v>5450</v>
      </c>
      <c r="J41" s="31" t="s">
        <v>5066</v>
      </c>
      <c r="K41" s="31" t="s">
        <v>5451</v>
      </c>
      <c r="L41" s="31" t="s">
        <v>5271</v>
      </c>
      <c r="M41" s="32" t="s">
        <v>5272</v>
      </c>
      <c r="N41" s="31" t="s">
        <v>663</v>
      </c>
      <c r="O41" s="32" t="s">
        <v>5273</v>
      </c>
      <c r="P41" s="33" t="s">
        <v>5452</v>
      </c>
      <c r="Q41" s="31" t="s">
        <v>5453</v>
      </c>
      <c r="R41" s="31" t="s">
        <v>52</v>
      </c>
      <c r="S41" s="31" t="s">
        <v>16</v>
      </c>
      <c r="T41" s="31">
        <v>1</v>
      </c>
      <c r="U41" s="31" t="s">
        <v>1719</v>
      </c>
      <c r="V41" s="31" t="s">
        <v>5454</v>
      </c>
      <c r="W41" s="31" t="s">
        <v>5455</v>
      </c>
      <c r="X41" s="211">
        <v>45665.4375</v>
      </c>
      <c r="Y41" s="31" t="s">
        <v>5457</v>
      </c>
      <c r="Z41" s="31">
        <v>0.5</v>
      </c>
      <c r="AA41" s="31"/>
      <c r="AB41" s="31" t="s">
        <v>1720</v>
      </c>
      <c r="AC41" s="33" t="s">
        <v>5458</v>
      </c>
      <c r="AD41" s="31"/>
      <c r="AE41" s="31"/>
      <c r="AF41" s="31"/>
      <c r="AG41" s="31"/>
      <c r="AH41" s="31"/>
      <c r="AI41" s="31"/>
      <c r="AJ41" s="31"/>
      <c r="AK41" s="31" t="s">
        <v>1721</v>
      </c>
      <c r="AL41" s="325">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5453</v>
      </c>
      <c r="R42" s="28" t="s">
        <v>52</v>
      </c>
      <c r="S42" s="28" t="s">
        <v>16</v>
      </c>
      <c r="T42" s="28">
        <v>1</v>
      </c>
      <c r="U42" s="28" t="s">
        <v>1719</v>
      </c>
      <c r="V42" s="28" t="s">
        <v>5459</v>
      </c>
      <c r="W42" s="28" t="s">
        <v>5456</v>
      </c>
      <c r="X42" s="135">
        <v>45665.444444444445</v>
      </c>
      <c r="Y42" s="28"/>
      <c r="Z42" s="28">
        <v>0.2</v>
      </c>
      <c r="AA42" s="28"/>
      <c r="AB42" s="28" t="s">
        <v>1720</v>
      </c>
      <c r="AC42" s="30" t="s">
        <v>4119</v>
      </c>
      <c r="AD42" s="28" t="s">
        <v>1721</v>
      </c>
      <c r="AE42" s="28"/>
      <c r="AF42" s="28"/>
      <c r="AG42" s="28"/>
      <c r="AH42" s="28"/>
      <c r="AI42" s="28"/>
      <c r="AJ42" s="28"/>
      <c r="AK42" s="28" t="s">
        <v>1721</v>
      </c>
      <c r="AL42" s="325"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5061</v>
      </c>
      <c r="R43" s="31" t="s">
        <v>52</v>
      </c>
      <c r="S43" s="31" t="s">
        <v>4110</v>
      </c>
      <c r="T43" s="31">
        <v>1</v>
      </c>
      <c r="U43" s="31" t="s">
        <v>1719</v>
      </c>
      <c r="V43" s="31" t="s">
        <v>5460</v>
      </c>
      <c r="W43" s="31" t="s">
        <v>5461</v>
      </c>
      <c r="X43" s="211">
        <v>45665.462500000001</v>
      </c>
      <c r="Y43" s="31"/>
      <c r="Z43" s="31">
        <v>0.3</v>
      </c>
      <c r="AA43" s="31"/>
      <c r="AB43" s="31" t="s">
        <v>1720</v>
      </c>
      <c r="AC43" s="33" t="s">
        <v>4119</v>
      </c>
      <c r="AD43" s="31" t="s">
        <v>1721</v>
      </c>
      <c r="AE43" s="31"/>
      <c r="AF43" s="31"/>
      <c r="AG43" s="31"/>
      <c r="AH43" s="31"/>
      <c r="AI43" s="31"/>
      <c r="AJ43" s="31"/>
      <c r="AK43" s="31" t="s">
        <v>1721</v>
      </c>
      <c r="AL43" s="325"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5048</v>
      </c>
      <c r="R44" s="28" t="s">
        <v>52</v>
      </c>
      <c r="S44" s="28" t="s">
        <v>4110</v>
      </c>
      <c r="T44" s="28">
        <v>1</v>
      </c>
      <c r="U44" s="28" t="s">
        <v>1719</v>
      </c>
      <c r="V44" s="28" t="s">
        <v>5462</v>
      </c>
      <c r="W44" s="28" t="s">
        <v>5463</v>
      </c>
      <c r="X44" s="135">
        <v>45665.479166666664</v>
      </c>
      <c r="Y44" s="28"/>
      <c r="Z44" s="28">
        <v>0.3</v>
      </c>
      <c r="AA44" s="28"/>
      <c r="AB44" s="28" t="s">
        <v>1720</v>
      </c>
      <c r="AC44" s="30" t="s">
        <v>4119</v>
      </c>
      <c r="AD44" s="28" t="s">
        <v>1721</v>
      </c>
      <c r="AE44" s="28"/>
      <c r="AF44" s="28"/>
      <c r="AG44" s="28"/>
      <c r="AH44" s="28"/>
      <c r="AI44" s="28"/>
      <c r="AJ44" s="28"/>
      <c r="AK44" s="28" t="s">
        <v>1721</v>
      </c>
      <c r="AL44" s="325"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5075</v>
      </c>
      <c r="R45" s="31" t="s">
        <v>52</v>
      </c>
      <c r="S45" s="31" t="s">
        <v>4110</v>
      </c>
      <c r="T45" s="31">
        <v>1</v>
      </c>
      <c r="U45" s="31" t="s">
        <v>1719</v>
      </c>
      <c r="V45" s="31" t="s">
        <v>5464</v>
      </c>
      <c r="W45" s="31" t="s">
        <v>5465</v>
      </c>
      <c r="X45" s="211">
        <v>45665.5</v>
      </c>
      <c r="Y45" s="31"/>
      <c r="Z45" s="31">
        <v>0.3</v>
      </c>
      <c r="AA45" s="31"/>
      <c r="AB45" s="31" t="s">
        <v>1720</v>
      </c>
      <c r="AC45" s="33" t="s">
        <v>4119</v>
      </c>
      <c r="AD45" s="31" t="s">
        <v>1721</v>
      </c>
      <c r="AE45" s="31"/>
      <c r="AF45" s="31"/>
      <c r="AG45" s="31"/>
      <c r="AH45" s="31"/>
      <c r="AI45" s="31"/>
      <c r="AJ45" s="31"/>
      <c r="AK45" s="31" t="s">
        <v>1721</v>
      </c>
      <c r="AL45" s="325"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5078</v>
      </c>
      <c r="R46" s="28" t="s">
        <v>52</v>
      </c>
      <c r="S46" s="28" t="s">
        <v>4110</v>
      </c>
      <c r="T46" s="28">
        <v>1</v>
      </c>
      <c r="U46" s="28" t="s">
        <v>1719</v>
      </c>
      <c r="V46" s="28" t="s">
        <v>5466</v>
      </c>
      <c r="W46" s="28" t="s">
        <v>5467</v>
      </c>
      <c r="X46" s="135">
        <v>45665.534722222219</v>
      </c>
      <c r="Y46" s="28"/>
      <c r="Z46" s="28">
        <v>0.3</v>
      </c>
      <c r="AA46" s="28"/>
      <c r="AB46" s="28" t="s">
        <v>1720</v>
      </c>
      <c r="AC46" s="30" t="s">
        <v>4119</v>
      </c>
      <c r="AD46" s="28" t="s">
        <v>1721</v>
      </c>
      <c r="AE46" s="28"/>
      <c r="AF46" s="28"/>
      <c r="AG46" s="28"/>
      <c r="AH46" s="28"/>
      <c r="AI46" s="28"/>
      <c r="AJ46" s="28"/>
      <c r="AK46" s="28" t="s">
        <v>1721</v>
      </c>
      <c r="AL46" s="325"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5083</v>
      </c>
      <c r="R47" s="31" t="s">
        <v>52</v>
      </c>
      <c r="S47" s="31" t="s">
        <v>4110</v>
      </c>
      <c r="T47" s="31">
        <v>1</v>
      </c>
      <c r="U47" s="31" t="s">
        <v>1719</v>
      </c>
      <c r="V47" s="31" t="s">
        <v>5468</v>
      </c>
      <c r="W47" s="31" t="s">
        <v>5469</v>
      </c>
      <c r="X47" s="211">
        <v>45665.590277777781</v>
      </c>
      <c r="Y47" s="31"/>
      <c r="Z47" s="31">
        <v>0.3</v>
      </c>
      <c r="AA47" s="31"/>
      <c r="AB47" s="31" t="s">
        <v>1720</v>
      </c>
      <c r="AC47" s="33" t="s">
        <v>4119</v>
      </c>
      <c r="AD47" s="31" t="s">
        <v>1721</v>
      </c>
      <c r="AE47" s="31"/>
      <c r="AF47" s="31"/>
      <c r="AG47" s="31"/>
      <c r="AH47" s="31"/>
      <c r="AI47" s="31"/>
      <c r="AJ47" s="31"/>
      <c r="AK47" s="31" t="s">
        <v>1721</v>
      </c>
      <c r="AL47" s="325"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5128</v>
      </c>
      <c r="R48" s="28" t="s">
        <v>52</v>
      </c>
      <c r="S48" s="28" t="s">
        <v>4110</v>
      </c>
      <c r="T48" s="28">
        <v>1</v>
      </c>
      <c r="U48" s="28" t="s">
        <v>1719</v>
      </c>
      <c r="V48" s="28" t="s">
        <v>5470</v>
      </c>
      <c r="W48" s="28" t="s">
        <v>5471</v>
      </c>
      <c r="X48" s="135">
        <v>45665.615277777775</v>
      </c>
      <c r="Y48" s="28"/>
      <c r="Z48" s="28">
        <v>0.4</v>
      </c>
      <c r="AA48" s="28"/>
      <c r="AB48" s="28" t="s">
        <v>1720</v>
      </c>
      <c r="AC48" s="30" t="s">
        <v>4119</v>
      </c>
      <c r="AD48" s="28" t="s">
        <v>1721</v>
      </c>
      <c r="AE48" s="28"/>
      <c r="AF48" s="28"/>
      <c r="AG48" s="28"/>
      <c r="AH48" s="28"/>
      <c r="AI48" s="28"/>
      <c r="AJ48" s="28"/>
      <c r="AK48" s="28" t="s">
        <v>1721</v>
      </c>
      <c r="AL48" s="325"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5120</v>
      </c>
      <c r="R49" s="31" t="s">
        <v>52</v>
      </c>
      <c r="S49" s="31" t="s">
        <v>4110</v>
      </c>
      <c r="T49" s="31">
        <v>1</v>
      </c>
      <c r="U49" s="31" t="s">
        <v>1719</v>
      </c>
      <c r="V49" s="31" t="s">
        <v>5472</v>
      </c>
      <c r="W49" s="31" t="s">
        <v>5473</v>
      </c>
      <c r="X49" s="211">
        <v>45665.635416666664</v>
      </c>
      <c r="Y49" s="31"/>
      <c r="Z49" s="31">
        <v>0.3</v>
      </c>
      <c r="AA49" s="31"/>
      <c r="AB49" s="31" t="s">
        <v>1720</v>
      </c>
      <c r="AC49" s="33" t="s">
        <v>4119</v>
      </c>
      <c r="AD49" s="31" t="s">
        <v>1721</v>
      </c>
      <c r="AE49" s="31"/>
      <c r="AF49" s="31"/>
      <c r="AG49" s="31"/>
      <c r="AH49" s="31"/>
      <c r="AI49" s="31"/>
      <c r="AJ49" s="31"/>
      <c r="AK49" s="31" t="s">
        <v>1721</v>
      </c>
      <c r="AL49" s="325"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5474</v>
      </c>
      <c r="R50" s="28" t="s">
        <v>52</v>
      </c>
      <c r="S50" s="28" t="s">
        <v>16</v>
      </c>
      <c r="T50" s="28">
        <v>1</v>
      </c>
      <c r="U50" s="28" t="s">
        <v>1719</v>
      </c>
      <c r="V50" s="28" t="s">
        <v>5475</v>
      </c>
      <c r="W50" s="28" t="s">
        <v>5476</v>
      </c>
      <c r="X50" s="135">
        <v>45665.645833333336</v>
      </c>
      <c r="Y50" s="28"/>
      <c r="Z50" s="28">
        <v>0.5</v>
      </c>
      <c r="AA50" s="28"/>
      <c r="AB50" s="28" t="s">
        <v>1720</v>
      </c>
      <c r="AC50" s="30" t="s">
        <v>4119</v>
      </c>
      <c r="AD50" s="28" t="s">
        <v>1721</v>
      </c>
      <c r="AE50" s="28"/>
      <c r="AF50" s="28"/>
      <c r="AG50" s="28"/>
      <c r="AH50" s="28"/>
      <c r="AI50" s="28"/>
      <c r="AJ50" s="28"/>
      <c r="AK50" s="28" t="s">
        <v>1721</v>
      </c>
      <c r="AL50" s="325"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5477</v>
      </c>
      <c r="R51" s="31" t="s">
        <v>52</v>
      </c>
      <c r="S51" s="31" t="s">
        <v>4110</v>
      </c>
      <c r="T51" s="31">
        <v>1</v>
      </c>
      <c r="U51" s="31" t="s">
        <v>1719</v>
      </c>
      <c r="V51" s="31" t="s">
        <v>5478</v>
      </c>
      <c r="W51" s="31" t="s">
        <v>5479</v>
      </c>
      <c r="X51" s="211">
        <v>45665.656944444447</v>
      </c>
      <c r="Y51" s="31"/>
      <c r="Z51" s="31">
        <v>0.4</v>
      </c>
      <c r="AA51" s="31"/>
      <c r="AB51" s="31" t="s">
        <v>1720</v>
      </c>
      <c r="AC51" s="33" t="s">
        <v>4119</v>
      </c>
      <c r="AD51" s="31" t="s">
        <v>1721</v>
      </c>
      <c r="AE51" s="31"/>
      <c r="AF51" s="31"/>
      <c r="AG51" s="31"/>
      <c r="AH51" s="31"/>
      <c r="AI51" s="31"/>
      <c r="AJ51" s="31"/>
      <c r="AK51" s="31" t="s">
        <v>1721</v>
      </c>
      <c r="AL51" s="325"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5480</v>
      </c>
      <c r="R52" s="28" t="s">
        <v>52</v>
      </c>
      <c r="S52" s="28" t="s">
        <v>16</v>
      </c>
      <c r="T52" s="28">
        <v>1</v>
      </c>
      <c r="U52" s="28" t="s">
        <v>1719</v>
      </c>
      <c r="V52" s="28" t="s">
        <v>5481</v>
      </c>
      <c r="W52" s="28" t="s">
        <v>5482</v>
      </c>
      <c r="X52" s="135">
        <v>45665.65625</v>
      </c>
      <c r="Y52" s="28"/>
      <c r="Z52" s="28">
        <v>0.2</v>
      </c>
      <c r="AA52" s="28"/>
      <c r="AB52" s="28" t="s">
        <v>1720</v>
      </c>
      <c r="AC52" s="30" t="s">
        <v>4119</v>
      </c>
      <c r="AD52" s="28" t="s">
        <v>1721</v>
      </c>
      <c r="AE52" s="28"/>
      <c r="AF52" s="28"/>
      <c r="AG52" s="28"/>
      <c r="AH52" s="28"/>
      <c r="AI52" s="28"/>
      <c r="AJ52" s="28"/>
      <c r="AK52" s="28" t="s">
        <v>1721</v>
      </c>
      <c r="AL52" s="325"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5241</v>
      </c>
      <c r="R53" s="31" t="s">
        <v>52</v>
      </c>
      <c r="S53" s="31" t="s">
        <v>4110</v>
      </c>
      <c r="T53" s="31">
        <v>1</v>
      </c>
      <c r="U53" s="31" t="s">
        <v>1719</v>
      </c>
      <c r="V53" s="31" t="s">
        <v>5483</v>
      </c>
      <c r="W53" s="31" t="s">
        <v>5484</v>
      </c>
      <c r="X53" s="211">
        <v>45665.673611111109</v>
      </c>
      <c r="Y53" s="31"/>
      <c r="Z53" s="31">
        <v>0.3</v>
      </c>
      <c r="AA53" s="31"/>
      <c r="AB53" s="31" t="s">
        <v>1720</v>
      </c>
      <c r="AC53" s="33" t="s">
        <v>4119</v>
      </c>
      <c r="AD53" s="31" t="s">
        <v>1721</v>
      </c>
      <c r="AE53" s="31"/>
      <c r="AF53" s="31"/>
      <c r="AG53" s="31"/>
      <c r="AH53" s="31"/>
      <c r="AI53" s="31"/>
      <c r="AJ53" s="31"/>
      <c r="AK53" s="31" t="s">
        <v>1721</v>
      </c>
      <c r="AL53" s="325"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5485</v>
      </c>
      <c r="R54" s="28" t="s">
        <v>52</v>
      </c>
      <c r="S54" s="28" t="s">
        <v>4110</v>
      </c>
      <c r="T54" s="28">
        <v>1</v>
      </c>
      <c r="U54" s="28" t="s">
        <v>1719</v>
      </c>
      <c r="V54" s="28" t="s">
        <v>5486</v>
      </c>
      <c r="W54" s="28" t="s">
        <v>5487</v>
      </c>
      <c r="X54" s="135">
        <v>45666.450694444444</v>
      </c>
      <c r="Y54" s="28"/>
      <c r="Z54" s="28">
        <v>0.4</v>
      </c>
      <c r="AA54" s="28"/>
      <c r="AB54" s="28" t="s">
        <v>1720</v>
      </c>
      <c r="AC54" s="30" t="s">
        <v>4119</v>
      </c>
      <c r="AD54" s="28" t="s">
        <v>1721</v>
      </c>
      <c r="AE54" s="28"/>
      <c r="AF54" s="28"/>
      <c r="AG54" s="28"/>
      <c r="AH54" s="28"/>
      <c r="AI54" s="28"/>
      <c r="AJ54" s="28"/>
      <c r="AK54" s="28" t="s">
        <v>1721</v>
      </c>
      <c r="AL54" s="325"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5417</v>
      </c>
      <c r="R55" s="31" t="s">
        <v>52</v>
      </c>
      <c r="S55" s="31" t="s">
        <v>4110</v>
      </c>
      <c r="T55" s="31">
        <v>1</v>
      </c>
      <c r="U55" s="31" t="s">
        <v>1719</v>
      </c>
      <c r="V55" s="31" t="s">
        <v>5488</v>
      </c>
      <c r="W55" s="31" t="s">
        <v>5489</v>
      </c>
      <c r="X55" s="211">
        <v>45666.468055555553</v>
      </c>
      <c r="Y55" s="31"/>
      <c r="Z55" s="31">
        <v>0.3</v>
      </c>
      <c r="AA55" s="31"/>
      <c r="AB55" s="31" t="s">
        <v>1720</v>
      </c>
      <c r="AC55" s="33" t="s">
        <v>4119</v>
      </c>
      <c r="AD55" s="31" t="s">
        <v>1721</v>
      </c>
      <c r="AE55" s="31"/>
      <c r="AF55" s="31"/>
      <c r="AG55" s="31"/>
      <c r="AH55" s="31"/>
      <c r="AI55" s="31"/>
      <c r="AJ55" s="31"/>
      <c r="AK55" s="31" t="s">
        <v>1721</v>
      </c>
      <c r="AL55" s="325"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5490</v>
      </c>
      <c r="R56" s="28" t="s">
        <v>52</v>
      </c>
      <c r="S56" s="28" t="s">
        <v>4110</v>
      </c>
      <c r="T56" s="28">
        <v>1</v>
      </c>
      <c r="U56" s="28" t="s">
        <v>1719</v>
      </c>
      <c r="V56" s="28" t="s">
        <v>5491</v>
      </c>
      <c r="W56" s="28" t="s">
        <v>5492</v>
      </c>
      <c r="X56" s="135">
        <v>45666.495138888888</v>
      </c>
      <c r="Y56" s="28"/>
      <c r="Z56" s="28">
        <v>0.4</v>
      </c>
      <c r="AA56" s="28"/>
      <c r="AB56" s="28" t="s">
        <v>1720</v>
      </c>
      <c r="AC56" s="30" t="s">
        <v>4119</v>
      </c>
      <c r="AD56" s="28" t="s">
        <v>1721</v>
      </c>
      <c r="AE56" s="28"/>
      <c r="AF56" s="28"/>
      <c r="AG56" s="28"/>
      <c r="AH56" s="28"/>
      <c r="AI56" s="28"/>
      <c r="AJ56" s="28"/>
      <c r="AK56" s="28" t="s">
        <v>1721</v>
      </c>
      <c r="AL56" s="325" t="e">
        <f t="shared" si="0"/>
        <v>#VALUE!</v>
      </c>
      <c r="AM56" s="27" t="str">
        <f t="shared" si="9"/>
        <v/>
      </c>
    </row>
    <row r="57" spans="1:39" ht="21.6" customHeight="1">
      <c r="A57" s="31">
        <v>56</v>
      </c>
      <c r="B57" s="31" t="s">
        <v>5033</v>
      </c>
      <c r="C57" s="31">
        <v>2025011409</v>
      </c>
      <c r="D57" s="31" t="s">
        <v>5493</v>
      </c>
      <c r="E57" s="31" t="s">
        <v>5035</v>
      </c>
      <c r="F57" s="31">
        <v>4163</v>
      </c>
      <c r="G57" s="31" t="s">
        <v>318</v>
      </c>
      <c r="H57" s="31" t="s">
        <v>1748</v>
      </c>
      <c r="I57" s="31" t="s">
        <v>5494</v>
      </c>
      <c r="J57" s="31" t="s">
        <v>5096</v>
      </c>
      <c r="K57" s="31" t="s">
        <v>5039</v>
      </c>
      <c r="L57" s="31" t="s">
        <v>5068</v>
      </c>
      <c r="M57" s="32" t="s">
        <v>1723</v>
      </c>
      <c r="N57" s="31">
        <v>2307</v>
      </c>
      <c r="O57" s="32" t="s">
        <v>5383</v>
      </c>
      <c r="P57" s="33" t="s">
        <v>5495</v>
      </c>
      <c r="Q57" s="31" t="s">
        <v>5496</v>
      </c>
      <c r="R57" s="31" t="s">
        <v>52</v>
      </c>
      <c r="S57" s="31" t="s">
        <v>16</v>
      </c>
      <c r="T57" s="31">
        <v>1</v>
      </c>
      <c r="U57" s="31" t="s">
        <v>1719</v>
      </c>
      <c r="V57" s="31" t="s">
        <v>5497</v>
      </c>
      <c r="W57" s="31" t="s">
        <v>5498</v>
      </c>
      <c r="X57" s="211">
        <v>45666.645833333336</v>
      </c>
      <c r="Y57" s="31" t="s">
        <v>5500</v>
      </c>
      <c r="Z57" s="31">
        <v>1</v>
      </c>
      <c r="AA57" s="31"/>
      <c r="AB57" s="31" t="s">
        <v>1720</v>
      </c>
      <c r="AC57" s="33" t="s">
        <v>5501</v>
      </c>
      <c r="AD57" s="31"/>
      <c r="AE57" s="31"/>
      <c r="AF57" s="31"/>
      <c r="AG57" s="31"/>
      <c r="AH57" s="31"/>
      <c r="AI57" s="31"/>
      <c r="AJ57" s="31"/>
      <c r="AK57" s="31" t="s">
        <v>1721</v>
      </c>
      <c r="AL57" s="325">
        <f t="shared" si="0"/>
        <v>45666</v>
      </c>
    </row>
    <row r="58" spans="1:39" ht="21.6" customHeight="1">
      <c r="A58" s="28">
        <v>57</v>
      </c>
      <c r="B58" s="28" t="s">
        <v>5033</v>
      </c>
      <c r="C58" s="28">
        <v>2025011415</v>
      </c>
      <c r="D58" s="28" t="s">
        <v>5502</v>
      </c>
      <c r="E58" s="28" t="s">
        <v>5503</v>
      </c>
      <c r="F58" s="28">
        <v>2995</v>
      </c>
      <c r="G58" s="28" t="s">
        <v>152</v>
      </c>
      <c r="H58" s="28" t="s">
        <v>1722</v>
      </c>
      <c r="I58" s="28" t="s">
        <v>5504</v>
      </c>
      <c r="J58" s="28" t="s">
        <v>5096</v>
      </c>
      <c r="K58" s="28" t="s">
        <v>5039</v>
      </c>
      <c r="L58" s="28" t="s">
        <v>5505</v>
      </c>
      <c r="M58" s="29" t="s">
        <v>5506</v>
      </c>
      <c r="N58" s="28">
        <v>2401</v>
      </c>
      <c r="O58" s="29" t="s">
        <v>5507</v>
      </c>
      <c r="P58" s="30" t="s">
        <v>5508</v>
      </c>
      <c r="Q58" s="28" t="s">
        <v>5509</v>
      </c>
      <c r="R58" s="28" t="s">
        <v>52</v>
      </c>
      <c r="S58" s="28" t="s">
        <v>1157</v>
      </c>
      <c r="T58" s="28">
        <v>1</v>
      </c>
      <c r="U58" s="28" t="s">
        <v>1719</v>
      </c>
      <c r="V58" s="28" t="s">
        <v>5510</v>
      </c>
      <c r="W58" s="28" t="s">
        <v>5511</v>
      </c>
      <c r="X58" s="135">
        <v>45666.712500000001</v>
      </c>
      <c r="Y58" s="28" t="s">
        <v>5512</v>
      </c>
      <c r="Z58" s="28">
        <v>0.5</v>
      </c>
      <c r="AA58" s="28"/>
      <c r="AB58" s="28" t="s">
        <v>1720</v>
      </c>
      <c r="AC58" s="30" t="s">
        <v>5513</v>
      </c>
      <c r="AD58" s="28"/>
      <c r="AE58" s="28"/>
      <c r="AF58" s="28"/>
      <c r="AG58" s="28"/>
      <c r="AH58" s="28"/>
      <c r="AI58" s="28"/>
      <c r="AJ58" s="28"/>
      <c r="AK58" s="28" t="s">
        <v>1721</v>
      </c>
      <c r="AL58" s="325">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5514</v>
      </c>
      <c r="R59" s="31" t="s">
        <v>52</v>
      </c>
      <c r="S59" s="31" t="s">
        <v>4110</v>
      </c>
      <c r="T59" s="31">
        <v>1</v>
      </c>
      <c r="U59" s="31" t="s">
        <v>1719</v>
      </c>
      <c r="V59" s="31" t="s">
        <v>5515</v>
      </c>
      <c r="W59" s="31" t="s">
        <v>5516</v>
      </c>
      <c r="X59" s="211">
        <v>45666.625694444447</v>
      </c>
      <c r="Y59" s="31"/>
      <c r="Z59" s="31">
        <v>0.4</v>
      </c>
      <c r="AA59" s="31"/>
      <c r="AB59" s="31" t="s">
        <v>1720</v>
      </c>
      <c r="AC59" s="33" t="s">
        <v>4119</v>
      </c>
      <c r="AD59" s="31" t="s">
        <v>1721</v>
      </c>
      <c r="AE59" s="31"/>
      <c r="AF59" s="31"/>
      <c r="AG59" s="31"/>
      <c r="AH59" s="31"/>
      <c r="AI59" s="31"/>
      <c r="AJ59" s="31"/>
      <c r="AK59" s="31" t="s">
        <v>1721</v>
      </c>
      <c r="AL59" s="325"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5517</v>
      </c>
      <c r="R60" s="28" t="s">
        <v>52</v>
      </c>
      <c r="S60" s="28" t="s">
        <v>4110</v>
      </c>
      <c r="T60" s="28">
        <v>1</v>
      </c>
      <c r="U60" s="28" t="s">
        <v>1719</v>
      </c>
      <c r="V60" s="28" t="s">
        <v>5518</v>
      </c>
      <c r="W60" s="28" t="s">
        <v>5519</v>
      </c>
      <c r="X60" s="135">
        <v>45666.644444444442</v>
      </c>
      <c r="Y60" s="28"/>
      <c r="Z60" s="28">
        <v>0.3</v>
      </c>
      <c r="AA60" s="28"/>
      <c r="AB60" s="28" t="s">
        <v>1720</v>
      </c>
      <c r="AC60" s="30" t="s">
        <v>4119</v>
      </c>
      <c r="AD60" s="28" t="s">
        <v>1721</v>
      </c>
      <c r="AE60" s="28"/>
      <c r="AF60" s="28"/>
      <c r="AG60" s="28"/>
      <c r="AH60" s="28"/>
      <c r="AI60" s="28"/>
      <c r="AJ60" s="28"/>
      <c r="AK60" s="28" t="s">
        <v>1721</v>
      </c>
      <c r="AL60" s="325"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5496</v>
      </c>
      <c r="R61" s="31" t="s">
        <v>52</v>
      </c>
      <c r="S61" s="31" t="s">
        <v>16</v>
      </c>
      <c r="T61" s="31">
        <v>1</v>
      </c>
      <c r="U61" s="31" t="s">
        <v>1719</v>
      </c>
      <c r="V61" s="31" t="s">
        <v>5520</v>
      </c>
      <c r="W61" s="31" t="s">
        <v>5499</v>
      </c>
      <c r="X61" s="211">
        <v>45666.65625</v>
      </c>
      <c r="Y61" s="31"/>
      <c r="Z61" s="31">
        <v>0.3</v>
      </c>
      <c r="AA61" s="31"/>
      <c r="AB61" s="31" t="s">
        <v>1720</v>
      </c>
      <c r="AC61" s="33" t="s">
        <v>4119</v>
      </c>
      <c r="AD61" s="31" t="s">
        <v>1721</v>
      </c>
      <c r="AE61" s="31"/>
      <c r="AF61" s="31"/>
      <c r="AG61" s="31"/>
      <c r="AH61" s="31"/>
      <c r="AI61" s="31"/>
      <c r="AJ61" s="31"/>
      <c r="AK61" s="31" t="s">
        <v>1721</v>
      </c>
      <c r="AL61" s="325"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5204</v>
      </c>
      <c r="R62" s="28" t="s">
        <v>52</v>
      </c>
      <c r="S62" s="28" t="s">
        <v>4110</v>
      </c>
      <c r="T62" s="28">
        <v>1</v>
      </c>
      <c r="U62" s="28" t="s">
        <v>1719</v>
      </c>
      <c r="V62" s="28" t="s">
        <v>5521</v>
      </c>
      <c r="W62" s="28" t="s">
        <v>5522</v>
      </c>
      <c r="X62" s="135">
        <v>45666.690972222219</v>
      </c>
      <c r="Y62" s="28"/>
      <c r="Z62" s="28">
        <v>0.3</v>
      </c>
      <c r="AA62" s="28"/>
      <c r="AB62" s="28" t="s">
        <v>1720</v>
      </c>
      <c r="AC62" s="30" t="s">
        <v>4119</v>
      </c>
      <c r="AD62" s="28" t="s">
        <v>1721</v>
      </c>
      <c r="AE62" s="28"/>
      <c r="AF62" s="28"/>
      <c r="AG62" s="28"/>
      <c r="AH62" s="28"/>
      <c r="AI62" s="28"/>
      <c r="AJ62" s="28"/>
      <c r="AK62" s="28" t="s">
        <v>1721</v>
      </c>
      <c r="AL62" s="325"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5206</v>
      </c>
      <c r="R63" s="31" t="s">
        <v>52</v>
      </c>
      <c r="S63" s="31" t="s">
        <v>4110</v>
      </c>
      <c r="T63" s="31">
        <v>1</v>
      </c>
      <c r="U63" s="31" t="s">
        <v>1719</v>
      </c>
      <c r="V63" s="31" t="s">
        <v>5523</v>
      </c>
      <c r="W63" s="31" t="s">
        <v>5524</v>
      </c>
      <c r="X63" s="211">
        <v>45666.707638888889</v>
      </c>
      <c r="Y63" s="31"/>
      <c r="Z63" s="31">
        <v>0.3</v>
      </c>
      <c r="AA63" s="31"/>
      <c r="AB63" s="31" t="s">
        <v>1720</v>
      </c>
      <c r="AC63" s="33" t="s">
        <v>4119</v>
      </c>
      <c r="AD63" s="31" t="s">
        <v>1721</v>
      </c>
      <c r="AE63" s="31"/>
      <c r="AF63" s="31"/>
      <c r="AG63" s="31"/>
      <c r="AH63" s="31"/>
      <c r="AI63" s="31"/>
      <c r="AJ63" s="31"/>
      <c r="AK63" s="31" t="s">
        <v>1721</v>
      </c>
      <c r="AL63" s="325" t="e">
        <f t="shared" si="0"/>
        <v>#VALUE!</v>
      </c>
    </row>
    <row r="64" spans="1:39" ht="21.6" customHeight="1">
      <c r="A64" s="28">
        <v>63</v>
      </c>
      <c r="B64" s="28" t="s">
        <v>5033</v>
      </c>
      <c r="C64" s="28">
        <v>2025011486</v>
      </c>
      <c r="D64" s="28" t="s">
        <v>5525</v>
      </c>
      <c r="E64" s="28" t="s">
        <v>5035</v>
      </c>
      <c r="F64" s="28">
        <v>3818</v>
      </c>
      <c r="G64" s="28" t="s">
        <v>1414</v>
      </c>
      <c r="H64" s="28" t="s">
        <v>1722</v>
      </c>
      <c r="I64" s="28" t="s">
        <v>5526</v>
      </c>
      <c r="J64" s="28" t="s">
        <v>5299</v>
      </c>
      <c r="K64" s="28" t="s">
        <v>5067</v>
      </c>
      <c r="L64" s="28" t="s">
        <v>5271</v>
      </c>
      <c r="M64" s="29" t="s">
        <v>5272</v>
      </c>
      <c r="N64" s="28" t="s">
        <v>663</v>
      </c>
      <c r="O64" s="29" t="s">
        <v>5273</v>
      </c>
      <c r="P64" s="30" t="s">
        <v>5527</v>
      </c>
      <c r="Q64" s="28" t="s">
        <v>5052</v>
      </c>
      <c r="R64" s="28" t="s">
        <v>52</v>
      </c>
      <c r="S64" s="28" t="s">
        <v>1157</v>
      </c>
      <c r="T64" s="28">
        <v>1</v>
      </c>
      <c r="U64" s="28" t="s">
        <v>1719</v>
      </c>
      <c r="V64" s="28" t="s">
        <v>5528</v>
      </c>
      <c r="W64" s="28" t="s">
        <v>5529</v>
      </c>
      <c r="X64" s="135">
        <v>45667.75</v>
      </c>
      <c r="Y64" s="28" t="s">
        <v>5530</v>
      </c>
      <c r="Z64" s="28">
        <v>1.3</v>
      </c>
      <c r="AA64" s="28"/>
      <c r="AB64" s="28" t="s">
        <v>1720</v>
      </c>
      <c r="AC64" s="30" t="s">
        <v>5531</v>
      </c>
      <c r="AD64" s="28"/>
      <c r="AE64" s="28"/>
      <c r="AF64" s="28"/>
      <c r="AG64" s="28"/>
      <c r="AH64" s="28"/>
      <c r="AI64" s="28"/>
      <c r="AJ64" s="28"/>
      <c r="AK64" s="28" t="s">
        <v>1721</v>
      </c>
      <c r="AL64" s="325">
        <f t="shared" si="0"/>
        <v>45667</v>
      </c>
    </row>
    <row r="65" spans="1:38" ht="21.6" customHeight="1">
      <c r="A65" s="31">
        <v>64</v>
      </c>
      <c r="B65" s="31" t="s">
        <v>5033</v>
      </c>
      <c r="C65" s="31">
        <v>2025011487</v>
      </c>
      <c r="D65" s="31" t="s">
        <v>5532</v>
      </c>
      <c r="E65" s="31" t="s">
        <v>5035</v>
      </c>
      <c r="F65" s="31">
        <v>3818</v>
      </c>
      <c r="G65" s="31" t="s">
        <v>1414</v>
      </c>
      <c r="H65" s="31" t="s">
        <v>1722</v>
      </c>
      <c r="I65" s="31" t="s">
        <v>5533</v>
      </c>
      <c r="J65" s="31" t="s">
        <v>5299</v>
      </c>
      <c r="K65" s="31" t="s">
        <v>5067</v>
      </c>
      <c r="L65" s="31" t="s">
        <v>5271</v>
      </c>
      <c r="M65" s="32" t="s">
        <v>5272</v>
      </c>
      <c r="N65" s="31" t="s">
        <v>663</v>
      </c>
      <c r="O65" s="32" t="s">
        <v>5273</v>
      </c>
      <c r="P65" s="33" t="s">
        <v>5534</v>
      </c>
      <c r="Q65" s="31" t="s">
        <v>5052</v>
      </c>
      <c r="R65" s="31" t="s">
        <v>52</v>
      </c>
      <c r="S65" s="31" t="s">
        <v>1157</v>
      </c>
      <c r="T65" s="31">
        <v>1</v>
      </c>
      <c r="U65" s="31" t="s">
        <v>1719</v>
      </c>
      <c r="V65" s="31" t="s">
        <v>5535</v>
      </c>
      <c r="W65" s="31" t="s">
        <v>5529</v>
      </c>
      <c r="X65" s="211">
        <v>45667.75</v>
      </c>
      <c r="Y65" s="31" t="s">
        <v>5536</v>
      </c>
      <c r="Z65" s="31">
        <v>1.3</v>
      </c>
      <c r="AA65" s="31"/>
      <c r="AB65" s="31" t="s">
        <v>1720</v>
      </c>
      <c r="AC65" s="33" t="s">
        <v>5537</v>
      </c>
      <c r="AD65" s="31"/>
      <c r="AE65" s="31"/>
      <c r="AF65" s="31"/>
      <c r="AG65" s="31"/>
      <c r="AH65" s="31"/>
      <c r="AI65" s="31"/>
      <c r="AJ65" s="31"/>
      <c r="AK65" s="31" t="s">
        <v>1721</v>
      </c>
      <c r="AL65" s="325">
        <f t="shared" si="0"/>
        <v>45667</v>
      </c>
    </row>
    <row r="66" spans="1:38" ht="21.6" customHeight="1">
      <c r="A66" s="28">
        <v>65</v>
      </c>
      <c r="B66" s="28" t="s">
        <v>5033</v>
      </c>
      <c r="C66" s="28">
        <v>2025011488</v>
      </c>
      <c r="D66" s="28" t="s">
        <v>5538</v>
      </c>
      <c r="E66" s="28" t="s">
        <v>5035</v>
      </c>
      <c r="F66" s="28">
        <v>3399</v>
      </c>
      <c r="G66" s="28" t="s">
        <v>4046</v>
      </c>
      <c r="H66" s="28" t="s">
        <v>1722</v>
      </c>
      <c r="I66" s="28" t="s">
        <v>5539</v>
      </c>
      <c r="J66" s="28" t="s">
        <v>5299</v>
      </c>
      <c r="K66" s="28" t="s">
        <v>5067</v>
      </c>
      <c r="L66" s="28" t="s">
        <v>5227</v>
      </c>
      <c r="M66" s="29" t="s">
        <v>5228</v>
      </c>
      <c r="N66" s="28" t="s">
        <v>5540</v>
      </c>
      <c r="O66" s="29" t="s">
        <v>5541</v>
      </c>
      <c r="P66" s="30" t="s">
        <v>5542</v>
      </c>
      <c r="Q66" s="28" t="s">
        <v>5543</v>
      </c>
      <c r="R66" s="28" t="s">
        <v>52</v>
      </c>
      <c r="S66" s="28" t="s">
        <v>1157</v>
      </c>
      <c r="T66" s="28">
        <v>1</v>
      </c>
      <c r="U66" s="28" t="s">
        <v>1719</v>
      </c>
      <c r="V66" s="28" t="s">
        <v>5544</v>
      </c>
      <c r="W66" s="28" t="s">
        <v>5545</v>
      </c>
      <c r="X66" s="135">
        <v>45667.765972222223</v>
      </c>
      <c r="Y66" s="28" t="s">
        <v>5546</v>
      </c>
      <c r="Z66" s="28">
        <v>0.1</v>
      </c>
      <c r="AA66" s="28"/>
      <c r="AB66" s="28" t="s">
        <v>1720</v>
      </c>
      <c r="AC66" s="30" t="s">
        <v>5547</v>
      </c>
      <c r="AD66" s="28"/>
      <c r="AE66" s="28"/>
      <c r="AF66" s="28"/>
      <c r="AG66" s="28"/>
      <c r="AH66" s="28"/>
      <c r="AI66" s="28"/>
      <c r="AJ66" s="28"/>
      <c r="AK66" s="28" t="s">
        <v>1721</v>
      </c>
      <c r="AL66" s="325">
        <f t="shared" ref="AL66:AL129" si="10">DATEVALUE(TEXT(I66, "yyyy/mm/dd"))</f>
        <v>45667</v>
      </c>
    </row>
    <row r="67" spans="1:38" ht="21.6" customHeight="1">
      <c r="A67" s="31">
        <v>66</v>
      </c>
      <c r="B67" s="31" t="s">
        <v>5033</v>
      </c>
      <c r="C67" s="31">
        <v>2025011489</v>
      </c>
      <c r="D67" s="31" t="s">
        <v>5548</v>
      </c>
      <c r="E67" s="31" t="s">
        <v>5035</v>
      </c>
      <c r="F67" s="31">
        <v>3818</v>
      </c>
      <c r="G67" s="31" t="s">
        <v>1414</v>
      </c>
      <c r="H67" s="31" t="s">
        <v>1722</v>
      </c>
      <c r="I67" s="31" t="s">
        <v>5549</v>
      </c>
      <c r="J67" s="31" t="s">
        <v>5299</v>
      </c>
      <c r="K67" s="31" t="s">
        <v>5067</v>
      </c>
      <c r="L67" s="31" t="s">
        <v>5227</v>
      </c>
      <c r="M67" s="32" t="s">
        <v>5228</v>
      </c>
      <c r="N67" s="31" t="s">
        <v>5229</v>
      </c>
      <c r="O67" s="32" t="s">
        <v>5230</v>
      </c>
      <c r="P67" s="33" t="s">
        <v>5550</v>
      </c>
      <c r="Q67" s="31" t="s">
        <v>5052</v>
      </c>
      <c r="R67" s="31" t="s">
        <v>52</v>
      </c>
      <c r="S67" s="31" t="s">
        <v>1157</v>
      </c>
      <c r="T67" s="31">
        <v>1</v>
      </c>
      <c r="U67" s="31" t="s">
        <v>1719</v>
      </c>
      <c r="V67" s="31" t="s">
        <v>5551</v>
      </c>
      <c r="W67" s="31" t="s">
        <v>5529</v>
      </c>
      <c r="X67" s="211">
        <v>45667.75</v>
      </c>
      <c r="Y67" s="31" t="s">
        <v>5546</v>
      </c>
      <c r="Z67" s="31">
        <v>1.3</v>
      </c>
      <c r="AA67" s="31"/>
      <c r="AB67" s="31" t="s">
        <v>1720</v>
      </c>
      <c r="AC67" s="33" t="s">
        <v>5552</v>
      </c>
      <c r="AD67" s="31"/>
      <c r="AE67" s="31"/>
      <c r="AF67" s="31"/>
      <c r="AG67" s="31"/>
      <c r="AH67" s="31"/>
      <c r="AI67" s="31"/>
      <c r="AJ67" s="31"/>
      <c r="AK67" s="31" t="s">
        <v>1721</v>
      </c>
      <c r="AL67" s="325">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5553</v>
      </c>
      <c r="R68" s="28" t="s">
        <v>52</v>
      </c>
      <c r="S68" s="28" t="s">
        <v>4110</v>
      </c>
      <c r="T68" s="28">
        <v>1</v>
      </c>
      <c r="U68" s="28" t="s">
        <v>1719</v>
      </c>
      <c r="V68" s="28" t="s">
        <v>5554</v>
      </c>
      <c r="W68" s="28" t="s">
        <v>5555</v>
      </c>
      <c r="X68" s="135">
        <v>45667.591666666667</v>
      </c>
      <c r="Y68" s="28"/>
      <c r="Z68" s="28">
        <v>0.3</v>
      </c>
      <c r="AA68" s="28"/>
      <c r="AB68" s="28" t="s">
        <v>1720</v>
      </c>
      <c r="AC68" s="30" t="s">
        <v>4119</v>
      </c>
      <c r="AD68" s="28" t="s">
        <v>1721</v>
      </c>
      <c r="AE68" s="28"/>
      <c r="AF68" s="28"/>
      <c r="AG68" s="28"/>
      <c r="AH68" s="28"/>
      <c r="AI68" s="28"/>
      <c r="AJ68" s="28"/>
      <c r="AK68" s="28" t="s">
        <v>1721</v>
      </c>
      <c r="AL68" s="325" t="e">
        <f t="shared" si="10"/>
        <v>#VALUE!</v>
      </c>
    </row>
    <row r="69" spans="1:38" ht="21.6" customHeight="1">
      <c r="A69" s="31">
        <v>68</v>
      </c>
      <c r="B69" s="31" t="s">
        <v>5033</v>
      </c>
      <c r="C69" s="31">
        <v>2025011554</v>
      </c>
      <c r="D69" s="31" t="s">
        <v>5556</v>
      </c>
      <c r="E69" s="31" t="s">
        <v>5035</v>
      </c>
      <c r="F69" s="31">
        <v>4036</v>
      </c>
      <c r="G69" s="31" t="s">
        <v>1526</v>
      </c>
      <c r="H69" s="31" t="s">
        <v>1725</v>
      </c>
      <c r="I69" s="31" t="s">
        <v>5557</v>
      </c>
      <c r="J69" s="31" t="s">
        <v>5299</v>
      </c>
      <c r="K69" s="31" t="s">
        <v>5039</v>
      </c>
      <c r="L69" s="31" t="s">
        <v>5040</v>
      </c>
      <c r="M69" s="32" t="s">
        <v>4057</v>
      </c>
      <c r="N69" s="31">
        <v>2501</v>
      </c>
      <c r="O69" s="32" t="s">
        <v>5041</v>
      </c>
      <c r="P69" s="33" t="s">
        <v>5558</v>
      </c>
      <c r="Q69" s="31" t="s">
        <v>5355</v>
      </c>
      <c r="R69" s="31" t="s">
        <v>52</v>
      </c>
      <c r="S69" s="31" t="s">
        <v>4110</v>
      </c>
      <c r="T69" s="31">
        <v>1</v>
      </c>
      <c r="U69" s="31" t="s">
        <v>1719</v>
      </c>
      <c r="V69" s="31" t="s">
        <v>5559</v>
      </c>
      <c r="W69" s="31" t="s">
        <v>5560</v>
      </c>
      <c r="X69" s="211">
        <v>45667.669444444444</v>
      </c>
      <c r="Y69" s="31" t="s">
        <v>5561</v>
      </c>
      <c r="Z69" s="31">
        <v>0.5</v>
      </c>
      <c r="AA69" s="31"/>
      <c r="AB69" s="31" t="s">
        <v>5562</v>
      </c>
      <c r="AC69" s="33" t="s">
        <v>5563</v>
      </c>
      <c r="AD69" s="31"/>
      <c r="AE69" s="31"/>
      <c r="AF69" s="31"/>
      <c r="AG69" s="31"/>
      <c r="AH69" s="31"/>
      <c r="AI69" s="31"/>
      <c r="AJ69" s="31"/>
      <c r="AK69" s="31" t="s">
        <v>1721</v>
      </c>
      <c r="AL69" s="325">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5564</v>
      </c>
      <c r="R70" s="28" t="s">
        <v>52</v>
      </c>
      <c r="S70" s="28" t="s">
        <v>4110</v>
      </c>
      <c r="T70" s="28">
        <v>1</v>
      </c>
      <c r="U70" s="28" t="s">
        <v>1719</v>
      </c>
      <c r="V70" s="28" t="s">
        <v>5565</v>
      </c>
      <c r="W70" s="28" t="s">
        <v>5566</v>
      </c>
      <c r="X70" s="135">
        <v>45667.625694444447</v>
      </c>
      <c r="Y70" s="28"/>
      <c r="Z70" s="28">
        <v>0.4</v>
      </c>
      <c r="AA70" s="28"/>
      <c r="AB70" s="28" t="s">
        <v>1720</v>
      </c>
      <c r="AC70" s="30" t="s">
        <v>4119</v>
      </c>
      <c r="AD70" s="28" t="s">
        <v>1721</v>
      </c>
      <c r="AE70" s="28"/>
      <c r="AF70" s="28"/>
      <c r="AG70" s="28"/>
      <c r="AH70" s="28"/>
      <c r="AI70" s="28"/>
      <c r="AJ70" s="28"/>
      <c r="AK70" s="28" t="s">
        <v>1721</v>
      </c>
      <c r="AL70" s="325"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5567</v>
      </c>
      <c r="R71" s="31" t="s">
        <v>52</v>
      </c>
      <c r="S71" s="31" t="s">
        <v>4110</v>
      </c>
      <c r="T71" s="31">
        <v>1</v>
      </c>
      <c r="U71" s="31" t="s">
        <v>1719</v>
      </c>
      <c r="V71" s="31" t="s">
        <v>5568</v>
      </c>
      <c r="W71" s="31" t="s">
        <v>5569</v>
      </c>
      <c r="X71" s="211">
        <v>45667.649305555555</v>
      </c>
      <c r="Y71" s="31"/>
      <c r="Z71" s="31">
        <v>0.4</v>
      </c>
      <c r="AA71" s="31"/>
      <c r="AB71" s="31" t="s">
        <v>1720</v>
      </c>
      <c r="AC71" s="33" t="s">
        <v>4119</v>
      </c>
      <c r="AD71" s="31" t="s">
        <v>1721</v>
      </c>
      <c r="AE71" s="31"/>
      <c r="AF71" s="31"/>
      <c r="AG71" s="31"/>
      <c r="AH71" s="31"/>
      <c r="AI71" s="31"/>
      <c r="AJ71" s="31"/>
      <c r="AK71" s="31" t="s">
        <v>1721</v>
      </c>
      <c r="AL71" s="325"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5052</v>
      </c>
      <c r="R72" s="28" t="s">
        <v>52</v>
      </c>
      <c r="S72" s="28" t="s">
        <v>1157</v>
      </c>
      <c r="T72" s="28">
        <v>1</v>
      </c>
      <c r="U72" s="28" t="s">
        <v>1719</v>
      </c>
      <c r="V72" s="28" t="s">
        <v>5570</v>
      </c>
      <c r="W72" s="28" t="s">
        <v>5571</v>
      </c>
      <c r="X72" s="135">
        <v>45667.75</v>
      </c>
      <c r="Y72" s="28"/>
      <c r="Z72" s="28">
        <v>1.2</v>
      </c>
      <c r="AA72" s="28"/>
      <c r="AB72" s="28" t="s">
        <v>1720</v>
      </c>
      <c r="AC72" s="30" t="s">
        <v>5572</v>
      </c>
      <c r="AD72" s="28" t="s">
        <v>1721</v>
      </c>
      <c r="AE72" s="28"/>
      <c r="AF72" s="28"/>
      <c r="AG72" s="28"/>
      <c r="AH72" s="28"/>
      <c r="AI72" s="28"/>
      <c r="AJ72" s="28"/>
      <c r="AK72" s="28" t="s">
        <v>1721</v>
      </c>
      <c r="AL72" s="325" t="e">
        <f t="shared" si="10"/>
        <v>#VALUE!</v>
      </c>
    </row>
    <row r="73" spans="1:38" ht="21.6" customHeight="1">
      <c r="A73" s="31">
        <v>72</v>
      </c>
      <c r="B73" s="31" t="s">
        <v>5033</v>
      </c>
      <c r="C73" s="31">
        <v>2025011637</v>
      </c>
      <c r="D73" s="31" t="s">
        <v>5573</v>
      </c>
      <c r="E73" s="31" t="s">
        <v>5035</v>
      </c>
      <c r="F73" s="31">
        <v>4260</v>
      </c>
      <c r="G73" s="31" t="s">
        <v>346</v>
      </c>
      <c r="H73" s="31" t="s">
        <v>1747</v>
      </c>
      <c r="I73" s="31" t="s">
        <v>5574</v>
      </c>
      <c r="J73" s="31" t="s">
        <v>5575</v>
      </c>
      <c r="K73" s="31" t="s">
        <v>5451</v>
      </c>
      <c r="L73" s="31" t="s">
        <v>5271</v>
      </c>
      <c r="M73" s="32" t="s">
        <v>5272</v>
      </c>
      <c r="N73" s="31" t="s">
        <v>663</v>
      </c>
      <c r="O73" s="32" t="s">
        <v>5273</v>
      </c>
      <c r="P73" s="33" t="s">
        <v>5576</v>
      </c>
      <c r="Q73" s="31" t="s">
        <v>5078</v>
      </c>
      <c r="R73" s="31" t="s">
        <v>52</v>
      </c>
      <c r="S73" s="31" t="s">
        <v>4110</v>
      </c>
      <c r="T73" s="31">
        <v>1</v>
      </c>
      <c r="U73" s="31" t="s">
        <v>1719</v>
      </c>
      <c r="V73" s="31" t="s">
        <v>5577</v>
      </c>
      <c r="W73" s="31" t="s">
        <v>5578</v>
      </c>
      <c r="X73" s="211">
        <v>45670.438888888886</v>
      </c>
      <c r="Y73" s="31" t="s">
        <v>5579</v>
      </c>
      <c r="Z73" s="31">
        <v>0.5</v>
      </c>
      <c r="AA73" s="31"/>
      <c r="AB73" s="31" t="s">
        <v>1720</v>
      </c>
      <c r="AC73" s="33" t="s">
        <v>5580</v>
      </c>
      <c r="AD73" s="31"/>
      <c r="AE73" s="31"/>
      <c r="AF73" s="31"/>
      <c r="AG73" s="31"/>
      <c r="AH73" s="31"/>
      <c r="AI73" s="31"/>
      <c r="AJ73" s="31"/>
      <c r="AK73" s="31" t="s">
        <v>1721</v>
      </c>
      <c r="AL73" s="325">
        <f t="shared" si="10"/>
        <v>45668</v>
      </c>
    </row>
    <row r="74" spans="1:38" ht="21.6" customHeight="1">
      <c r="A74" s="28">
        <v>73</v>
      </c>
      <c r="B74" s="28" t="s">
        <v>5033</v>
      </c>
      <c r="C74" s="28">
        <v>2025011638</v>
      </c>
      <c r="D74" s="28" t="s">
        <v>5581</v>
      </c>
      <c r="E74" s="28" t="s">
        <v>5035</v>
      </c>
      <c r="F74" s="28">
        <v>4260</v>
      </c>
      <c r="G74" s="28" t="s">
        <v>346</v>
      </c>
      <c r="H74" s="28" t="s">
        <v>1747</v>
      </c>
      <c r="I74" s="28" t="s">
        <v>5582</v>
      </c>
      <c r="J74" s="28" t="s">
        <v>5575</v>
      </c>
      <c r="K74" s="28" t="s">
        <v>5067</v>
      </c>
      <c r="L74" s="28" t="s">
        <v>5271</v>
      </c>
      <c r="M74" s="29" t="s">
        <v>5272</v>
      </c>
      <c r="N74" s="28" t="s">
        <v>663</v>
      </c>
      <c r="O74" s="29" t="s">
        <v>5273</v>
      </c>
      <c r="P74" s="30" t="s">
        <v>5583</v>
      </c>
      <c r="Q74" s="28" t="s">
        <v>5078</v>
      </c>
      <c r="R74" s="28" t="s">
        <v>52</v>
      </c>
      <c r="S74" s="28" t="s">
        <v>4110</v>
      </c>
      <c r="T74" s="28">
        <v>1</v>
      </c>
      <c r="U74" s="28" t="s">
        <v>1719</v>
      </c>
      <c r="V74" s="28" t="s">
        <v>5584</v>
      </c>
      <c r="W74" s="28" t="s">
        <v>5585</v>
      </c>
      <c r="X74" s="135">
        <v>45670.438194444447</v>
      </c>
      <c r="Y74" s="28" t="s">
        <v>5579</v>
      </c>
      <c r="Z74" s="28">
        <v>0.5</v>
      </c>
      <c r="AA74" s="28"/>
      <c r="AB74" s="28" t="s">
        <v>1720</v>
      </c>
      <c r="AC74" s="30" t="s">
        <v>5586</v>
      </c>
      <c r="AD74" s="28"/>
      <c r="AE74" s="28"/>
      <c r="AF74" s="28"/>
      <c r="AG74" s="28"/>
      <c r="AH74" s="28"/>
      <c r="AI74" s="28"/>
      <c r="AJ74" s="28"/>
      <c r="AK74" s="28" t="s">
        <v>1721</v>
      </c>
      <c r="AL74" s="325">
        <f t="shared" si="10"/>
        <v>45668</v>
      </c>
    </row>
    <row r="75" spans="1:38" ht="21.6" customHeight="1">
      <c r="A75" s="31">
        <v>74</v>
      </c>
      <c r="B75" s="31" t="s">
        <v>5033</v>
      </c>
      <c r="C75" s="31">
        <v>2025011655</v>
      </c>
      <c r="D75" s="31" t="s">
        <v>5587</v>
      </c>
      <c r="E75" s="31" t="s">
        <v>5035</v>
      </c>
      <c r="F75" s="31">
        <v>4397</v>
      </c>
      <c r="G75" s="31" t="s">
        <v>385</v>
      </c>
      <c r="H75" s="31" t="s">
        <v>1747</v>
      </c>
      <c r="I75" s="31" t="s">
        <v>5588</v>
      </c>
      <c r="J75" s="31" t="s">
        <v>5226</v>
      </c>
      <c r="K75" s="31" t="s">
        <v>5451</v>
      </c>
      <c r="L75" s="31" t="s">
        <v>5589</v>
      </c>
      <c r="M75" s="32" t="s">
        <v>5590</v>
      </c>
      <c r="N75" s="31" t="s">
        <v>5591</v>
      </c>
      <c r="O75" s="32" t="s">
        <v>5592</v>
      </c>
      <c r="P75" s="33" t="s">
        <v>5593</v>
      </c>
      <c r="Q75" s="31" t="s">
        <v>5594</v>
      </c>
      <c r="R75" s="31" t="s">
        <v>52</v>
      </c>
      <c r="S75" s="31" t="s">
        <v>4110</v>
      </c>
      <c r="T75" s="31">
        <v>1</v>
      </c>
      <c r="U75" s="31" t="s">
        <v>1719</v>
      </c>
      <c r="V75" s="31" t="s">
        <v>5595</v>
      </c>
      <c r="W75" s="31" t="s">
        <v>5596</v>
      </c>
      <c r="X75" s="211">
        <v>45670.481249999997</v>
      </c>
      <c r="Y75" s="31" t="s">
        <v>5579</v>
      </c>
      <c r="Z75" s="31">
        <v>0.5</v>
      </c>
      <c r="AA75" s="31"/>
      <c r="AB75" s="31" t="s">
        <v>1720</v>
      </c>
      <c r="AC75" s="33" t="s">
        <v>5597</v>
      </c>
      <c r="AD75" s="31"/>
      <c r="AE75" s="31"/>
      <c r="AF75" s="31"/>
      <c r="AG75" s="31"/>
      <c r="AH75" s="31"/>
      <c r="AI75" s="31"/>
      <c r="AJ75" s="31"/>
      <c r="AK75" s="31" t="s">
        <v>1721</v>
      </c>
      <c r="AL75" s="325">
        <f t="shared" si="10"/>
        <v>45669</v>
      </c>
    </row>
    <row r="76" spans="1:38" ht="21.6" customHeight="1">
      <c r="A76" s="28">
        <v>75</v>
      </c>
      <c r="B76" s="28" t="s">
        <v>5033</v>
      </c>
      <c r="C76" s="28">
        <v>2025011656</v>
      </c>
      <c r="D76" s="28" t="s">
        <v>5598</v>
      </c>
      <c r="E76" s="28" t="s">
        <v>5035</v>
      </c>
      <c r="F76" s="28">
        <v>4680</v>
      </c>
      <c r="G76" s="28" t="s">
        <v>480</v>
      </c>
      <c r="H76" s="28" t="s">
        <v>1722</v>
      </c>
      <c r="I76" s="28" t="s">
        <v>5599</v>
      </c>
      <c r="J76" s="28" t="s">
        <v>5226</v>
      </c>
      <c r="K76" s="28" t="s">
        <v>5067</v>
      </c>
      <c r="L76" s="28" t="s">
        <v>5227</v>
      </c>
      <c r="M76" s="29" t="s">
        <v>5228</v>
      </c>
      <c r="N76" s="28" t="s">
        <v>5229</v>
      </c>
      <c r="O76" s="29" t="s">
        <v>5230</v>
      </c>
      <c r="P76" s="30" t="s">
        <v>5600</v>
      </c>
      <c r="Q76" s="28" t="s">
        <v>5333</v>
      </c>
      <c r="R76" s="28" t="s">
        <v>52</v>
      </c>
      <c r="S76" s="28" t="s">
        <v>1157</v>
      </c>
      <c r="T76" s="28">
        <v>1</v>
      </c>
      <c r="U76" s="28" t="s">
        <v>1719</v>
      </c>
      <c r="V76" s="28" t="s">
        <v>5601</v>
      </c>
      <c r="W76" s="28" t="s">
        <v>5602</v>
      </c>
      <c r="X76" s="135">
        <v>45670.697916666664</v>
      </c>
      <c r="Y76" s="28" t="s">
        <v>5579</v>
      </c>
      <c r="Z76" s="28">
        <v>0.3</v>
      </c>
      <c r="AA76" s="28"/>
      <c r="AB76" s="28" t="s">
        <v>1720</v>
      </c>
      <c r="AC76" s="30" t="s">
        <v>5603</v>
      </c>
      <c r="AD76" s="28"/>
      <c r="AE76" s="28"/>
      <c r="AF76" s="28"/>
      <c r="AG76" s="28"/>
      <c r="AH76" s="28"/>
      <c r="AI76" s="28"/>
      <c r="AJ76" s="28"/>
      <c r="AK76" s="28" t="s">
        <v>1721</v>
      </c>
      <c r="AL76" s="325">
        <f t="shared" si="10"/>
        <v>45669</v>
      </c>
    </row>
    <row r="77" spans="1:38" ht="21.6" customHeight="1">
      <c r="A77" s="31">
        <v>76</v>
      </c>
      <c r="B77" s="31" t="s">
        <v>5033</v>
      </c>
      <c r="C77" s="31">
        <v>2025011664</v>
      </c>
      <c r="D77" s="31" t="s">
        <v>5604</v>
      </c>
      <c r="E77" s="31" t="s">
        <v>5035</v>
      </c>
      <c r="F77" s="31">
        <v>4983</v>
      </c>
      <c r="G77" s="31" t="s">
        <v>575</v>
      </c>
      <c r="H77" s="31" t="s">
        <v>1722</v>
      </c>
      <c r="I77" s="31" t="s">
        <v>5605</v>
      </c>
      <c r="J77" s="31" t="s">
        <v>5038</v>
      </c>
      <c r="K77" s="31" t="s">
        <v>5067</v>
      </c>
      <c r="L77" s="31" t="s">
        <v>5261</v>
      </c>
      <c r="M77" s="32" t="s">
        <v>5262</v>
      </c>
      <c r="N77" s="31">
        <v>5803</v>
      </c>
      <c r="O77" s="32" t="s">
        <v>5606</v>
      </c>
      <c r="P77" s="33" t="s">
        <v>5607</v>
      </c>
      <c r="Q77" s="31" t="s">
        <v>4123</v>
      </c>
      <c r="R77" s="31" t="s">
        <v>52</v>
      </c>
      <c r="S77" s="31" t="s">
        <v>1157</v>
      </c>
      <c r="T77" s="31">
        <v>1</v>
      </c>
      <c r="U77" s="31" t="s">
        <v>1719</v>
      </c>
      <c r="V77" s="31" t="s">
        <v>5608</v>
      </c>
      <c r="W77" s="31" t="s">
        <v>4125</v>
      </c>
      <c r="X77" s="211">
        <v>45670.677083333336</v>
      </c>
      <c r="Y77" s="31" t="s">
        <v>5609</v>
      </c>
      <c r="Z77" s="31">
        <v>0.7</v>
      </c>
      <c r="AA77" s="31"/>
      <c r="AB77" s="31" t="s">
        <v>1720</v>
      </c>
      <c r="AC77" s="33" t="s">
        <v>5610</v>
      </c>
      <c r="AD77" s="31"/>
      <c r="AE77" s="31"/>
      <c r="AF77" s="31"/>
      <c r="AG77" s="31"/>
      <c r="AH77" s="31"/>
      <c r="AI77" s="31"/>
      <c r="AJ77" s="31"/>
      <c r="AK77" s="31" t="s">
        <v>1721</v>
      </c>
      <c r="AL77" s="325">
        <f t="shared" si="10"/>
        <v>45670</v>
      </c>
    </row>
    <row r="78" spans="1:38" ht="21.6" customHeight="1">
      <c r="A78" s="28">
        <v>77</v>
      </c>
      <c r="B78" s="28" t="s">
        <v>5033</v>
      </c>
      <c r="C78" s="28">
        <v>2025011665</v>
      </c>
      <c r="D78" s="28" t="s">
        <v>5611</v>
      </c>
      <c r="E78" s="28" t="s">
        <v>5035</v>
      </c>
      <c r="F78" s="28">
        <v>2995</v>
      </c>
      <c r="G78" s="28" t="s">
        <v>152</v>
      </c>
      <c r="H78" s="28" t="s">
        <v>1722</v>
      </c>
      <c r="I78" s="28" t="s">
        <v>5612</v>
      </c>
      <c r="J78" s="28" t="s">
        <v>5038</v>
      </c>
      <c r="K78" s="28" t="s">
        <v>5451</v>
      </c>
      <c r="L78" s="28" t="s">
        <v>5227</v>
      </c>
      <c r="M78" s="29" t="s">
        <v>5228</v>
      </c>
      <c r="N78" s="28" t="s">
        <v>5613</v>
      </c>
      <c r="O78" s="29" t="s">
        <v>5614</v>
      </c>
      <c r="P78" s="30" t="s">
        <v>5615</v>
      </c>
      <c r="Q78" s="28" t="s">
        <v>5509</v>
      </c>
      <c r="R78" s="28" t="s">
        <v>52</v>
      </c>
      <c r="S78" s="28" t="s">
        <v>1157</v>
      </c>
      <c r="T78" s="28">
        <v>1</v>
      </c>
      <c r="U78" s="28" t="s">
        <v>1719</v>
      </c>
      <c r="V78" s="28" t="s">
        <v>5616</v>
      </c>
      <c r="W78" s="28" t="s">
        <v>5617</v>
      </c>
      <c r="X78" s="135">
        <v>45670.643750000003</v>
      </c>
      <c r="Y78" s="28" t="s">
        <v>5618</v>
      </c>
      <c r="Z78" s="28">
        <v>0.6</v>
      </c>
      <c r="AA78" s="28"/>
      <c r="AB78" s="28" t="s">
        <v>1720</v>
      </c>
      <c r="AC78" s="30" t="s">
        <v>5619</v>
      </c>
      <c r="AD78" s="28"/>
      <c r="AE78" s="28"/>
      <c r="AF78" s="28"/>
      <c r="AG78" s="28"/>
      <c r="AH78" s="28"/>
      <c r="AI78" s="28"/>
      <c r="AJ78" s="28"/>
      <c r="AK78" s="28" t="s">
        <v>1721</v>
      </c>
      <c r="AL78" s="325">
        <f t="shared" si="10"/>
        <v>45670</v>
      </c>
    </row>
    <row r="79" spans="1:38" ht="21.6" customHeight="1">
      <c r="A79" s="31">
        <v>78</v>
      </c>
      <c r="B79" s="31" t="s">
        <v>5033</v>
      </c>
      <c r="C79" s="31">
        <v>2025011666</v>
      </c>
      <c r="D79" s="31" t="s">
        <v>5620</v>
      </c>
      <c r="E79" s="31" t="s">
        <v>5035</v>
      </c>
      <c r="F79" s="31">
        <v>2995</v>
      </c>
      <c r="G79" s="31" t="s">
        <v>152</v>
      </c>
      <c r="H79" s="31" t="s">
        <v>1722</v>
      </c>
      <c r="I79" s="31" t="s">
        <v>5621</v>
      </c>
      <c r="J79" s="31" t="s">
        <v>5038</v>
      </c>
      <c r="K79" s="31" t="s">
        <v>5067</v>
      </c>
      <c r="L79" s="31" t="s">
        <v>5227</v>
      </c>
      <c r="M79" s="32" t="s">
        <v>5228</v>
      </c>
      <c r="N79" s="31" t="s">
        <v>5229</v>
      </c>
      <c r="O79" s="32" t="s">
        <v>5230</v>
      </c>
      <c r="P79" s="33" t="s">
        <v>5622</v>
      </c>
      <c r="Q79" s="31" t="s">
        <v>5509</v>
      </c>
      <c r="R79" s="31" t="s">
        <v>52</v>
      </c>
      <c r="S79" s="31" t="s">
        <v>1157</v>
      </c>
      <c r="T79" s="31">
        <v>1</v>
      </c>
      <c r="U79" s="31" t="s">
        <v>1719</v>
      </c>
      <c r="V79" s="31" t="s">
        <v>5623</v>
      </c>
      <c r="W79" s="31" t="s">
        <v>5617</v>
      </c>
      <c r="X79" s="211">
        <v>45670.643750000003</v>
      </c>
      <c r="Y79" s="31" t="s">
        <v>5624</v>
      </c>
      <c r="Z79" s="31">
        <v>0.6</v>
      </c>
      <c r="AA79" s="31"/>
      <c r="AB79" s="31" t="s">
        <v>1720</v>
      </c>
      <c r="AC79" s="33" t="s">
        <v>5625</v>
      </c>
      <c r="AD79" s="31"/>
      <c r="AE79" s="31"/>
      <c r="AF79" s="31"/>
      <c r="AG79" s="31"/>
      <c r="AH79" s="31"/>
      <c r="AI79" s="31"/>
      <c r="AJ79" s="31"/>
      <c r="AK79" s="31" t="s">
        <v>1721</v>
      </c>
      <c r="AL79" s="325">
        <f t="shared" si="10"/>
        <v>45670</v>
      </c>
    </row>
    <row r="80" spans="1:38" ht="21.6" customHeight="1">
      <c r="A80" s="28">
        <v>79</v>
      </c>
      <c r="B80" s="28" t="s">
        <v>5033</v>
      </c>
      <c r="C80" s="28">
        <v>2025011702</v>
      </c>
      <c r="D80" s="28" t="s">
        <v>5626</v>
      </c>
      <c r="E80" s="28" t="s">
        <v>5035</v>
      </c>
      <c r="F80" s="28">
        <v>4528</v>
      </c>
      <c r="G80" s="28" t="s">
        <v>427</v>
      </c>
      <c r="H80" s="28" t="s">
        <v>3319</v>
      </c>
      <c r="I80" s="28" t="s">
        <v>5627</v>
      </c>
      <c r="J80" s="28" t="s">
        <v>5038</v>
      </c>
      <c r="K80" s="28" t="s">
        <v>5067</v>
      </c>
      <c r="L80" s="28" t="s">
        <v>5227</v>
      </c>
      <c r="M80" s="29" t="s">
        <v>5228</v>
      </c>
      <c r="N80" s="28" t="s">
        <v>5229</v>
      </c>
      <c r="O80" s="29" t="s">
        <v>5230</v>
      </c>
      <c r="P80" s="30" t="s">
        <v>5628</v>
      </c>
      <c r="Q80" s="28" t="s">
        <v>5171</v>
      </c>
      <c r="R80" s="28" t="s">
        <v>52</v>
      </c>
      <c r="S80" s="28" t="s">
        <v>4110</v>
      </c>
      <c r="T80" s="28">
        <v>1</v>
      </c>
      <c r="U80" s="28" t="s">
        <v>1719</v>
      </c>
      <c r="V80" s="28" t="s">
        <v>5629</v>
      </c>
      <c r="W80" s="28" t="s">
        <v>5630</v>
      </c>
      <c r="X80" s="135">
        <v>45671.456250000003</v>
      </c>
      <c r="Y80" s="28" t="s">
        <v>5631</v>
      </c>
      <c r="Z80" s="28">
        <v>0.5</v>
      </c>
      <c r="AA80" s="28"/>
      <c r="AB80" s="28" t="s">
        <v>1720</v>
      </c>
      <c r="AC80" s="30" t="s">
        <v>5632</v>
      </c>
      <c r="AD80" s="28"/>
      <c r="AE80" s="28"/>
      <c r="AF80" s="28"/>
      <c r="AG80" s="28"/>
      <c r="AH80" s="28"/>
      <c r="AI80" s="28"/>
      <c r="AJ80" s="28"/>
      <c r="AK80" s="28" t="s">
        <v>1721</v>
      </c>
      <c r="AL80" s="325">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5633</v>
      </c>
      <c r="R81" s="31" t="s">
        <v>52</v>
      </c>
      <c r="S81" s="31" t="s">
        <v>16</v>
      </c>
      <c r="T81" s="31">
        <v>1</v>
      </c>
      <c r="U81" s="31" t="s">
        <v>1719</v>
      </c>
      <c r="V81" s="31" t="s">
        <v>5634</v>
      </c>
      <c r="W81" s="31" t="s">
        <v>5635</v>
      </c>
      <c r="X81" s="211">
        <v>45670.430555555555</v>
      </c>
      <c r="Y81" s="31"/>
      <c r="Z81" s="31">
        <v>0.3</v>
      </c>
      <c r="AA81" s="31"/>
      <c r="AB81" s="31" t="s">
        <v>1720</v>
      </c>
      <c r="AC81" s="33" t="s">
        <v>4119</v>
      </c>
      <c r="AD81" s="31" t="s">
        <v>1721</v>
      </c>
      <c r="AE81" s="31"/>
      <c r="AF81" s="31"/>
      <c r="AG81" s="31"/>
      <c r="AH81" s="31"/>
      <c r="AI81" s="31"/>
      <c r="AJ81" s="31"/>
      <c r="AK81" s="31" t="s">
        <v>1721</v>
      </c>
      <c r="AL81" s="325"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5636</v>
      </c>
      <c r="R82" s="28" t="s">
        <v>52</v>
      </c>
      <c r="S82" s="28" t="s">
        <v>16</v>
      </c>
      <c r="T82" s="28">
        <v>1</v>
      </c>
      <c r="U82" s="28" t="s">
        <v>1719</v>
      </c>
      <c r="V82" s="28" t="s">
        <v>5637</v>
      </c>
      <c r="W82" s="28" t="s">
        <v>5638</v>
      </c>
      <c r="X82" s="135">
        <v>45670.444444444445</v>
      </c>
      <c r="Y82" s="28"/>
      <c r="Z82" s="28">
        <v>0.3</v>
      </c>
      <c r="AA82" s="28"/>
      <c r="AB82" s="28" t="s">
        <v>1720</v>
      </c>
      <c r="AC82" s="30" t="s">
        <v>4119</v>
      </c>
      <c r="AD82" s="28" t="s">
        <v>1721</v>
      </c>
      <c r="AE82" s="28"/>
      <c r="AF82" s="28"/>
      <c r="AG82" s="28"/>
      <c r="AH82" s="28"/>
      <c r="AI82" s="28"/>
      <c r="AJ82" s="28"/>
      <c r="AK82" s="28" t="s">
        <v>1721</v>
      </c>
      <c r="AL82" s="325"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5639</v>
      </c>
      <c r="R83" s="31" t="s">
        <v>52</v>
      </c>
      <c r="S83" s="31" t="s">
        <v>16</v>
      </c>
      <c r="T83" s="31">
        <v>1</v>
      </c>
      <c r="U83" s="31" t="s">
        <v>1719</v>
      </c>
      <c r="V83" s="31" t="s">
        <v>5640</v>
      </c>
      <c r="W83" s="31" t="s">
        <v>5641</v>
      </c>
      <c r="X83" s="211">
        <v>45670.482638888891</v>
      </c>
      <c r="Y83" s="31"/>
      <c r="Z83" s="31">
        <v>0.3</v>
      </c>
      <c r="AA83" s="31"/>
      <c r="AB83" s="31" t="s">
        <v>1720</v>
      </c>
      <c r="AC83" s="33" t="s">
        <v>4119</v>
      </c>
      <c r="AD83" s="31" t="s">
        <v>1721</v>
      </c>
      <c r="AE83" s="31"/>
      <c r="AF83" s="31"/>
      <c r="AG83" s="31"/>
      <c r="AH83" s="31"/>
      <c r="AI83" s="31"/>
      <c r="AJ83" s="31"/>
      <c r="AK83" s="31" t="s">
        <v>1721</v>
      </c>
      <c r="AL83" s="325"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5643</v>
      </c>
      <c r="R84" s="28" t="s">
        <v>52</v>
      </c>
      <c r="S84" s="28" t="s">
        <v>16</v>
      </c>
      <c r="T84" s="28">
        <v>1</v>
      </c>
      <c r="U84" s="28" t="s">
        <v>1719</v>
      </c>
      <c r="V84" s="28" t="s">
        <v>5644</v>
      </c>
      <c r="W84" s="28" t="s">
        <v>5642</v>
      </c>
      <c r="X84" s="135">
        <v>45670.493055555555</v>
      </c>
      <c r="Y84" s="28"/>
      <c r="Z84" s="28">
        <v>0.3</v>
      </c>
      <c r="AA84" s="28"/>
      <c r="AB84" s="28" t="s">
        <v>1720</v>
      </c>
      <c r="AC84" s="30" t="s">
        <v>4119</v>
      </c>
      <c r="AD84" s="28" t="s">
        <v>1721</v>
      </c>
      <c r="AE84" s="28"/>
      <c r="AF84" s="28"/>
      <c r="AG84" s="28"/>
      <c r="AH84" s="28"/>
      <c r="AI84" s="28"/>
      <c r="AJ84" s="28"/>
      <c r="AK84" s="28" t="s">
        <v>1721</v>
      </c>
      <c r="AL84" s="325"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5594</v>
      </c>
      <c r="R85" s="31" t="s">
        <v>52</v>
      </c>
      <c r="S85" s="31" t="s">
        <v>4110</v>
      </c>
      <c r="T85" s="31">
        <v>1</v>
      </c>
      <c r="U85" s="31" t="s">
        <v>1719</v>
      </c>
      <c r="V85" s="31" t="s">
        <v>5645</v>
      </c>
      <c r="W85" s="31" t="s">
        <v>5646</v>
      </c>
      <c r="X85" s="211">
        <v>45670.512499999997</v>
      </c>
      <c r="Y85" s="31"/>
      <c r="Z85" s="31">
        <v>0.4</v>
      </c>
      <c r="AA85" s="31"/>
      <c r="AB85" s="31" t="s">
        <v>1720</v>
      </c>
      <c r="AC85" s="33" t="s">
        <v>4119</v>
      </c>
      <c r="AD85" s="31" t="s">
        <v>1721</v>
      </c>
      <c r="AE85" s="31"/>
      <c r="AF85" s="31"/>
      <c r="AG85" s="31"/>
      <c r="AH85" s="31"/>
      <c r="AI85" s="31"/>
      <c r="AJ85" s="31"/>
      <c r="AK85" s="31" t="s">
        <v>1721</v>
      </c>
      <c r="AL85" s="325"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5647</v>
      </c>
      <c r="R86" s="28" t="s">
        <v>52</v>
      </c>
      <c r="S86" s="28" t="s">
        <v>16</v>
      </c>
      <c r="T86" s="28">
        <v>1</v>
      </c>
      <c r="U86" s="28" t="s">
        <v>1719</v>
      </c>
      <c r="V86" s="28" t="s">
        <v>5648</v>
      </c>
      <c r="W86" s="28" t="s">
        <v>5649</v>
      </c>
      <c r="X86" s="135">
        <v>45670.5625</v>
      </c>
      <c r="Y86" s="28"/>
      <c r="Z86" s="28">
        <v>0.3</v>
      </c>
      <c r="AA86" s="28"/>
      <c r="AB86" s="28" t="s">
        <v>1720</v>
      </c>
      <c r="AC86" s="30" t="s">
        <v>4119</v>
      </c>
      <c r="AD86" s="28" t="s">
        <v>1721</v>
      </c>
      <c r="AE86" s="28"/>
      <c r="AF86" s="28"/>
      <c r="AG86" s="28"/>
      <c r="AH86" s="28"/>
      <c r="AI86" s="28"/>
      <c r="AJ86" s="28"/>
      <c r="AK86" s="28" t="s">
        <v>1721</v>
      </c>
      <c r="AL86" s="325"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5650</v>
      </c>
      <c r="R87" s="31" t="s">
        <v>52</v>
      </c>
      <c r="S87" s="31" t="s">
        <v>16</v>
      </c>
      <c r="T87" s="31">
        <v>1</v>
      </c>
      <c r="U87" s="31" t="s">
        <v>1719</v>
      </c>
      <c r="V87" s="31" t="s">
        <v>5651</v>
      </c>
      <c r="W87" s="31" t="s">
        <v>5652</v>
      </c>
      <c r="X87" s="211">
        <v>45670.576388888891</v>
      </c>
      <c r="Y87" s="31"/>
      <c r="Z87" s="31">
        <v>0.3</v>
      </c>
      <c r="AA87" s="31"/>
      <c r="AB87" s="31" t="s">
        <v>1720</v>
      </c>
      <c r="AC87" s="33" t="s">
        <v>4119</v>
      </c>
      <c r="AD87" s="31" t="s">
        <v>1721</v>
      </c>
      <c r="AE87" s="31"/>
      <c r="AF87" s="31"/>
      <c r="AG87" s="31"/>
      <c r="AH87" s="31"/>
      <c r="AI87" s="31"/>
      <c r="AJ87" s="31"/>
      <c r="AK87" s="31" t="s">
        <v>1721</v>
      </c>
      <c r="AL87" s="325"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25"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5333</v>
      </c>
      <c r="R89" s="31" t="s">
        <v>52</v>
      </c>
      <c r="S89" s="31" t="s">
        <v>1157</v>
      </c>
      <c r="T89" s="31">
        <v>1</v>
      </c>
      <c r="U89" s="31" t="s">
        <v>1719</v>
      </c>
      <c r="V89" s="31" t="s">
        <v>5653</v>
      </c>
      <c r="W89" s="31" t="s">
        <v>5602</v>
      </c>
      <c r="X89" s="211">
        <v>45670.697916666664</v>
      </c>
      <c r="Y89" s="31"/>
      <c r="Z89" s="31">
        <v>0.3</v>
      </c>
      <c r="AA89" s="31"/>
      <c r="AB89" s="31" t="s">
        <v>1720</v>
      </c>
      <c r="AC89" s="33" t="s">
        <v>4119</v>
      </c>
      <c r="AD89" s="31" t="s">
        <v>1721</v>
      </c>
      <c r="AE89" s="31"/>
      <c r="AF89" s="31"/>
      <c r="AG89" s="31"/>
      <c r="AH89" s="31"/>
      <c r="AI89" s="31"/>
      <c r="AJ89" s="31"/>
      <c r="AK89" s="31" t="s">
        <v>1721</v>
      </c>
      <c r="AL89" s="325" t="e">
        <f t="shared" si="10"/>
        <v>#VALUE!</v>
      </c>
    </row>
    <row r="90" spans="1:38" ht="21.6" customHeight="1">
      <c r="A90" s="28">
        <v>89</v>
      </c>
      <c r="B90" s="28" t="s">
        <v>5033</v>
      </c>
      <c r="C90" s="28">
        <v>2025011843</v>
      </c>
      <c r="D90" s="28" t="s">
        <v>5654</v>
      </c>
      <c r="E90" s="28" t="s">
        <v>5035</v>
      </c>
      <c r="F90" s="28" t="s">
        <v>45</v>
      </c>
      <c r="G90" s="28" t="s">
        <v>638</v>
      </c>
      <c r="H90" s="28" t="s">
        <v>1748</v>
      </c>
      <c r="I90" s="28" t="s">
        <v>5655</v>
      </c>
      <c r="J90" s="28" t="s">
        <v>5038</v>
      </c>
      <c r="K90" s="28" t="s">
        <v>5039</v>
      </c>
      <c r="L90" s="28" t="s">
        <v>5318</v>
      </c>
      <c r="M90" s="29" t="s">
        <v>5319</v>
      </c>
      <c r="N90" s="28" t="s">
        <v>5320</v>
      </c>
      <c r="O90" s="29" t="s">
        <v>5321</v>
      </c>
      <c r="P90" s="30" t="s">
        <v>5656</v>
      </c>
      <c r="Q90" s="28" t="s">
        <v>5480</v>
      </c>
      <c r="R90" s="28" t="s">
        <v>52</v>
      </c>
      <c r="S90" s="28" t="s">
        <v>16</v>
      </c>
      <c r="T90" s="28">
        <v>1</v>
      </c>
      <c r="U90" s="28" t="s">
        <v>1719</v>
      </c>
      <c r="V90" s="28" t="s">
        <v>5657</v>
      </c>
      <c r="W90" s="28" t="s">
        <v>5579</v>
      </c>
      <c r="X90" s="135">
        <v>45671.5625</v>
      </c>
      <c r="Y90" s="28" t="s">
        <v>5658</v>
      </c>
      <c r="Z90" s="28">
        <v>0.5</v>
      </c>
      <c r="AA90" s="28"/>
      <c r="AB90" s="28" t="s">
        <v>1720</v>
      </c>
      <c r="AC90" s="30" t="s">
        <v>5659</v>
      </c>
      <c r="AD90" s="28"/>
      <c r="AE90" s="28"/>
      <c r="AF90" s="28"/>
      <c r="AG90" s="28"/>
      <c r="AH90" s="28"/>
      <c r="AI90" s="28"/>
      <c r="AJ90" s="28"/>
      <c r="AK90" s="28" t="s">
        <v>1721</v>
      </c>
      <c r="AL90" s="325">
        <f t="shared" si="10"/>
        <v>45670</v>
      </c>
    </row>
    <row r="91" spans="1:38" ht="21.6" customHeight="1">
      <c r="A91" s="31">
        <v>90</v>
      </c>
      <c r="B91" s="31" t="s">
        <v>1724</v>
      </c>
      <c r="C91" s="31">
        <v>2025011892</v>
      </c>
      <c r="D91" s="31"/>
      <c r="E91" s="31" t="s">
        <v>5170</v>
      </c>
      <c r="F91" s="31">
        <v>4528</v>
      </c>
      <c r="G91" s="31" t="s">
        <v>427</v>
      </c>
      <c r="H91" s="31" t="s">
        <v>3319</v>
      </c>
      <c r="I91" s="31"/>
      <c r="J91" s="31"/>
      <c r="K91" s="31"/>
      <c r="L91" s="31"/>
      <c r="M91" s="32"/>
      <c r="N91" s="31"/>
      <c r="O91" s="32"/>
      <c r="P91" s="33"/>
      <c r="Q91" s="31" t="s">
        <v>5171</v>
      </c>
      <c r="R91" s="31" t="s">
        <v>52</v>
      </c>
      <c r="S91" s="31" t="s">
        <v>4110</v>
      </c>
      <c r="T91" s="31">
        <v>1</v>
      </c>
      <c r="U91" s="31" t="s">
        <v>1719</v>
      </c>
      <c r="V91" s="31" t="s">
        <v>5660</v>
      </c>
      <c r="W91" s="31" t="s">
        <v>5661</v>
      </c>
      <c r="X91" s="211">
        <v>45671.463888888888</v>
      </c>
      <c r="Y91" s="31"/>
      <c r="Z91" s="31">
        <v>0.6</v>
      </c>
      <c r="AA91" s="31"/>
      <c r="AB91" s="31" t="s">
        <v>1720</v>
      </c>
      <c r="AC91" s="33" t="s">
        <v>4119</v>
      </c>
      <c r="AD91" s="31" t="s">
        <v>1721</v>
      </c>
      <c r="AE91" s="31"/>
      <c r="AF91" s="31"/>
      <c r="AG91" s="31"/>
      <c r="AH91" s="31"/>
      <c r="AI91" s="31"/>
      <c r="AJ91" s="31"/>
      <c r="AK91" s="31" t="s">
        <v>1721</v>
      </c>
      <c r="AL91" s="325" t="e">
        <f t="shared" si="10"/>
        <v>#VALUE!</v>
      </c>
    </row>
    <row r="92" spans="1:38" ht="21.6" customHeight="1">
      <c r="A92" s="28">
        <v>91</v>
      </c>
      <c r="B92" s="28" t="s">
        <v>5033</v>
      </c>
      <c r="C92" s="28">
        <v>2025011898</v>
      </c>
      <c r="D92" s="28" t="s">
        <v>5662</v>
      </c>
      <c r="E92" s="28" t="s">
        <v>5035</v>
      </c>
      <c r="F92" s="28">
        <v>4241</v>
      </c>
      <c r="G92" s="28" t="s">
        <v>1490</v>
      </c>
      <c r="H92" s="28" t="s">
        <v>1747</v>
      </c>
      <c r="I92" s="28" t="s">
        <v>5663</v>
      </c>
      <c r="J92" s="28" t="s">
        <v>5252</v>
      </c>
      <c r="K92" s="28" t="s">
        <v>5067</v>
      </c>
      <c r="L92" s="28" t="s">
        <v>5068</v>
      </c>
      <c r="M92" s="29" t="s">
        <v>1723</v>
      </c>
      <c r="N92" s="28">
        <v>2305</v>
      </c>
      <c r="O92" s="29" t="s">
        <v>5069</v>
      </c>
      <c r="P92" s="30" t="s">
        <v>5664</v>
      </c>
      <c r="Q92" s="28" t="s">
        <v>5058</v>
      </c>
      <c r="R92" s="28" t="s">
        <v>52</v>
      </c>
      <c r="S92" s="28" t="s">
        <v>4110</v>
      </c>
      <c r="T92" s="28">
        <v>1</v>
      </c>
      <c r="U92" s="28" t="s">
        <v>1719</v>
      </c>
      <c r="V92" s="28" t="s">
        <v>5665</v>
      </c>
      <c r="W92" s="28" t="s">
        <v>5666</v>
      </c>
      <c r="X92" s="135">
        <v>45672.590277777781</v>
      </c>
      <c r="Y92" s="28" t="s">
        <v>5667</v>
      </c>
      <c r="Z92" s="28">
        <v>0.5</v>
      </c>
      <c r="AA92" s="28"/>
      <c r="AB92" s="28" t="s">
        <v>1720</v>
      </c>
      <c r="AC92" s="30" t="s">
        <v>5668</v>
      </c>
      <c r="AD92" s="28"/>
      <c r="AE92" s="28"/>
      <c r="AF92" s="28"/>
      <c r="AG92" s="28"/>
      <c r="AH92" s="28"/>
      <c r="AI92" s="28"/>
      <c r="AJ92" s="28"/>
      <c r="AK92" s="28" t="s">
        <v>1721</v>
      </c>
      <c r="AL92" s="325">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5177</v>
      </c>
      <c r="R93" s="31" t="s">
        <v>52</v>
      </c>
      <c r="S93" s="31" t="s">
        <v>4110</v>
      </c>
      <c r="T93" s="31">
        <v>1</v>
      </c>
      <c r="U93" s="31" t="s">
        <v>1719</v>
      </c>
      <c r="V93" s="31" t="s">
        <v>5669</v>
      </c>
      <c r="W93" s="31" t="s">
        <v>5670</v>
      </c>
      <c r="X93" s="211">
        <v>45671.511805555558</v>
      </c>
      <c r="Y93" s="31"/>
      <c r="Z93" s="31">
        <v>0.4</v>
      </c>
      <c r="AA93" s="31"/>
      <c r="AB93" s="31" t="s">
        <v>1720</v>
      </c>
      <c r="AC93" s="33" t="s">
        <v>4119</v>
      </c>
      <c r="AD93" s="31" t="s">
        <v>1721</v>
      </c>
      <c r="AE93" s="31"/>
      <c r="AF93" s="31"/>
      <c r="AG93" s="31"/>
      <c r="AH93" s="31"/>
      <c r="AI93" s="31"/>
      <c r="AJ93" s="31"/>
      <c r="AK93" s="31" t="s">
        <v>1721</v>
      </c>
      <c r="AL93" s="325"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5183</v>
      </c>
      <c r="R94" s="28" t="s">
        <v>52</v>
      </c>
      <c r="S94" s="28" t="s">
        <v>4110</v>
      </c>
      <c r="T94" s="28">
        <v>1</v>
      </c>
      <c r="U94" s="28" t="s">
        <v>1719</v>
      </c>
      <c r="V94" s="28" t="s">
        <v>5671</v>
      </c>
      <c r="W94" s="28" t="s">
        <v>5672</v>
      </c>
      <c r="X94" s="135">
        <v>45671.572222222225</v>
      </c>
      <c r="Y94" s="28"/>
      <c r="Z94" s="28">
        <v>0.4</v>
      </c>
      <c r="AA94" s="28"/>
      <c r="AB94" s="28" t="s">
        <v>1720</v>
      </c>
      <c r="AC94" s="30" t="s">
        <v>5673</v>
      </c>
      <c r="AD94" s="28" t="s">
        <v>1721</v>
      </c>
      <c r="AE94" s="28"/>
      <c r="AF94" s="28"/>
      <c r="AG94" s="28"/>
      <c r="AH94" s="28"/>
      <c r="AI94" s="28"/>
      <c r="AJ94" s="28"/>
      <c r="AK94" s="28" t="s">
        <v>1721</v>
      </c>
      <c r="AL94" s="325"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5189</v>
      </c>
      <c r="R95" s="31" t="s">
        <v>52</v>
      </c>
      <c r="S95" s="31" t="s">
        <v>4110</v>
      </c>
      <c r="T95" s="31">
        <v>1</v>
      </c>
      <c r="U95" s="31" t="s">
        <v>1719</v>
      </c>
      <c r="V95" s="31" t="s">
        <v>5674</v>
      </c>
      <c r="W95" s="31" t="s">
        <v>5675</v>
      </c>
      <c r="X95" s="211">
        <v>45671.634722222225</v>
      </c>
      <c r="Y95" s="31"/>
      <c r="Z95" s="31">
        <v>0.4</v>
      </c>
      <c r="AA95" s="31"/>
      <c r="AB95" s="31" t="s">
        <v>1720</v>
      </c>
      <c r="AC95" s="33" t="s">
        <v>4119</v>
      </c>
      <c r="AD95" s="31" t="s">
        <v>1721</v>
      </c>
      <c r="AE95" s="31"/>
      <c r="AF95" s="31"/>
      <c r="AG95" s="31"/>
      <c r="AH95" s="31"/>
      <c r="AI95" s="31"/>
      <c r="AJ95" s="31"/>
      <c r="AK95" s="31" t="s">
        <v>1721</v>
      </c>
      <c r="AL95" s="325"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5180</v>
      </c>
      <c r="R96" s="28" t="s">
        <v>52</v>
      </c>
      <c r="S96" s="28" t="s">
        <v>4110</v>
      </c>
      <c r="T96" s="28">
        <v>1</v>
      </c>
      <c r="U96" s="28" t="s">
        <v>1719</v>
      </c>
      <c r="V96" s="28" t="s">
        <v>5676</v>
      </c>
      <c r="W96" s="28" t="s">
        <v>5677</v>
      </c>
      <c r="X96" s="135">
        <v>45671.541666666664</v>
      </c>
      <c r="Y96" s="28"/>
      <c r="Z96" s="28">
        <v>0.3</v>
      </c>
      <c r="AA96" s="28"/>
      <c r="AB96" s="28" t="s">
        <v>1720</v>
      </c>
      <c r="AC96" s="30" t="s">
        <v>4119</v>
      </c>
      <c r="AD96" s="28" t="s">
        <v>1721</v>
      </c>
      <c r="AE96" s="28"/>
      <c r="AF96" s="28"/>
      <c r="AG96" s="28"/>
      <c r="AH96" s="28"/>
      <c r="AI96" s="28"/>
      <c r="AJ96" s="28"/>
      <c r="AK96" s="28" t="s">
        <v>1721</v>
      </c>
      <c r="AL96" s="325"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5186</v>
      </c>
      <c r="R97" s="31" t="s">
        <v>52</v>
      </c>
      <c r="S97" s="31" t="s">
        <v>4110</v>
      </c>
      <c r="T97" s="31">
        <v>1</v>
      </c>
      <c r="U97" s="31" t="s">
        <v>1719</v>
      </c>
      <c r="V97" s="31" t="s">
        <v>5678</v>
      </c>
      <c r="W97" s="31" t="s">
        <v>5679</v>
      </c>
      <c r="X97" s="211">
        <v>45671.590277777781</v>
      </c>
      <c r="Y97" s="31"/>
      <c r="Z97" s="31">
        <v>0.3</v>
      </c>
      <c r="AA97" s="31"/>
      <c r="AB97" s="31" t="s">
        <v>1720</v>
      </c>
      <c r="AC97" s="33" t="s">
        <v>4119</v>
      </c>
      <c r="AD97" s="31" t="s">
        <v>1721</v>
      </c>
      <c r="AE97" s="31"/>
      <c r="AF97" s="31"/>
      <c r="AG97" s="31"/>
      <c r="AH97" s="31"/>
      <c r="AI97" s="31"/>
      <c r="AJ97" s="31"/>
      <c r="AK97" s="31" t="s">
        <v>1721</v>
      </c>
      <c r="AL97" s="325" t="e">
        <f t="shared" si="10"/>
        <v>#VALUE!</v>
      </c>
    </row>
    <row r="98" spans="1:38" ht="21.6" customHeight="1">
      <c r="A98" s="28">
        <v>97</v>
      </c>
      <c r="B98" s="28" t="s">
        <v>5033</v>
      </c>
      <c r="C98" s="28">
        <v>2025012261</v>
      </c>
      <c r="D98" s="28" t="s">
        <v>5680</v>
      </c>
      <c r="E98" s="28" t="s">
        <v>5035</v>
      </c>
      <c r="F98" s="28" t="s">
        <v>36</v>
      </c>
      <c r="G98" s="28" t="s">
        <v>635</v>
      </c>
      <c r="H98" s="28" t="s">
        <v>1747</v>
      </c>
      <c r="I98" s="28" t="s">
        <v>5681</v>
      </c>
      <c r="J98" s="28" t="s">
        <v>5066</v>
      </c>
      <c r="K98" s="28" t="s">
        <v>5039</v>
      </c>
      <c r="L98" s="28" t="s">
        <v>5368</v>
      </c>
      <c r="M98" s="29" t="s">
        <v>5369</v>
      </c>
      <c r="N98" s="28">
        <v>2702</v>
      </c>
      <c r="O98" s="29" t="s">
        <v>5682</v>
      </c>
      <c r="P98" s="30" t="s">
        <v>5683</v>
      </c>
      <c r="Q98" s="28" t="s">
        <v>5048</v>
      </c>
      <c r="R98" s="28" t="s">
        <v>52</v>
      </c>
      <c r="S98" s="28" t="s">
        <v>4110</v>
      </c>
      <c r="T98" s="28">
        <v>1</v>
      </c>
      <c r="U98" s="28" t="s">
        <v>1719</v>
      </c>
      <c r="V98" s="28" t="s">
        <v>5684</v>
      </c>
      <c r="W98" s="28" t="s">
        <v>5685</v>
      </c>
      <c r="X98" s="135">
        <v>45672.59375</v>
      </c>
      <c r="Y98" s="28" t="s">
        <v>5686</v>
      </c>
      <c r="Z98" s="28">
        <v>0.5</v>
      </c>
      <c r="AA98" s="28"/>
      <c r="AB98" s="28" t="s">
        <v>1720</v>
      </c>
      <c r="AC98" s="30" t="s">
        <v>5687</v>
      </c>
      <c r="AD98" s="28"/>
      <c r="AE98" s="28"/>
      <c r="AF98" s="28"/>
      <c r="AG98" s="28"/>
      <c r="AH98" s="28"/>
      <c r="AI98" s="28"/>
      <c r="AJ98" s="28"/>
      <c r="AK98" s="28" t="s">
        <v>1721</v>
      </c>
      <c r="AL98" s="325">
        <f t="shared" si="10"/>
        <v>45672</v>
      </c>
    </row>
    <row r="99" spans="1:38" ht="21.6" customHeight="1">
      <c r="A99" s="31">
        <v>98</v>
      </c>
      <c r="B99" s="31" t="s">
        <v>5033</v>
      </c>
      <c r="C99" s="31">
        <v>2025012344</v>
      </c>
      <c r="D99" s="31" t="s">
        <v>5688</v>
      </c>
      <c r="E99" s="31" t="s">
        <v>5035</v>
      </c>
      <c r="F99" s="31">
        <v>3772</v>
      </c>
      <c r="G99" s="31" t="s">
        <v>5689</v>
      </c>
      <c r="H99" s="31" t="s">
        <v>1747</v>
      </c>
      <c r="I99" s="31" t="s">
        <v>5690</v>
      </c>
      <c r="J99" s="31" t="s">
        <v>5096</v>
      </c>
      <c r="K99" s="31" t="s">
        <v>5067</v>
      </c>
      <c r="L99" s="31" t="s">
        <v>5589</v>
      </c>
      <c r="M99" s="32" t="s">
        <v>5590</v>
      </c>
      <c r="N99" s="31" t="s">
        <v>5591</v>
      </c>
      <c r="O99" s="32" t="s">
        <v>5592</v>
      </c>
      <c r="P99" s="33" t="s">
        <v>5691</v>
      </c>
      <c r="Q99" s="31" t="s">
        <v>5155</v>
      </c>
      <c r="R99" s="31" t="s">
        <v>52</v>
      </c>
      <c r="S99" s="31" t="s">
        <v>4110</v>
      </c>
      <c r="T99" s="31">
        <v>1</v>
      </c>
      <c r="U99" s="31" t="s">
        <v>1719</v>
      </c>
      <c r="V99" s="31" t="s">
        <v>5692</v>
      </c>
      <c r="W99" s="31" t="s">
        <v>5693</v>
      </c>
      <c r="X99" s="211">
        <v>45673.45</v>
      </c>
      <c r="Y99" s="31" t="s">
        <v>5694</v>
      </c>
      <c r="Z99" s="31">
        <v>0.5</v>
      </c>
      <c r="AA99" s="31"/>
      <c r="AB99" s="31" t="s">
        <v>1720</v>
      </c>
      <c r="AC99" s="33" t="s">
        <v>5695</v>
      </c>
      <c r="AD99" s="31"/>
      <c r="AE99" s="31"/>
      <c r="AF99" s="31"/>
      <c r="AG99" s="31"/>
      <c r="AH99" s="31"/>
      <c r="AI99" s="31"/>
      <c r="AJ99" s="31"/>
      <c r="AK99" s="31" t="s">
        <v>1721</v>
      </c>
      <c r="AL99" s="325">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5247</v>
      </c>
      <c r="R100" s="28" t="s">
        <v>52</v>
      </c>
      <c r="S100" s="28" t="s">
        <v>16</v>
      </c>
      <c r="T100" s="28">
        <v>1</v>
      </c>
      <c r="U100" s="28" t="s">
        <v>1719</v>
      </c>
      <c r="V100" s="28" t="s">
        <v>5696</v>
      </c>
      <c r="W100" s="28" t="s">
        <v>5697</v>
      </c>
      <c r="X100" s="135">
        <v>45673.472222222219</v>
      </c>
      <c r="Y100" s="28"/>
      <c r="Z100" s="28">
        <v>0.3</v>
      </c>
      <c r="AA100" s="28"/>
      <c r="AB100" s="28" t="s">
        <v>1720</v>
      </c>
      <c r="AC100" s="30" t="s">
        <v>4119</v>
      </c>
      <c r="AD100" s="28" t="s">
        <v>1721</v>
      </c>
      <c r="AE100" s="28"/>
      <c r="AF100" s="28"/>
      <c r="AG100" s="28"/>
      <c r="AH100" s="28"/>
      <c r="AI100" s="28"/>
      <c r="AJ100" s="28"/>
      <c r="AK100" s="28" t="s">
        <v>1721</v>
      </c>
      <c r="AL100" s="325"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5232</v>
      </c>
      <c r="R101" s="31" t="s">
        <v>52</v>
      </c>
      <c r="S101" s="31" t="s">
        <v>16</v>
      </c>
      <c r="T101" s="31">
        <v>1</v>
      </c>
      <c r="U101" s="31" t="s">
        <v>1719</v>
      </c>
      <c r="V101" s="31" t="s">
        <v>5698</v>
      </c>
      <c r="W101" s="31" t="s">
        <v>5699</v>
      </c>
      <c r="X101" s="211">
        <v>45673.486111111109</v>
      </c>
      <c r="Y101" s="31"/>
      <c r="Z101" s="31">
        <v>0.3</v>
      </c>
      <c r="AA101" s="31"/>
      <c r="AB101" s="31" t="s">
        <v>1720</v>
      </c>
      <c r="AC101" s="33" t="s">
        <v>4119</v>
      </c>
      <c r="AD101" s="31" t="s">
        <v>1721</v>
      </c>
      <c r="AE101" s="31"/>
      <c r="AF101" s="31"/>
      <c r="AG101" s="31"/>
      <c r="AH101" s="31"/>
      <c r="AI101" s="31"/>
      <c r="AJ101" s="31"/>
      <c r="AK101" s="31" t="s">
        <v>1721</v>
      </c>
      <c r="AL101" s="325"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5700</v>
      </c>
      <c r="R102" s="28" t="s">
        <v>52</v>
      </c>
      <c r="S102" s="28" t="s">
        <v>4110</v>
      </c>
      <c r="T102" s="28">
        <v>1</v>
      </c>
      <c r="U102" s="28" t="s">
        <v>1719</v>
      </c>
      <c r="V102" s="28" t="s">
        <v>5701</v>
      </c>
      <c r="W102" s="28" t="s">
        <v>5702</v>
      </c>
      <c r="X102" s="135">
        <v>45673.659722222219</v>
      </c>
      <c r="Y102" s="28"/>
      <c r="Z102" s="28">
        <v>0.3</v>
      </c>
      <c r="AA102" s="28"/>
      <c r="AB102" s="28" t="s">
        <v>1720</v>
      </c>
      <c r="AC102" s="30" t="s">
        <v>4119</v>
      </c>
      <c r="AD102" s="28" t="s">
        <v>1721</v>
      </c>
      <c r="AE102" s="28"/>
      <c r="AF102" s="28"/>
      <c r="AG102" s="28"/>
      <c r="AH102" s="28"/>
      <c r="AI102" s="28"/>
      <c r="AJ102" s="28"/>
      <c r="AK102" s="28" t="s">
        <v>1721</v>
      </c>
      <c r="AL102" s="325"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5703</v>
      </c>
      <c r="R103" s="31" t="s">
        <v>52</v>
      </c>
      <c r="S103" s="31" t="s">
        <v>4110</v>
      </c>
      <c r="T103" s="31">
        <v>1</v>
      </c>
      <c r="U103" s="31" t="s">
        <v>1719</v>
      </c>
      <c r="V103" s="31" t="s">
        <v>5704</v>
      </c>
      <c r="W103" s="31" t="s">
        <v>5705</v>
      </c>
      <c r="X103" s="211">
        <v>45673.673611111109</v>
      </c>
      <c r="Y103" s="31"/>
      <c r="Z103" s="31">
        <v>0.3</v>
      </c>
      <c r="AA103" s="31"/>
      <c r="AB103" s="31" t="s">
        <v>1720</v>
      </c>
      <c r="AC103" s="33" t="s">
        <v>4119</v>
      </c>
      <c r="AD103" s="31" t="s">
        <v>1721</v>
      </c>
      <c r="AE103" s="31"/>
      <c r="AF103" s="31"/>
      <c r="AG103" s="31"/>
      <c r="AH103" s="31"/>
      <c r="AI103" s="31"/>
      <c r="AJ103" s="31"/>
      <c r="AK103" s="31" t="s">
        <v>1721</v>
      </c>
      <c r="AL103" s="325"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5706</v>
      </c>
      <c r="R104" s="28" t="s">
        <v>52</v>
      </c>
      <c r="S104" s="28" t="s">
        <v>4110</v>
      </c>
      <c r="T104" s="28">
        <v>1</v>
      </c>
      <c r="U104" s="28" t="s">
        <v>1719</v>
      </c>
      <c r="V104" s="28" t="s">
        <v>5707</v>
      </c>
      <c r="W104" s="28" t="s">
        <v>5708</v>
      </c>
      <c r="X104" s="135">
        <v>45673.697916666664</v>
      </c>
      <c r="Y104" s="28"/>
      <c r="Z104" s="28">
        <v>0.3</v>
      </c>
      <c r="AA104" s="28"/>
      <c r="AB104" s="28" t="s">
        <v>1720</v>
      </c>
      <c r="AC104" s="30" t="s">
        <v>4119</v>
      </c>
      <c r="AD104" s="28" t="s">
        <v>1721</v>
      </c>
      <c r="AE104" s="28"/>
      <c r="AF104" s="28"/>
      <c r="AG104" s="28"/>
      <c r="AH104" s="28"/>
      <c r="AI104" s="28"/>
      <c r="AJ104" s="28"/>
      <c r="AK104" s="28" t="s">
        <v>1721</v>
      </c>
      <c r="AL104" s="325" t="e">
        <f t="shared" si="10"/>
        <v>#VALUE!</v>
      </c>
    </row>
    <row r="105" spans="1:38" ht="21.6" customHeight="1">
      <c r="A105" s="31">
        <v>104</v>
      </c>
      <c r="B105" s="31" t="s">
        <v>5033</v>
      </c>
      <c r="C105" s="31">
        <v>2025012890</v>
      </c>
      <c r="D105" s="31" t="s">
        <v>5709</v>
      </c>
      <c r="E105" s="31" t="s">
        <v>5035</v>
      </c>
      <c r="F105" s="31">
        <v>4397</v>
      </c>
      <c r="G105" s="31" t="s">
        <v>385</v>
      </c>
      <c r="H105" s="31" t="s">
        <v>1747</v>
      </c>
      <c r="I105" s="31" t="s">
        <v>5710</v>
      </c>
      <c r="J105" s="31" t="s">
        <v>5038</v>
      </c>
      <c r="K105" s="31" t="s">
        <v>5067</v>
      </c>
      <c r="L105" s="31" t="s">
        <v>5068</v>
      </c>
      <c r="M105" s="32" t="s">
        <v>1723</v>
      </c>
      <c r="N105" s="31">
        <v>2304</v>
      </c>
      <c r="O105" s="32" t="s">
        <v>5097</v>
      </c>
      <c r="P105" s="33" t="s">
        <v>5711</v>
      </c>
      <c r="Q105" s="31" t="s">
        <v>5594</v>
      </c>
      <c r="R105" s="31" t="s">
        <v>52</v>
      </c>
      <c r="S105" s="31" t="s">
        <v>4110</v>
      </c>
      <c r="T105" s="31">
        <v>1</v>
      </c>
      <c r="U105" s="31" t="s">
        <v>1719</v>
      </c>
      <c r="V105" s="31" t="s">
        <v>5712</v>
      </c>
      <c r="W105" s="31" t="s">
        <v>5713</v>
      </c>
      <c r="X105" s="211">
        <v>45678.450694444444</v>
      </c>
      <c r="Y105" s="31" t="s">
        <v>5714</v>
      </c>
      <c r="Z105" s="31">
        <v>0.5</v>
      </c>
      <c r="AA105" s="31"/>
      <c r="AB105" s="31" t="s">
        <v>1720</v>
      </c>
      <c r="AC105" s="33" t="s">
        <v>5715</v>
      </c>
      <c r="AD105" s="31"/>
      <c r="AE105" s="31"/>
      <c r="AF105" s="31"/>
      <c r="AG105" s="31"/>
      <c r="AH105" s="31"/>
      <c r="AI105" s="31"/>
      <c r="AJ105" s="31"/>
      <c r="AK105" s="31" t="s">
        <v>1721</v>
      </c>
      <c r="AL105" s="325">
        <f t="shared" si="10"/>
        <v>45677</v>
      </c>
    </row>
    <row r="106" spans="1:38" ht="21.6" customHeight="1">
      <c r="A106" s="28">
        <v>105</v>
      </c>
      <c r="B106" s="28" t="s">
        <v>5033</v>
      </c>
      <c r="C106" s="28">
        <v>2025012980</v>
      </c>
      <c r="D106" s="28" t="s">
        <v>5716</v>
      </c>
      <c r="E106" s="28" t="s">
        <v>5035</v>
      </c>
      <c r="F106" s="28">
        <v>3853</v>
      </c>
      <c r="G106" s="28" t="s">
        <v>245</v>
      </c>
      <c r="H106" s="28" t="s">
        <v>1722</v>
      </c>
      <c r="I106" s="28" t="s">
        <v>5717</v>
      </c>
      <c r="J106" s="28" t="s">
        <v>5038</v>
      </c>
      <c r="K106" s="28" t="s">
        <v>5039</v>
      </c>
      <c r="L106" s="28" t="s">
        <v>5227</v>
      </c>
      <c r="M106" s="29" t="s">
        <v>5228</v>
      </c>
      <c r="N106" s="28" t="s">
        <v>5718</v>
      </c>
      <c r="O106" s="29" t="s">
        <v>5719</v>
      </c>
      <c r="P106" s="30" t="s">
        <v>5720</v>
      </c>
      <c r="Q106" s="28" t="s">
        <v>5721</v>
      </c>
      <c r="R106" s="28" t="s">
        <v>52</v>
      </c>
      <c r="S106" s="28" t="s">
        <v>1157</v>
      </c>
      <c r="T106" s="28">
        <v>1</v>
      </c>
      <c r="U106" s="28" t="s">
        <v>1719</v>
      </c>
      <c r="V106" s="28" t="s">
        <v>5722</v>
      </c>
      <c r="W106" s="28" t="s">
        <v>5723</v>
      </c>
      <c r="X106" s="135">
        <v>45677.679166666669</v>
      </c>
      <c r="Y106" s="28" t="s">
        <v>5724</v>
      </c>
      <c r="Z106" s="28">
        <v>0.6</v>
      </c>
      <c r="AA106" s="28"/>
      <c r="AB106" s="28" t="s">
        <v>1720</v>
      </c>
      <c r="AC106" s="30" t="s">
        <v>5725</v>
      </c>
      <c r="AD106" s="28"/>
      <c r="AE106" s="28"/>
      <c r="AF106" s="28"/>
      <c r="AG106" s="28"/>
      <c r="AH106" s="28"/>
      <c r="AI106" s="28"/>
      <c r="AJ106" s="28"/>
      <c r="AK106" s="28" t="s">
        <v>1721</v>
      </c>
      <c r="AL106" s="325">
        <f t="shared" si="10"/>
        <v>45677</v>
      </c>
    </row>
    <row r="107" spans="1:38" ht="21.6" customHeight="1">
      <c r="A107" s="31">
        <v>106</v>
      </c>
      <c r="B107" s="31" t="s">
        <v>5033</v>
      </c>
      <c r="C107" s="31">
        <v>2025013004</v>
      </c>
      <c r="D107" s="31" t="s">
        <v>5726</v>
      </c>
      <c r="E107" s="31" t="s">
        <v>5035</v>
      </c>
      <c r="F107" s="31">
        <v>4764</v>
      </c>
      <c r="G107" s="31" t="s">
        <v>516</v>
      </c>
      <c r="H107" s="31" t="s">
        <v>3319</v>
      </c>
      <c r="I107" s="31" t="s">
        <v>5727</v>
      </c>
      <c r="J107" s="31" t="s">
        <v>5038</v>
      </c>
      <c r="K107" s="31" t="s">
        <v>5039</v>
      </c>
      <c r="L107" s="31" t="s">
        <v>5227</v>
      </c>
      <c r="M107" s="32" t="s">
        <v>5228</v>
      </c>
      <c r="N107" s="31" t="s">
        <v>5229</v>
      </c>
      <c r="O107" s="32" t="s">
        <v>5230</v>
      </c>
      <c r="P107" s="33" t="s">
        <v>5728</v>
      </c>
      <c r="Q107" s="31" t="s">
        <v>5183</v>
      </c>
      <c r="R107" s="31" t="s">
        <v>52</v>
      </c>
      <c r="S107" s="31" t="s">
        <v>4110</v>
      </c>
      <c r="T107" s="31">
        <v>1</v>
      </c>
      <c r="U107" s="31" t="s">
        <v>1719</v>
      </c>
      <c r="V107" s="31" t="s">
        <v>5729</v>
      </c>
      <c r="W107" s="31" t="s">
        <v>5730</v>
      </c>
      <c r="X107" s="211">
        <v>45678.591666666667</v>
      </c>
      <c r="Y107" s="31" t="s">
        <v>5731</v>
      </c>
      <c r="Z107" s="31">
        <v>0.5</v>
      </c>
      <c r="AA107" s="31"/>
      <c r="AB107" s="31" t="s">
        <v>1720</v>
      </c>
      <c r="AC107" s="33" t="s">
        <v>5732</v>
      </c>
      <c r="AD107" s="31"/>
      <c r="AE107" s="31"/>
      <c r="AF107" s="31"/>
      <c r="AG107" s="31"/>
      <c r="AH107" s="31"/>
      <c r="AI107" s="31"/>
      <c r="AJ107" s="31"/>
      <c r="AK107" s="31" t="s">
        <v>1721</v>
      </c>
      <c r="AL107" s="325">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5721</v>
      </c>
      <c r="R108" s="28" t="s">
        <v>52</v>
      </c>
      <c r="S108" s="28" t="s">
        <v>1157</v>
      </c>
      <c r="T108" s="28">
        <v>1</v>
      </c>
      <c r="U108" s="28" t="s">
        <v>1719</v>
      </c>
      <c r="V108" s="28" t="s">
        <v>5733</v>
      </c>
      <c r="W108" s="28" t="s">
        <v>5723</v>
      </c>
      <c r="X108" s="135">
        <v>45677.679166666669</v>
      </c>
      <c r="Y108" s="28"/>
      <c r="Z108" s="28">
        <v>0.6</v>
      </c>
      <c r="AA108" s="28"/>
      <c r="AB108" s="28" t="s">
        <v>1720</v>
      </c>
      <c r="AC108" s="30" t="s">
        <v>4119</v>
      </c>
      <c r="AD108" s="28" t="s">
        <v>1721</v>
      </c>
      <c r="AE108" s="28"/>
      <c r="AF108" s="28"/>
      <c r="AG108" s="28"/>
      <c r="AH108" s="28"/>
      <c r="AI108" s="28"/>
      <c r="AJ108" s="28"/>
      <c r="AK108" s="28" t="s">
        <v>1721</v>
      </c>
      <c r="AL108" s="325" t="e">
        <f t="shared" si="10"/>
        <v>#VALUE!</v>
      </c>
    </row>
    <row r="109" spans="1:38" ht="21.6" customHeight="1">
      <c r="A109" s="31">
        <v>108</v>
      </c>
      <c r="B109" s="31" t="s">
        <v>5033</v>
      </c>
      <c r="C109" s="31">
        <v>2025013079</v>
      </c>
      <c r="D109" s="31" t="s">
        <v>5734</v>
      </c>
      <c r="E109" s="31" t="s">
        <v>5035</v>
      </c>
      <c r="F109" s="31">
        <v>3772</v>
      </c>
      <c r="G109" s="31" t="s">
        <v>5689</v>
      </c>
      <c r="H109" s="31" t="s">
        <v>1747</v>
      </c>
      <c r="I109" s="31" t="s">
        <v>5735</v>
      </c>
      <c r="J109" s="31" t="s">
        <v>5252</v>
      </c>
      <c r="K109" s="31" t="s">
        <v>5067</v>
      </c>
      <c r="L109" s="31" t="s">
        <v>5589</v>
      </c>
      <c r="M109" s="32" t="s">
        <v>5590</v>
      </c>
      <c r="N109" s="31" t="s">
        <v>5591</v>
      </c>
      <c r="O109" s="32" t="s">
        <v>5592</v>
      </c>
      <c r="P109" s="33" t="s">
        <v>5736</v>
      </c>
      <c r="Q109" s="31" t="s">
        <v>5155</v>
      </c>
      <c r="R109" s="31" t="s">
        <v>52</v>
      </c>
      <c r="S109" s="31" t="s">
        <v>4110</v>
      </c>
      <c r="T109" s="31">
        <v>1</v>
      </c>
      <c r="U109" s="31" t="s">
        <v>1719</v>
      </c>
      <c r="V109" s="31" t="s">
        <v>5737</v>
      </c>
      <c r="W109" s="31" t="s">
        <v>5738</v>
      </c>
      <c r="X109" s="211">
        <v>45678.465277777781</v>
      </c>
      <c r="Y109" s="31" t="s">
        <v>5739</v>
      </c>
      <c r="Z109" s="31">
        <v>0.5</v>
      </c>
      <c r="AA109" s="31"/>
      <c r="AB109" s="31" t="s">
        <v>1720</v>
      </c>
      <c r="AC109" s="33" t="s">
        <v>5740</v>
      </c>
      <c r="AD109" s="31"/>
      <c r="AE109" s="31"/>
      <c r="AF109" s="31"/>
      <c r="AG109" s="31"/>
      <c r="AH109" s="31"/>
      <c r="AI109" s="31"/>
      <c r="AJ109" s="31"/>
      <c r="AK109" s="31" t="s">
        <v>1721</v>
      </c>
      <c r="AL109" s="325">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5238</v>
      </c>
      <c r="R110" s="28" t="s">
        <v>52</v>
      </c>
      <c r="S110" s="28" t="s">
        <v>16</v>
      </c>
      <c r="T110" s="28">
        <v>1</v>
      </c>
      <c r="U110" s="28" t="s">
        <v>1719</v>
      </c>
      <c r="V110" s="28" t="s">
        <v>5741</v>
      </c>
      <c r="W110" s="28" t="s">
        <v>5742</v>
      </c>
      <c r="X110" s="135">
        <v>45678.5625</v>
      </c>
      <c r="Y110" s="28"/>
      <c r="Z110" s="28">
        <v>0.3</v>
      </c>
      <c r="AA110" s="28"/>
      <c r="AB110" s="28" t="s">
        <v>1720</v>
      </c>
      <c r="AC110" s="30" t="s">
        <v>4119</v>
      </c>
      <c r="AD110" s="28" t="s">
        <v>1721</v>
      </c>
      <c r="AE110" s="28"/>
      <c r="AF110" s="28"/>
      <c r="AG110" s="28"/>
      <c r="AH110" s="28"/>
      <c r="AI110" s="28"/>
      <c r="AJ110" s="28"/>
      <c r="AK110" s="28" t="s">
        <v>1721</v>
      </c>
      <c r="AL110" s="325"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5198</v>
      </c>
      <c r="R111" s="31" t="s">
        <v>52</v>
      </c>
      <c r="S111" s="31" t="s">
        <v>16</v>
      </c>
      <c r="T111" s="31">
        <v>1</v>
      </c>
      <c r="U111" s="31" t="s">
        <v>1719</v>
      </c>
      <c r="V111" s="31" t="s">
        <v>5743</v>
      </c>
      <c r="W111" s="31" t="s">
        <v>5744</v>
      </c>
      <c r="X111" s="211">
        <v>45678.583333333336</v>
      </c>
      <c r="Y111" s="31"/>
      <c r="Z111" s="31">
        <v>0.3</v>
      </c>
      <c r="AA111" s="31"/>
      <c r="AB111" s="31" t="s">
        <v>1720</v>
      </c>
      <c r="AC111" s="33" t="s">
        <v>4119</v>
      </c>
      <c r="AD111" s="31" t="s">
        <v>1721</v>
      </c>
      <c r="AE111" s="31"/>
      <c r="AF111" s="31"/>
      <c r="AG111" s="31"/>
      <c r="AH111" s="31"/>
      <c r="AI111" s="31"/>
      <c r="AJ111" s="31"/>
      <c r="AK111" s="31" t="s">
        <v>1721</v>
      </c>
      <c r="AL111" s="325"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5201</v>
      </c>
      <c r="R112" s="28" t="s">
        <v>52</v>
      </c>
      <c r="S112" s="28" t="s">
        <v>16</v>
      </c>
      <c r="T112" s="28">
        <v>1</v>
      </c>
      <c r="U112" s="28" t="s">
        <v>1719</v>
      </c>
      <c r="V112" s="28" t="s">
        <v>5745</v>
      </c>
      <c r="W112" s="28" t="s">
        <v>5746</v>
      </c>
      <c r="X112" s="135">
        <v>45678.604166666664</v>
      </c>
      <c r="Y112" s="28"/>
      <c r="Z112" s="28">
        <v>0.3</v>
      </c>
      <c r="AA112" s="28"/>
      <c r="AB112" s="28" t="s">
        <v>1720</v>
      </c>
      <c r="AC112" s="30" t="s">
        <v>4119</v>
      </c>
      <c r="AD112" s="28" t="s">
        <v>1721</v>
      </c>
      <c r="AE112" s="28"/>
      <c r="AF112" s="28"/>
      <c r="AG112" s="28"/>
      <c r="AH112" s="28"/>
      <c r="AI112" s="28"/>
      <c r="AJ112" s="28"/>
      <c r="AK112" s="28" t="s">
        <v>1721</v>
      </c>
      <c r="AL112" s="325" t="e">
        <f t="shared" si="10"/>
        <v>#VALUE!</v>
      </c>
    </row>
    <row r="113" spans="1:38" ht="21.6" customHeight="1">
      <c r="A113" s="31">
        <v>112</v>
      </c>
      <c r="B113" s="31" t="s">
        <v>5033</v>
      </c>
      <c r="C113" s="31">
        <v>2025013268</v>
      </c>
      <c r="D113" s="31" t="s">
        <v>5747</v>
      </c>
      <c r="E113" s="31" t="s">
        <v>5035</v>
      </c>
      <c r="F113" s="31">
        <v>4057</v>
      </c>
      <c r="G113" s="31" t="s">
        <v>299</v>
      </c>
      <c r="H113" s="31" t="s">
        <v>1746</v>
      </c>
      <c r="I113" s="31" t="s">
        <v>5748</v>
      </c>
      <c r="J113" s="31" t="s">
        <v>5066</v>
      </c>
      <c r="K113" s="31" t="s">
        <v>5067</v>
      </c>
      <c r="L113" s="31" t="s">
        <v>5749</v>
      </c>
      <c r="M113" s="32" t="s">
        <v>5750</v>
      </c>
      <c r="N113" s="31">
        <v>5903</v>
      </c>
      <c r="O113" s="32" t="s">
        <v>5751</v>
      </c>
      <c r="P113" s="33" t="s">
        <v>5752</v>
      </c>
      <c r="Q113" s="31" t="s">
        <v>5753</v>
      </c>
      <c r="R113" s="31" t="s">
        <v>52</v>
      </c>
      <c r="S113" s="31" t="s">
        <v>16</v>
      </c>
      <c r="T113" s="31">
        <v>1</v>
      </c>
      <c r="U113" s="31" t="s">
        <v>1719</v>
      </c>
      <c r="V113" s="31" t="s">
        <v>5754</v>
      </c>
      <c r="W113" s="31" t="s">
        <v>5755</v>
      </c>
      <c r="X113" s="211">
        <v>45679.451388888891</v>
      </c>
      <c r="Y113" s="31" t="s">
        <v>5757</v>
      </c>
      <c r="Z113" s="31">
        <v>0.7</v>
      </c>
      <c r="AA113" s="31"/>
      <c r="AB113" s="31" t="s">
        <v>1720</v>
      </c>
      <c r="AC113" s="33" t="s">
        <v>5758</v>
      </c>
      <c r="AD113" s="31"/>
      <c r="AE113" s="31"/>
      <c r="AF113" s="31"/>
      <c r="AG113" s="31"/>
      <c r="AH113" s="31"/>
      <c r="AI113" s="31"/>
      <c r="AJ113" s="31"/>
      <c r="AK113" s="31" t="s">
        <v>1721</v>
      </c>
      <c r="AL113" s="325">
        <f t="shared" si="10"/>
        <v>45679</v>
      </c>
    </row>
    <row r="114" spans="1:38" ht="21.6" customHeight="1">
      <c r="A114" s="28">
        <v>113</v>
      </c>
      <c r="B114" s="28" t="s">
        <v>5033</v>
      </c>
      <c r="C114" s="28">
        <v>2025013318</v>
      </c>
      <c r="D114" s="28" t="s">
        <v>5759</v>
      </c>
      <c r="E114" s="28" t="s">
        <v>5035</v>
      </c>
      <c r="F114" s="28">
        <v>3929</v>
      </c>
      <c r="G114" s="28" t="s">
        <v>1524</v>
      </c>
      <c r="H114" s="28" t="s">
        <v>1725</v>
      </c>
      <c r="I114" s="28" t="s">
        <v>5760</v>
      </c>
      <c r="J114" s="28" t="s">
        <v>5066</v>
      </c>
      <c r="K114" s="28" t="s">
        <v>5067</v>
      </c>
      <c r="L114" s="28" t="s">
        <v>5068</v>
      </c>
      <c r="M114" s="29" t="s">
        <v>1723</v>
      </c>
      <c r="N114" s="28">
        <v>2304</v>
      </c>
      <c r="O114" s="29" t="s">
        <v>5097</v>
      </c>
      <c r="P114" s="30" t="s">
        <v>5761</v>
      </c>
      <c r="Q114" s="28" t="s">
        <v>5762</v>
      </c>
      <c r="R114" s="28" t="s">
        <v>52</v>
      </c>
      <c r="S114" s="28" t="s">
        <v>4110</v>
      </c>
      <c r="T114" s="28">
        <v>1</v>
      </c>
      <c r="U114" s="28" t="s">
        <v>1719</v>
      </c>
      <c r="V114" s="28" t="s">
        <v>5763</v>
      </c>
      <c r="W114" s="28" t="s">
        <v>5764</v>
      </c>
      <c r="X114" s="135">
        <v>45680.444444444445</v>
      </c>
      <c r="Y114" s="28" t="s">
        <v>5765</v>
      </c>
      <c r="Z114" s="28">
        <v>0.5</v>
      </c>
      <c r="AA114" s="28"/>
      <c r="AB114" s="28" t="s">
        <v>1720</v>
      </c>
      <c r="AC114" s="30" t="s">
        <v>5766</v>
      </c>
      <c r="AD114" s="28"/>
      <c r="AE114" s="28"/>
      <c r="AF114" s="28"/>
      <c r="AG114" s="28"/>
      <c r="AH114" s="28"/>
      <c r="AI114" s="28"/>
      <c r="AJ114" s="28"/>
      <c r="AK114" s="28" t="s">
        <v>1721</v>
      </c>
      <c r="AL114" s="325">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5753</v>
      </c>
      <c r="R115" s="31" t="s">
        <v>52</v>
      </c>
      <c r="S115" s="31" t="s">
        <v>16</v>
      </c>
      <c r="T115" s="31">
        <v>1</v>
      </c>
      <c r="U115" s="31" t="s">
        <v>1719</v>
      </c>
      <c r="V115" s="31" t="s">
        <v>5767</v>
      </c>
      <c r="W115" s="31" t="s">
        <v>5756</v>
      </c>
      <c r="X115" s="211">
        <v>45679.465277777781</v>
      </c>
      <c r="Y115" s="31"/>
      <c r="Z115" s="31">
        <v>0.3</v>
      </c>
      <c r="AA115" s="31"/>
      <c r="AB115" s="31" t="s">
        <v>1720</v>
      </c>
      <c r="AC115" s="33" t="s">
        <v>4119</v>
      </c>
      <c r="AD115" s="31" t="s">
        <v>1721</v>
      </c>
      <c r="AE115" s="31"/>
      <c r="AF115" s="31"/>
      <c r="AG115" s="31"/>
      <c r="AH115" s="31"/>
      <c r="AI115" s="31"/>
      <c r="AJ115" s="31"/>
      <c r="AK115" s="31" t="s">
        <v>1721</v>
      </c>
      <c r="AL115" s="325"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5768</v>
      </c>
      <c r="R116" s="28" t="s">
        <v>52</v>
      </c>
      <c r="S116" s="28" t="s">
        <v>4110</v>
      </c>
      <c r="T116" s="28">
        <v>1</v>
      </c>
      <c r="U116" s="28" t="s">
        <v>1719</v>
      </c>
      <c r="V116" s="28" t="s">
        <v>5769</v>
      </c>
      <c r="W116" s="28" t="s">
        <v>5770</v>
      </c>
      <c r="X116" s="135">
        <v>45679.558333333334</v>
      </c>
      <c r="Y116" s="28"/>
      <c r="Z116" s="28">
        <v>0.3</v>
      </c>
      <c r="AA116" s="28"/>
      <c r="AB116" s="28" t="s">
        <v>1720</v>
      </c>
      <c r="AC116" s="30" t="s">
        <v>4119</v>
      </c>
      <c r="AD116" s="28" t="s">
        <v>1721</v>
      </c>
      <c r="AE116" s="28"/>
      <c r="AF116" s="28"/>
      <c r="AG116" s="28"/>
      <c r="AH116" s="28"/>
      <c r="AI116" s="28"/>
      <c r="AJ116" s="28"/>
      <c r="AK116" s="28" t="s">
        <v>1721</v>
      </c>
      <c r="AL116" s="325"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5771</v>
      </c>
      <c r="R117" s="31" t="s">
        <v>52</v>
      </c>
      <c r="S117" s="31" t="s">
        <v>4110</v>
      </c>
      <c r="T117" s="31">
        <v>1</v>
      </c>
      <c r="U117" s="31" t="s">
        <v>1719</v>
      </c>
      <c r="V117" s="31" t="s">
        <v>5772</v>
      </c>
      <c r="W117" s="31" t="s">
        <v>5773</v>
      </c>
      <c r="X117" s="211">
        <v>45679.57708333333</v>
      </c>
      <c r="Y117" s="31"/>
      <c r="Z117" s="31">
        <v>0.3</v>
      </c>
      <c r="AA117" s="31"/>
      <c r="AB117" s="31" t="s">
        <v>1720</v>
      </c>
      <c r="AC117" s="33" t="s">
        <v>4119</v>
      </c>
      <c r="AD117" s="31" t="s">
        <v>1721</v>
      </c>
      <c r="AE117" s="31"/>
      <c r="AF117" s="31"/>
      <c r="AG117" s="31"/>
      <c r="AH117" s="31"/>
      <c r="AI117" s="31"/>
      <c r="AJ117" s="31"/>
      <c r="AK117" s="31" t="s">
        <v>1721</v>
      </c>
      <c r="AL117" s="325"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5774</v>
      </c>
      <c r="R118" s="28" t="s">
        <v>52</v>
      </c>
      <c r="S118" s="28" t="s">
        <v>4110</v>
      </c>
      <c r="T118" s="28">
        <v>1</v>
      </c>
      <c r="U118" s="28" t="s">
        <v>1719</v>
      </c>
      <c r="V118" s="28" t="s">
        <v>5775</v>
      </c>
      <c r="W118" s="28" t="s">
        <v>5776</v>
      </c>
      <c r="X118" s="135">
        <v>45679.604861111111</v>
      </c>
      <c r="Y118" s="28"/>
      <c r="Z118" s="28">
        <v>0.3</v>
      </c>
      <c r="AA118" s="28"/>
      <c r="AB118" s="28" t="s">
        <v>1720</v>
      </c>
      <c r="AC118" s="30" t="s">
        <v>4119</v>
      </c>
      <c r="AD118" s="28" t="s">
        <v>1721</v>
      </c>
      <c r="AE118" s="28"/>
      <c r="AF118" s="28"/>
      <c r="AG118" s="28"/>
      <c r="AH118" s="28"/>
      <c r="AI118" s="28"/>
      <c r="AJ118" s="28"/>
      <c r="AK118" s="28" t="s">
        <v>1721</v>
      </c>
      <c r="AL118" s="325" t="e">
        <f t="shared" si="10"/>
        <v>#VALUE!</v>
      </c>
    </row>
    <row r="119" spans="1:38" ht="21.6" customHeight="1">
      <c r="A119" s="31">
        <v>118</v>
      </c>
      <c r="B119" s="31" t="s">
        <v>5033</v>
      </c>
      <c r="C119" s="31">
        <v>2025013419</v>
      </c>
      <c r="D119" s="31" t="s">
        <v>5777</v>
      </c>
      <c r="E119" s="31" t="s">
        <v>5035</v>
      </c>
      <c r="F119" s="31">
        <v>3818</v>
      </c>
      <c r="G119" s="31" t="s">
        <v>1414</v>
      </c>
      <c r="H119" s="31" t="s">
        <v>1722</v>
      </c>
      <c r="I119" s="31" t="s">
        <v>5778</v>
      </c>
      <c r="J119" s="31" t="s">
        <v>5066</v>
      </c>
      <c r="K119" s="31" t="s">
        <v>5039</v>
      </c>
      <c r="L119" s="31" t="s">
        <v>5227</v>
      </c>
      <c r="M119" s="32" t="s">
        <v>5228</v>
      </c>
      <c r="N119" s="31" t="s">
        <v>5229</v>
      </c>
      <c r="O119" s="32" t="s">
        <v>5230</v>
      </c>
      <c r="P119" s="33" t="s">
        <v>5779</v>
      </c>
      <c r="Q119" s="31" t="s">
        <v>5052</v>
      </c>
      <c r="R119" s="31" t="s">
        <v>52</v>
      </c>
      <c r="S119" s="31" t="s">
        <v>1157</v>
      </c>
      <c r="T119" s="31">
        <v>1</v>
      </c>
      <c r="U119" s="31" t="s">
        <v>1719</v>
      </c>
      <c r="V119" s="31" t="s">
        <v>5780</v>
      </c>
      <c r="W119" s="31" t="s">
        <v>5781</v>
      </c>
      <c r="X119" s="211">
        <v>45680.678472222222</v>
      </c>
      <c r="Y119" s="31" t="s">
        <v>5782</v>
      </c>
      <c r="Z119" s="31">
        <v>0.2</v>
      </c>
      <c r="AA119" s="31"/>
      <c r="AB119" s="31" t="s">
        <v>1720</v>
      </c>
      <c r="AC119" s="33" t="s">
        <v>5603</v>
      </c>
      <c r="AD119" s="31"/>
      <c r="AE119" s="31"/>
      <c r="AF119" s="31"/>
      <c r="AG119" s="31"/>
      <c r="AH119" s="31"/>
      <c r="AI119" s="31"/>
      <c r="AJ119" s="31"/>
      <c r="AK119" s="31" t="s">
        <v>1721</v>
      </c>
      <c r="AL119" s="325">
        <f t="shared" si="10"/>
        <v>45679</v>
      </c>
    </row>
    <row r="120" spans="1:38" ht="21.6" customHeight="1">
      <c r="A120" s="28">
        <v>119</v>
      </c>
      <c r="B120" s="28" t="s">
        <v>5033</v>
      </c>
      <c r="C120" s="28">
        <v>2025013444</v>
      </c>
      <c r="D120" s="28" t="s">
        <v>5783</v>
      </c>
      <c r="E120" s="28" t="s">
        <v>5035</v>
      </c>
      <c r="F120" s="28">
        <v>4541</v>
      </c>
      <c r="G120" s="28" t="s">
        <v>432</v>
      </c>
      <c r="H120" s="28" t="s">
        <v>3321</v>
      </c>
      <c r="I120" s="28" t="s">
        <v>5784</v>
      </c>
      <c r="J120" s="28" t="s">
        <v>5066</v>
      </c>
      <c r="K120" s="28" t="s">
        <v>5039</v>
      </c>
      <c r="L120" s="28" t="s">
        <v>5227</v>
      </c>
      <c r="M120" s="29" t="s">
        <v>5228</v>
      </c>
      <c r="N120" s="28" t="s">
        <v>5718</v>
      </c>
      <c r="O120" s="29" t="s">
        <v>5719</v>
      </c>
      <c r="P120" s="30" t="s">
        <v>5785</v>
      </c>
      <c r="Q120" s="28" t="s">
        <v>5786</v>
      </c>
      <c r="R120" s="28" t="s">
        <v>52</v>
      </c>
      <c r="S120" s="28" t="s">
        <v>4110</v>
      </c>
      <c r="T120" s="28">
        <v>1</v>
      </c>
      <c r="U120" s="28" t="s">
        <v>1719</v>
      </c>
      <c r="V120" s="28" t="s">
        <v>5787</v>
      </c>
      <c r="W120" s="28" t="s">
        <v>5788</v>
      </c>
      <c r="X120" s="135">
        <v>45680.689583333333</v>
      </c>
      <c r="Y120" s="28" t="s">
        <v>5789</v>
      </c>
      <c r="Z120" s="28">
        <v>0.9</v>
      </c>
      <c r="AA120" s="28"/>
      <c r="AB120" s="28" t="s">
        <v>1720</v>
      </c>
      <c r="AC120" s="30" t="s">
        <v>5790</v>
      </c>
      <c r="AD120" s="28"/>
      <c r="AE120" s="28"/>
      <c r="AF120" s="28"/>
      <c r="AG120" s="28"/>
      <c r="AH120" s="28"/>
      <c r="AI120" s="28"/>
      <c r="AJ120" s="28"/>
      <c r="AK120" s="28" t="s">
        <v>1721</v>
      </c>
      <c r="AL120" s="325">
        <f t="shared" si="10"/>
        <v>45679</v>
      </c>
    </row>
    <row r="121" spans="1:38" ht="21.6" customHeight="1">
      <c r="A121" s="31">
        <v>120</v>
      </c>
      <c r="B121" s="31" t="s">
        <v>5033</v>
      </c>
      <c r="C121" s="31">
        <v>2025013598</v>
      </c>
      <c r="D121" s="31" t="s">
        <v>5791</v>
      </c>
      <c r="E121" s="31" t="s">
        <v>5035</v>
      </c>
      <c r="F121" s="31">
        <v>4218</v>
      </c>
      <c r="G121" s="31" t="s">
        <v>4115</v>
      </c>
      <c r="H121" s="31" t="s">
        <v>1725</v>
      </c>
      <c r="I121" s="31" t="s">
        <v>5792</v>
      </c>
      <c r="J121" s="31" t="s">
        <v>5096</v>
      </c>
      <c r="K121" s="31" t="s">
        <v>5039</v>
      </c>
      <c r="L121" s="31" t="s">
        <v>5068</v>
      </c>
      <c r="M121" s="32" t="s">
        <v>1723</v>
      </c>
      <c r="N121" s="31">
        <v>2307</v>
      </c>
      <c r="O121" s="32" t="s">
        <v>5383</v>
      </c>
      <c r="P121" s="33" t="s">
        <v>5793</v>
      </c>
      <c r="Q121" s="31" t="s">
        <v>5794</v>
      </c>
      <c r="R121" s="31" t="s">
        <v>52</v>
      </c>
      <c r="S121" s="31" t="s">
        <v>4110</v>
      </c>
      <c r="T121" s="31">
        <v>1</v>
      </c>
      <c r="U121" s="31" t="s">
        <v>1719</v>
      </c>
      <c r="V121" s="31" t="s">
        <v>5795</v>
      </c>
      <c r="W121" s="31" t="s">
        <v>5796</v>
      </c>
      <c r="X121" s="211">
        <v>45680.791666666664</v>
      </c>
      <c r="Y121" s="31" t="s">
        <v>5797</v>
      </c>
      <c r="Z121" s="31">
        <v>1</v>
      </c>
      <c r="AA121" s="31"/>
      <c r="AB121" s="31" t="s">
        <v>1720</v>
      </c>
      <c r="AC121" s="33" t="s">
        <v>5798</v>
      </c>
      <c r="AD121" s="31"/>
      <c r="AE121" s="31"/>
      <c r="AF121" s="31"/>
      <c r="AG121" s="31"/>
      <c r="AH121" s="31"/>
      <c r="AI121" s="31"/>
      <c r="AJ121" s="31"/>
      <c r="AK121" s="31" t="s">
        <v>1721</v>
      </c>
      <c r="AL121" s="325">
        <f t="shared" si="10"/>
        <v>45680</v>
      </c>
    </row>
    <row r="122" spans="1:38" ht="21.6" customHeight="1">
      <c r="A122" s="28">
        <v>121</v>
      </c>
      <c r="B122" s="28" t="s">
        <v>5033</v>
      </c>
      <c r="C122" s="28">
        <v>2025013599</v>
      </c>
      <c r="D122" s="28" t="s">
        <v>5799</v>
      </c>
      <c r="E122" s="28" t="s">
        <v>5503</v>
      </c>
      <c r="F122" s="28">
        <v>4218</v>
      </c>
      <c r="G122" s="28" t="s">
        <v>4115</v>
      </c>
      <c r="H122" s="28" t="s">
        <v>1725</v>
      </c>
      <c r="I122" s="28" t="s">
        <v>5800</v>
      </c>
      <c r="J122" s="28" t="s">
        <v>5096</v>
      </c>
      <c r="K122" s="28" t="s">
        <v>5039</v>
      </c>
      <c r="L122" s="28" t="s">
        <v>5068</v>
      </c>
      <c r="M122" s="29" t="s">
        <v>1723</v>
      </c>
      <c r="N122" s="28">
        <v>2307</v>
      </c>
      <c r="O122" s="29" t="s">
        <v>5383</v>
      </c>
      <c r="P122" s="30" t="s">
        <v>5801</v>
      </c>
      <c r="Q122" s="28" t="s">
        <v>5794</v>
      </c>
      <c r="R122" s="28" t="s">
        <v>52</v>
      </c>
      <c r="S122" s="28" t="s">
        <v>4110</v>
      </c>
      <c r="T122" s="28">
        <v>1</v>
      </c>
      <c r="U122" s="28" t="s">
        <v>1719</v>
      </c>
      <c r="V122" s="28" t="s">
        <v>5802</v>
      </c>
      <c r="W122" s="28" t="s">
        <v>5796</v>
      </c>
      <c r="X122" s="135">
        <v>45680.791666666664</v>
      </c>
      <c r="Y122" s="28" t="s">
        <v>5803</v>
      </c>
      <c r="Z122" s="28">
        <v>1</v>
      </c>
      <c r="AA122" s="28"/>
      <c r="AB122" s="28" t="s">
        <v>1720</v>
      </c>
      <c r="AC122" s="30" t="s">
        <v>5798</v>
      </c>
      <c r="AD122" s="28"/>
      <c r="AE122" s="28"/>
      <c r="AF122" s="28"/>
      <c r="AG122" s="28"/>
      <c r="AH122" s="28"/>
      <c r="AI122" s="28"/>
      <c r="AJ122" s="28"/>
      <c r="AK122" s="28" t="s">
        <v>1721</v>
      </c>
      <c r="AL122" s="325">
        <f t="shared" si="10"/>
        <v>45680</v>
      </c>
    </row>
    <row r="123" spans="1:38" ht="21.6" customHeight="1">
      <c r="A123" s="31">
        <v>122</v>
      </c>
      <c r="B123" s="31" t="s">
        <v>5033</v>
      </c>
      <c r="C123" s="31">
        <v>2025013613</v>
      </c>
      <c r="D123" s="31" t="s">
        <v>5804</v>
      </c>
      <c r="E123" s="31" t="s">
        <v>5035</v>
      </c>
      <c r="F123" s="31">
        <v>4406</v>
      </c>
      <c r="G123" s="31" t="s">
        <v>388</v>
      </c>
      <c r="H123" s="31" t="s">
        <v>1722</v>
      </c>
      <c r="I123" s="31" t="s">
        <v>5805</v>
      </c>
      <c r="J123" s="31" t="s">
        <v>5299</v>
      </c>
      <c r="K123" s="31" t="s">
        <v>5067</v>
      </c>
      <c r="L123" s="31" t="s">
        <v>5068</v>
      </c>
      <c r="M123" s="32" t="s">
        <v>1723</v>
      </c>
      <c r="N123" s="31">
        <v>2307</v>
      </c>
      <c r="O123" s="32" t="s">
        <v>5383</v>
      </c>
      <c r="P123" s="33" t="s">
        <v>5806</v>
      </c>
      <c r="Q123" s="31" t="s">
        <v>5807</v>
      </c>
      <c r="R123" s="31" t="s">
        <v>52</v>
      </c>
      <c r="S123" s="31" t="s">
        <v>1157</v>
      </c>
      <c r="T123" s="31">
        <v>1</v>
      </c>
      <c r="U123" s="31" t="s">
        <v>1719</v>
      </c>
      <c r="V123" s="31" t="s">
        <v>5808</v>
      </c>
      <c r="W123" s="31" t="s">
        <v>5809</v>
      </c>
      <c r="X123" s="211">
        <v>45681.663194444445</v>
      </c>
      <c r="Y123" s="31" t="s">
        <v>5810</v>
      </c>
      <c r="Z123" s="31">
        <v>0.6</v>
      </c>
      <c r="AA123" s="31"/>
      <c r="AB123" s="31" t="s">
        <v>1720</v>
      </c>
      <c r="AC123" s="33" t="s">
        <v>5811</v>
      </c>
      <c r="AD123" s="31"/>
      <c r="AE123" s="31"/>
      <c r="AF123" s="31"/>
      <c r="AG123" s="31"/>
      <c r="AH123" s="31"/>
      <c r="AI123" s="31"/>
      <c r="AJ123" s="31"/>
      <c r="AK123" s="31" t="s">
        <v>1721</v>
      </c>
      <c r="AL123" s="325">
        <f t="shared" si="10"/>
        <v>45681</v>
      </c>
    </row>
    <row r="124" spans="1:38" ht="21.6" customHeight="1">
      <c r="A124" s="28">
        <v>123</v>
      </c>
      <c r="B124" s="28" t="s">
        <v>5033</v>
      </c>
      <c r="C124" s="28">
        <v>2025013719</v>
      </c>
      <c r="D124" s="28" t="s">
        <v>5812</v>
      </c>
      <c r="E124" s="28" t="s">
        <v>5035</v>
      </c>
      <c r="F124" s="28">
        <v>4406</v>
      </c>
      <c r="G124" s="28" t="s">
        <v>388</v>
      </c>
      <c r="H124" s="28" t="s">
        <v>1722</v>
      </c>
      <c r="I124" s="28" t="s">
        <v>5813</v>
      </c>
      <c r="J124" s="28" t="s">
        <v>5299</v>
      </c>
      <c r="K124" s="28" t="s">
        <v>5039</v>
      </c>
      <c r="L124" s="28" t="s">
        <v>5068</v>
      </c>
      <c r="M124" s="29" t="s">
        <v>1723</v>
      </c>
      <c r="N124" s="28">
        <v>2307</v>
      </c>
      <c r="O124" s="29" t="s">
        <v>5383</v>
      </c>
      <c r="P124" s="30" t="s">
        <v>5814</v>
      </c>
      <c r="Q124" s="28" t="s">
        <v>5807</v>
      </c>
      <c r="R124" s="28" t="s">
        <v>52</v>
      </c>
      <c r="S124" s="28" t="s">
        <v>1157</v>
      </c>
      <c r="T124" s="28">
        <v>1</v>
      </c>
      <c r="U124" s="28" t="s">
        <v>1719</v>
      </c>
      <c r="V124" s="28" t="s">
        <v>5815</v>
      </c>
      <c r="W124" s="28" t="s">
        <v>5809</v>
      </c>
      <c r="X124" s="135">
        <v>45681.663194444445</v>
      </c>
      <c r="Y124" s="28" t="s">
        <v>5816</v>
      </c>
      <c r="Z124" s="28">
        <v>0.6</v>
      </c>
      <c r="AA124" s="28"/>
      <c r="AB124" s="28" t="s">
        <v>1720</v>
      </c>
      <c r="AC124" s="30" t="s">
        <v>5811</v>
      </c>
      <c r="AD124" s="28"/>
      <c r="AE124" s="28"/>
      <c r="AF124" s="28"/>
      <c r="AG124" s="28"/>
      <c r="AH124" s="28"/>
      <c r="AI124" s="28"/>
      <c r="AJ124" s="28"/>
      <c r="AK124" s="28" t="s">
        <v>1721</v>
      </c>
      <c r="AL124" s="325">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5807</v>
      </c>
      <c r="R125" s="31" t="s">
        <v>52</v>
      </c>
      <c r="S125" s="31" t="s">
        <v>1157</v>
      </c>
      <c r="T125" s="31">
        <v>1</v>
      </c>
      <c r="U125" s="31" t="s">
        <v>1719</v>
      </c>
      <c r="V125" s="31" t="s">
        <v>5817</v>
      </c>
      <c r="W125" s="31" t="s">
        <v>5809</v>
      </c>
      <c r="X125" s="211">
        <v>45681.663194444445</v>
      </c>
      <c r="Y125" s="31"/>
      <c r="Z125" s="31">
        <v>0.6</v>
      </c>
      <c r="AA125" s="31"/>
      <c r="AB125" s="31" t="s">
        <v>1720</v>
      </c>
      <c r="AC125" s="32" t="s">
        <v>4119</v>
      </c>
      <c r="AD125" s="31" t="s">
        <v>1721</v>
      </c>
      <c r="AE125" s="31"/>
      <c r="AF125" s="31"/>
      <c r="AG125" s="31"/>
      <c r="AH125" s="31"/>
      <c r="AI125" s="31"/>
      <c r="AJ125" s="31"/>
      <c r="AK125" s="31" t="s">
        <v>1721</v>
      </c>
      <c r="AL125" s="325" t="e">
        <f t="shared" si="10"/>
        <v>#VALUE!</v>
      </c>
    </row>
    <row r="126" spans="1:38" ht="21.6" customHeight="1">
      <c r="A126" s="28">
        <v>1</v>
      </c>
      <c r="B126" s="28" t="s">
        <v>5033</v>
      </c>
      <c r="C126" s="28">
        <v>2025013738</v>
      </c>
      <c r="D126" s="28" t="s">
        <v>5818</v>
      </c>
      <c r="E126" s="28" t="s">
        <v>5035</v>
      </c>
      <c r="F126" s="28">
        <v>4101</v>
      </c>
      <c r="G126" s="28" t="s">
        <v>308</v>
      </c>
      <c r="H126" s="28" t="s">
        <v>1747</v>
      </c>
      <c r="I126" s="28" t="s">
        <v>5819</v>
      </c>
      <c r="J126" s="28" t="s">
        <v>5226</v>
      </c>
      <c r="K126" s="28" t="s">
        <v>5415</v>
      </c>
      <c r="L126" s="28" t="s">
        <v>5040</v>
      </c>
      <c r="M126" s="29" t="s">
        <v>4057</v>
      </c>
      <c r="N126" s="28">
        <v>2501</v>
      </c>
      <c r="O126" s="29" t="s">
        <v>5041</v>
      </c>
      <c r="P126" s="30" t="s">
        <v>5820</v>
      </c>
      <c r="Q126" s="28" t="s">
        <v>5821</v>
      </c>
      <c r="R126" s="28" t="s">
        <v>52</v>
      </c>
      <c r="S126" s="28" t="s">
        <v>4110</v>
      </c>
      <c r="T126" s="28">
        <v>1</v>
      </c>
      <c r="U126" s="28" t="s">
        <v>1719</v>
      </c>
      <c r="V126" s="28" t="s">
        <v>5822</v>
      </c>
      <c r="W126" s="28" t="s">
        <v>5823</v>
      </c>
      <c r="X126" s="135">
        <v>45691.45416666667</v>
      </c>
      <c r="Y126" s="28" t="s">
        <v>5824</v>
      </c>
      <c r="Z126" s="28">
        <v>0.5</v>
      </c>
      <c r="AA126" s="28"/>
      <c r="AB126" s="28" t="s">
        <v>1720</v>
      </c>
      <c r="AC126" s="30" t="s">
        <v>5825</v>
      </c>
      <c r="AD126" s="28"/>
      <c r="AE126" s="28"/>
      <c r="AF126" s="28"/>
      <c r="AG126" s="28"/>
      <c r="AH126" s="28"/>
      <c r="AI126" s="28"/>
      <c r="AJ126" s="28"/>
      <c r="AK126" s="28" t="s">
        <v>1721</v>
      </c>
      <c r="AL126" s="325">
        <f t="shared" si="10"/>
        <v>45683</v>
      </c>
    </row>
    <row r="127" spans="1:38" ht="21.6" customHeight="1">
      <c r="A127" s="31">
        <v>2</v>
      </c>
      <c r="B127" s="31" t="s">
        <v>5033</v>
      </c>
      <c r="C127" s="31">
        <v>2025013757</v>
      </c>
      <c r="D127" s="31" t="s">
        <v>5826</v>
      </c>
      <c r="E127" s="31" t="s">
        <v>5035</v>
      </c>
      <c r="F127" s="31">
        <v>3147</v>
      </c>
      <c r="G127" s="31" t="s">
        <v>162</v>
      </c>
      <c r="H127" s="31" t="s">
        <v>1722</v>
      </c>
      <c r="I127" s="31" t="s">
        <v>5827</v>
      </c>
      <c r="J127" s="31" t="s">
        <v>5066</v>
      </c>
      <c r="K127" s="31" t="s">
        <v>5039</v>
      </c>
      <c r="L127" s="31" t="s">
        <v>5368</v>
      </c>
      <c r="M127" s="32" t="s">
        <v>5369</v>
      </c>
      <c r="N127" s="31">
        <v>2705</v>
      </c>
      <c r="O127" s="32" t="s">
        <v>5828</v>
      </c>
      <c r="P127" s="33" t="s">
        <v>5829</v>
      </c>
      <c r="Q127" s="31" t="s">
        <v>5055</v>
      </c>
      <c r="R127" s="31" t="s">
        <v>52</v>
      </c>
      <c r="S127" s="31" t="s">
        <v>1157</v>
      </c>
      <c r="T127" s="31">
        <v>1</v>
      </c>
      <c r="U127" s="31" t="s">
        <v>1719</v>
      </c>
      <c r="V127" s="31" t="s">
        <v>5830</v>
      </c>
      <c r="W127" s="31" t="s">
        <v>5831</v>
      </c>
      <c r="X127" s="211">
        <v>45692.482638888891</v>
      </c>
      <c r="Y127" s="31" t="s">
        <v>5824</v>
      </c>
      <c r="Z127" s="31">
        <v>0.8</v>
      </c>
      <c r="AA127" s="31"/>
      <c r="AB127" s="31" t="s">
        <v>1720</v>
      </c>
      <c r="AC127" s="33" t="s">
        <v>5832</v>
      </c>
      <c r="AD127" s="31"/>
      <c r="AE127" s="31"/>
      <c r="AF127" s="31"/>
      <c r="AG127" s="31"/>
      <c r="AH127" s="31"/>
      <c r="AI127" s="31"/>
      <c r="AJ127" s="31"/>
      <c r="AK127" s="31" t="s">
        <v>1721</v>
      </c>
      <c r="AL127" s="325">
        <f t="shared" si="10"/>
        <v>45686</v>
      </c>
    </row>
    <row r="128" spans="1:38" ht="21.6" customHeight="1">
      <c r="A128" s="28">
        <v>3</v>
      </c>
      <c r="B128" s="28" t="s">
        <v>5033</v>
      </c>
      <c r="C128" s="28">
        <v>2025020001</v>
      </c>
      <c r="D128" s="28" t="s">
        <v>5833</v>
      </c>
      <c r="E128" s="28" t="s">
        <v>5503</v>
      </c>
      <c r="F128" s="28">
        <v>5080</v>
      </c>
      <c r="G128" s="28" t="s">
        <v>582</v>
      </c>
      <c r="H128" s="28" t="s">
        <v>3323</v>
      </c>
      <c r="I128" s="28" t="s">
        <v>5834</v>
      </c>
      <c r="J128" s="28" t="s">
        <v>5575</v>
      </c>
      <c r="K128" s="28" t="s">
        <v>5451</v>
      </c>
      <c r="L128" s="28" t="s">
        <v>5505</v>
      </c>
      <c r="M128" s="29" t="s">
        <v>5506</v>
      </c>
      <c r="N128" s="28">
        <v>2405</v>
      </c>
      <c r="O128" s="29" t="s">
        <v>5606</v>
      </c>
      <c r="P128" s="30" t="s">
        <v>5835</v>
      </c>
      <c r="Q128" s="28" t="s">
        <v>5836</v>
      </c>
      <c r="R128" s="28" t="s">
        <v>52</v>
      </c>
      <c r="S128" s="28" t="s">
        <v>16</v>
      </c>
      <c r="T128" s="28">
        <v>1</v>
      </c>
      <c r="U128" s="28" t="s">
        <v>1719</v>
      </c>
      <c r="V128" s="28" t="s">
        <v>5837</v>
      </c>
      <c r="W128" s="28" t="s">
        <v>5838</v>
      </c>
      <c r="X128" s="135">
        <v>45689.541666666664</v>
      </c>
      <c r="Y128" s="28" t="s">
        <v>5839</v>
      </c>
      <c r="Z128" s="28">
        <v>1.2</v>
      </c>
      <c r="AA128" s="28"/>
      <c r="AB128" s="28" t="s">
        <v>1720</v>
      </c>
      <c r="AC128" s="30" t="s">
        <v>5840</v>
      </c>
      <c r="AD128" s="28"/>
      <c r="AE128" s="28"/>
      <c r="AF128" s="28"/>
      <c r="AG128" s="28"/>
      <c r="AH128" s="28"/>
      <c r="AI128" s="28"/>
      <c r="AJ128" s="28"/>
      <c r="AK128" s="28" t="s">
        <v>1721</v>
      </c>
      <c r="AL128" s="325">
        <f t="shared" si="10"/>
        <v>45689</v>
      </c>
    </row>
    <row r="129" spans="1:38" ht="21.6" customHeight="1">
      <c r="A129" s="31">
        <v>4</v>
      </c>
      <c r="B129" s="31" t="s">
        <v>5033</v>
      </c>
      <c r="C129" s="31">
        <v>2025020002</v>
      </c>
      <c r="D129" s="31" t="s">
        <v>5841</v>
      </c>
      <c r="E129" s="31" t="s">
        <v>5035</v>
      </c>
      <c r="F129" s="31" t="s">
        <v>18</v>
      </c>
      <c r="G129" s="31" t="s">
        <v>1492</v>
      </c>
      <c r="H129" s="31" t="s">
        <v>1747</v>
      </c>
      <c r="I129" s="31" t="s">
        <v>5842</v>
      </c>
      <c r="J129" s="31" t="s">
        <v>5575</v>
      </c>
      <c r="K129" s="31" t="s">
        <v>5451</v>
      </c>
      <c r="L129" s="31" t="s">
        <v>5227</v>
      </c>
      <c r="M129" s="32" t="s">
        <v>5228</v>
      </c>
      <c r="N129" s="31" t="s">
        <v>5229</v>
      </c>
      <c r="O129" s="32" t="s">
        <v>5230</v>
      </c>
      <c r="P129" s="33" t="s">
        <v>5843</v>
      </c>
      <c r="Q129" s="31" t="s">
        <v>5254</v>
      </c>
      <c r="R129" s="31" t="s">
        <v>52</v>
      </c>
      <c r="S129" s="31" t="s">
        <v>4110</v>
      </c>
      <c r="T129" s="31">
        <v>1</v>
      </c>
      <c r="U129" s="31" t="s">
        <v>1719</v>
      </c>
      <c r="V129" s="31" t="s">
        <v>5844</v>
      </c>
      <c r="W129" s="31" t="s">
        <v>5845</v>
      </c>
      <c r="X129" s="211">
        <v>45691.5</v>
      </c>
      <c r="Y129" s="31" t="s">
        <v>5824</v>
      </c>
      <c r="Z129" s="31">
        <v>0.5</v>
      </c>
      <c r="AA129" s="31"/>
      <c r="AB129" s="31" t="s">
        <v>1720</v>
      </c>
      <c r="AC129" s="33" t="s">
        <v>5847</v>
      </c>
      <c r="AD129" s="31"/>
      <c r="AE129" s="31"/>
      <c r="AF129" s="31"/>
      <c r="AG129" s="31"/>
      <c r="AH129" s="31"/>
      <c r="AI129" s="31"/>
      <c r="AJ129" s="31"/>
      <c r="AK129" s="31" t="s">
        <v>1721</v>
      </c>
      <c r="AL129" s="325">
        <f t="shared" si="10"/>
        <v>45689</v>
      </c>
    </row>
    <row r="130" spans="1:38" ht="21.6" customHeight="1">
      <c r="A130" s="28">
        <v>5</v>
      </c>
      <c r="B130" s="28" t="s">
        <v>5033</v>
      </c>
      <c r="C130" s="28">
        <v>2025020004</v>
      </c>
      <c r="D130" s="28" t="s">
        <v>5848</v>
      </c>
      <c r="E130" s="28" t="s">
        <v>5035</v>
      </c>
      <c r="F130" s="28">
        <v>3227</v>
      </c>
      <c r="G130" s="28" t="s">
        <v>169</v>
      </c>
      <c r="H130" s="28" t="s">
        <v>3317</v>
      </c>
      <c r="I130" s="28" t="s">
        <v>5849</v>
      </c>
      <c r="J130" s="28" t="s">
        <v>5575</v>
      </c>
      <c r="K130" s="28" t="s">
        <v>5067</v>
      </c>
      <c r="L130" s="28" t="s">
        <v>5227</v>
      </c>
      <c r="M130" s="29" t="s">
        <v>5228</v>
      </c>
      <c r="N130" s="28" t="s">
        <v>5229</v>
      </c>
      <c r="O130" s="29" t="s">
        <v>5230</v>
      </c>
      <c r="P130" s="30" t="s">
        <v>5850</v>
      </c>
      <c r="Q130" s="28" t="s">
        <v>5247</v>
      </c>
      <c r="R130" s="28" t="s">
        <v>52</v>
      </c>
      <c r="S130" s="28" t="s">
        <v>16</v>
      </c>
      <c r="T130" s="28">
        <v>1</v>
      </c>
      <c r="U130" s="28" t="s">
        <v>1719</v>
      </c>
      <c r="V130" s="28" t="s">
        <v>5851</v>
      </c>
      <c r="W130" s="28" t="s">
        <v>5852</v>
      </c>
      <c r="X130" s="135">
        <v>45691.457638888889</v>
      </c>
      <c r="Y130" s="28" t="s">
        <v>5824</v>
      </c>
      <c r="Z130" s="28">
        <v>1</v>
      </c>
      <c r="AA130" s="28"/>
      <c r="AB130" s="28" t="s">
        <v>1720</v>
      </c>
      <c r="AC130" s="30" t="s">
        <v>5853</v>
      </c>
      <c r="AD130" s="28"/>
      <c r="AE130" s="28"/>
      <c r="AF130" s="28"/>
      <c r="AG130" s="28"/>
      <c r="AH130" s="28"/>
      <c r="AI130" s="28"/>
      <c r="AJ130" s="28"/>
      <c r="AK130" s="28" t="s">
        <v>1721</v>
      </c>
      <c r="AL130" s="325">
        <f t="shared" ref="AL130:AL193" si="11">DATEVALUE(TEXT(I130, "yyyy/mm/dd"))</f>
        <v>45689</v>
      </c>
    </row>
    <row r="131" spans="1:38" ht="21.6" customHeight="1">
      <c r="A131" s="31">
        <v>6</v>
      </c>
      <c r="B131" s="31" t="s">
        <v>5033</v>
      </c>
      <c r="C131" s="31">
        <v>2025020013</v>
      </c>
      <c r="D131" s="31" t="s">
        <v>5854</v>
      </c>
      <c r="E131" s="31" t="s">
        <v>5035</v>
      </c>
      <c r="F131" s="31">
        <v>4529</v>
      </c>
      <c r="G131" s="31" t="s">
        <v>428</v>
      </c>
      <c r="H131" s="31" t="s">
        <v>3321</v>
      </c>
      <c r="I131" s="31" t="s">
        <v>5855</v>
      </c>
      <c r="J131" s="31" t="s">
        <v>5226</v>
      </c>
      <c r="K131" s="31" t="s">
        <v>5039</v>
      </c>
      <c r="L131" s="31" t="s">
        <v>5856</v>
      </c>
      <c r="M131" s="32" t="s">
        <v>5857</v>
      </c>
      <c r="N131" s="31" t="s">
        <v>5858</v>
      </c>
      <c r="O131" s="32" t="s">
        <v>5859</v>
      </c>
      <c r="P131" s="33" t="s">
        <v>5860</v>
      </c>
      <c r="Q131" s="31" t="s">
        <v>5861</v>
      </c>
      <c r="R131" s="31" t="s">
        <v>52</v>
      </c>
      <c r="S131" s="31" t="s">
        <v>4110</v>
      </c>
      <c r="T131" s="31">
        <v>1</v>
      </c>
      <c r="U131" s="31" t="s">
        <v>1719</v>
      </c>
      <c r="V131" s="31" t="s">
        <v>5862</v>
      </c>
      <c r="W131" s="31" t="s">
        <v>5863</v>
      </c>
      <c r="X131" s="211">
        <v>45692.493750000001</v>
      </c>
      <c r="Y131" s="31" t="s">
        <v>5824</v>
      </c>
      <c r="Z131" s="31">
        <v>0.5</v>
      </c>
      <c r="AA131" s="31"/>
      <c r="AB131" s="31" t="s">
        <v>1720</v>
      </c>
      <c r="AC131" s="33" t="s">
        <v>5864</v>
      </c>
      <c r="AD131" s="31"/>
      <c r="AE131" s="31"/>
      <c r="AF131" s="31"/>
      <c r="AG131" s="31"/>
      <c r="AH131" s="31"/>
      <c r="AI131" s="31"/>
      <c r="AJ131" s="31"/>
      <c r="AK131" s="31" t="s">
        <v>1721</v>
      </c>
      <c r="AL131" s="325">
        <f t="shared" si="11"/>
        <v>45690</v>
      </c>
    </row>
    <row r="132" spans="1:38" ht="21.6" customHeight="1">
      <c r="A132" s="28">
        <v>7</v>
      </c>
      <c r="B132" s="28" t="s">
        <v>5033</v>
      </c>
      <c r="C132" s="28">
        <v>2025020018</v>
      </c>
      <c r="D132" s="28" t="s">
        <v>5865</v>
      </c>
      <c r="E132" s="28" t="s">
        <v>5035</v>
      </c>
      <c r="F132" s="28">
        <v>4144</v>
      </c>
      <c r="G132" s="28" t="s">
        <v>312</v>
      </c>
      <c r="H132" s="28" t="s">
        <v>1748</v>
      </c>
      <c r="I132" s="28" t="s">
        <v>5866</v>
      </c>
      <c r="J132" s="28" t="s">
        <v>5226</v>
      </c>
      <c r="K132" s="28" t="s">
        <v>5039</v>
      </c>
      <c r="L132" s="28" t="s">
        <v>5068</v>
      </c>
      <c r="M132" s="29" t="s">
        <v>1723</v>
      </c>
      <c r="N132" s="28">
        <v>2307</v>
      </c>
      <c r="O132" s="29" t="s">
        <v>5383</v>
      </c>
      <c r="P132" s="30" t="s">
        <v>5867</v>
      </c>
      <c r="Q132" s="28" t="s">
        <v>5868</v>
      </c>
      <c r="R132" s="28" t="s">
        <v>52</v>
      </c>
      <c r="S132" s="28" t="s">
        <v>16</v>
      </c>
      <c r="T132" s="28">
        <v>1</v>
      </c>
      <c r="U132" s="28" t="s">
        <v>1719</v>
      </c>
      <c r="V132" s="28" t="s">
        <v>5869</v>
      </c>
      <c r="W132" s="28" t="s">
        <v>5870</v>
      </c>
      <c r="X132" s="135">
        <v>45691.486111111109</v>
      </c>
      <c r="Y132" s="28" t="s">
        <v>5824</v>
      </c>
      <c r="Z132" s="28">
        <v>0.5</v>
      </c>
      <c r="AA132" s="28"/>
      <c r="AB132" s="28" t="s">
        <v>1720</v>
      </c>
      <c r="AC132" s="30" t="s">
        <v>5871</v>
      </c>
      <c r="AD132" s="28"/>
      <c r="AE132" s="28"/>
      <c r="AF132" s="28"/>
      <c r="AG132" s="28"/>
      <c r="AH132" s="28"/>
      <c r="AI132" s="28"/>
      <c r="AJ132" s="28"/>
      <c r="AK132" s="28" t="s">
        <v>1721</v>
      </c>
      <c r="AL132" s="325">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5821</v>
      </c>
      <c r="R133" s="31" t="s">
        <v>52</v>
      </c>
      <c r="S133" s="31" t="s">
        <v>4110</v>
      </c>
      <c r="T133" s="31">
        <v>1</v>
      </c>
      <c r="U133" s="31" t="s">
        <v>1719</v>
      </c>
      <c r="V133" s="31" t="s">
        <v>5872</v>
      </c>
      <c r="W133" s="31" t="s">
        <v>5873</v>
      </c>
      <c r="X133" s="211">
        <v>45691.489583333336</v>
      </c>
      <c r="Y133" s="31"/>
      <c r="Z133" s="31">
        <v>1</v>
      </c>
      <c r="AA133" s="31"/>
      <c r="AB133" s="31" t="s">
        <v>1720</v>
      </c>
      <c r="AC133" s="33" t="s">
        <v>4119</v>
      </c>
      <c r="AD133" s="31" t="s">
        <v>1721</v>
      </c>
      <c r="AE133" s="31"/>
      <c r="AF133" s="31"/>
      <c r="AG133" s="31"/>
      <c r="AH133" s="31"/>
      <c r="AI133" s="31"/>
      <c r="AJ133" s="31"/>
      <c r="AK133" s="31" t="s">
        <v>1721</v>
      </c>
      <c r="AL133" s="325"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5254</v>
      </c>
      <c r="R134" s="28" t="s">
        <v>52</v>
      </c>
      <c r="S134" s="28" t="s">
        <v>4110</v>
      </c>
      <c r="T134" s="28">
        <v>1</v>
      </c>
      <c r="U134" s="28" t="s">
        <v>1719</v>
      </c>
      <c r="V134" s="28" t="s">
        <v>5874</v>
      </c>
      <c r="W134" s="28" t="s">
        <v>5846</v>
      </c>
      <c r="X134" s="135">
        <v>45691.513888888891</v>
      </c>
      <c r="Y134" s="28"/>
      <c r="Z134" s="28">
        <v>0.3</v>
      </c>
      <c r="AA134" s="28"/>
      <c r="AB134" s="28" t="s">
        <v>1720</v>
      </c>
      <c r="AC134" s="30" t="s">
        <v>4119</v>
      </c>
      <c r="AD134" s="28" t="s">
        <v>1721</v>
      </c>
      <c r="AE134" s="28"/>
      <c r="AF134" s="28"/>
      <c r="AG134" s="28"/>
      <c r="AH134" s="28"/>
      <c r="AI134" s="28"/>
      <c r="AJ134" s="28"/>
      <c r="AK134" s="28" t="s">
        <v>1721</v>
      </c>
      <c r="AL134" s="325"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5868</v>
      </c>
      <c r="R135" s="31" t="s">
        <v>52</v>
      </c>
      <c r="S135" s="31" t="s">
        <v>16</v>
      </c>
      <c r="T135" s="31">
        <v>1</v>
      </c>
      <c r="U135" s="31" t="s">
        <v>1719</v>
      </c>
      <c r="V135" s="31" t="s">
        <v>5875</v>
      </c>
      <c r="W135" s="31" t="s">
        <v>5876</v>
      </c>
      <c r="X135" s="211">
        <v>45691.5625</v>
      </c>
      <c r="Y135" s="31"/>
      <c r="Z135" s="31">
        <v>0.5</v>
      </c>
      <c r="AA135" s="31"/>
      <c r="AB135" s="31" t="s">
        <v>1720</v>
      </c>
      <c r="AC135" s="33" t="s">
        <v>4119</v>
      </c>
      <c r="AD135" s="31" t="s">
        <v>1721</v>
      </c>
      <c r="AE135" s="31"/>
      <c r="AF135" s="31"/>
      <c r="AG135" s="31"/>
      <c r="AH135" s="31"/>
      <c r="AI135" s="31"/>
      <c r="AJ135" s="31"/>
      <c r="AK135" s="31" t="s">
        <v>1721</v>
      </c>
      <c r="AL135" s="325"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5877</v>
      </c>
      <c r="R136" s="28" t="s">
        <v>52</v>
      </c>
      <c r="S136" s="28" t="s">
        <v>4110</v>
      </c>
      <c r="T136" s="28">
        <v>1</v>
      </c>
      <c r="U136" s="28" t="s">
        <v>1719</v>
      </c>
      <c r="V136" s="28" t="s">
        <v>5878</v>
      </c>
      <c r="W136" s="28" t="s">
        <v>5879</v>
      </c>
      <c r="X136" s="135">
        <v>45691.614583333336</v>
      </c>
      <c r="Y136" s="28"/>
      <c r="Z136" s="28">
        <v>0.3</v>
      </c>
      <c r="AA136" s="28"/>
      <c r="AB136" s="28" t="s">
        <v>1720</v>
      </c>
      <c r="AC136" s="30" t="s">
        <v>4119</v>
      </c>
      <c r="AD136" s="28" t="s">
        <v>1721</v>
      </c>
      <c r="AE136" s="28"/>
      <c r="AF136" s="28"/>
      <c r="AG136" s="28"/>
      <c r="AH136" s="28"/>
      <c r="AI136" s="28"/>
      <c r="AJ136" s="28"/>
      <c r="AK136" s="28" t="s">
        <v>1721</v>
      </c>
      <c r="AL136" s="325"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5880</v>
      </c>
      <c r="R137" s="31" t="s">
        <v>52</v>
      </c>
      <c r="S137" s="31" t="s">
        <v>4110</v>
      </c>
      <c r="T137" s="31">
        <v>1</v>
      </c>
      <c r="U137" s="31" t="s">
        <v>1719</v>
      </c>
      <c r="V137" s="31" t="s">
        <v>5881</v>
      </c>
      <c r="W137" s="31" t="s">
        <v>5882</v>
      </c>
      <c r="X137" s="211">
        <v>45691.65</v>
      </c>
      <c r="Y137" s="31"/>
      <c r="Z137" s="31">
        <v>0.4</v>
      </c>
      <c r="AA137" s="31"/>
      <c r="AB137" s="31" t="s">
        <v>1720</v>
      </c>
      <c r="AC137" s="33" t="s">
        <v>4119</v>
      </c>
      <c r="AD137" s="31" t="s">
        <v>1721</v>
      </c>
      <c r="AE137" s="31"/>
      <c r="AF137" s="31"/>
      <c r="AG137" s="31"/>
      <c r="AH137" s="31"/>
      <c r="AI137" s="31"/>
      <c r="AJ137" s="31"/>
      <c r="AK137" s="31" t="s">
        <v>1721</v>
      </c>
      <c r="AL137" s="325"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5883</v>
      </c>
      <c r="W138" s="28" t="s">
        <v>5884</v>
      </c>
      <c r="X138" s="135">
        <v>45691.67083333333</v>
      </c>
      <c r="Y138" s="28"/>
      <c r="Z138" s="28">
        <v>12.4</v>
      </c>
      <c r="AA138" s="28"/>
      <c r="AB138" s="28" t="s">
        <v>1720</v>
      </c>
      <c r="AC138" s="30" t="s">
        <v>4119</v>
      </c>
      <c r="AD138" s="28" t="s">
        <v>1721</v>
      </c>
      <c r="AE138" s="28"/>
      <c r="AF138" s="28"/>
      <c r="AG138" s="28"/>
      <c r="AH138" s="28"/>
      <c r="AI138" s="28"/>
      <c r="AJ138" s="28"/>
      <c r="AK138" s="28" t="s">
        <v>1721</v>
      </c>
      <c r="AL138" s="325"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5055</v>
      </c>
      <c r="R139" s="31" t="s">
        <v>52</v>
      </c>
      <c r="S139" s="31" t="s">
        <v>1157</v>
      </c>
      <c r="T139" s="31">
        <v>1</v>
      </c>
      <c r="U139" s="31" t="s">
        <v>1719</v>
      </c>
      <c r="V139" s="31" t="s">
        <v>5885</v>
      </c>
      <c r="W139" s="31" t="s">
        <v>5831</v>
      </c>
      <c r="X139" s="211">
        <v>45692.482638888891</v>
      </c>
      <c r="Y139" s="31"/>
      <c r="Z139" s="31">
        <v>0.8</v>
      </c>
      <c r="AA139" s="31"/>
      <c r="AB139" s="31" t="s">
        <v>1720</v>
      </c>
      <c r="AC139" s="33" t="s">
        <v>4119</v>
      </c>
      <c r="AD139" s="31" t="s">
        <v>1721</v>
      </c>
      <c r="AE139" s="31"/>
      <c r="AF139" s="31"/>
      <c r="AG139" s="31"/>
      <c r="AH139" s="31"/>
      <c r="AI139" s="31"/>
      <c r="AJ139" s="31"/>
      <c r="AK139" s="31" t="s">
        <v>1721</v>
      </c>
      <c r="AL139" s="325"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5861</v>
      </c>
      <c r="R140" s="28" t="s">
        <v>52</v>
      </c>
      <c r="S140" s="28" t="s">
        <v>4110</v>
      </c>
      <c r="T140" s="28">
        <v>1</v>
      </c>
      <c r="U140" s="28" t="s">
        <v>1719</v>
      </c>
      <c r="V140" s="28" t="s">
        <v>5886</v>
      </c>
      <c r="W140" s="28" t="s">
        <v>5887</v>
      </c>
      <c r="X140" s="135">
        <v>45692.496527777781</v>
      </c>
      <c r="Y140" s="28"/>
      <c r="Z140" s="28">
        <v>0.4</v>
      </c>
      <c r="AA140" s="28"/>
      <c r="AB140" s="28" t="s">
        <v>1720</v>
      </c>
      <c r="AC140" s="30" t="s">
        <v>4119</v>
      </c>
      <c r="AD140" s="28" t="s">
        <v>1721</v>
      </c>
      <c r="AE140" s="28"/>
      <c r="AF140" s="28"/>
      <c r="AG140" s="28"/>
      <c r="AH140" s="28"/>
      <c r="AI140" s="28"/>
      <c r="AJ140" s="28"/>
      <c r="AK140" s="28" t="s">
        <v>1721</v>
      </c>
      <c r="AL140" s="325"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5888</v>
      </c>
      <c r="R141" s="31" t="s">
        <v>52</v>
      </c>
      <c r="S141" s="31" t="s">
        <v>4110</v>
      </c>
      <c r="T141" s="31">
        <v>1</v>
      </c>
      <c r="U141" s="31" t="s">
        <v>1719</v>
      </c>
      <c r="V141" s="31" t="s">
        <v>5889</v>
      </c>
      <c r="W141" s="31" t="s">
        <v>5890</v>
      </c>
      <c r="X141" s="211">
        <v>45692.55</v>
      </c>
      <c r="Y141" s="31"/>
      <c r="Z141" s="31">
        <v>0.4</v>
      </c>
      <c r="AA141" s="31"/>
      <c r="AB141" s="31" t="s">
        <v>1720</v>
      </c>
      <c r="AC141" s="33" t="s">
        <v>4119</v>
      </c>
      <c r="AD141" s="31" t="s">
        <v>1721</v>
      </c>
      <c r="AE141" s="31"/>
      <c r="AF141" s="31"/>
      <c r="AG141" s="31"/>
      <c r="AH141" s="31"/>
      <c r="AI141" s="31"/>
      <c r="AJ141" s="31"/>
      <c r="AK141" s="31" t="s">
        <v>1721</v>
      </c>
      <c r="AL141" s="325"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5891</v>
      </c>
      <c r="R142" s="28" t="s">
        <v>52</v>
      </c>
      <c r="S142" s="28" t="s">
        <v>4110</v>
      </c>
      <c r="T142" s="28">
        <v>1</v>
      </c>
      <c r="U142" s="28" t="s">
        <v>1719</v>
      </c>
      <c r="V142" s="28" t="s">
        <v>5892</v>
      </c>
      <c r="W142" s="28" t="s">
        <v>5893</v>
      </c>
      <c r="X142" s="135">
        <v>45692.577777777777</v>
      </c>
      <c r="Y142" s="28"/>
      <c r="Z142" s="28">
        <v>0.4</v>
      </c>
      <c r="AA142" s="28"/>
      <c r="AB142" s="28" t="s">
        <v>1720</v>
      </c>
      <c r="AC142" s="30" t="s">
        <v>4119</v>
      </c>
      <c r="AD142" s="28" t="s">
        <v>1721</v>
      </c>
      <c r="AE142" s="28"/>
      <c r="AF142" s="28"/>
      <c r="AG142" s="28"/>
      <c r="AH142" s="28"/>
      <c r="AI142" s="28"/>
      <c r="AJ142" s="28"/>
      <c r="AK142" s="28" t="s">
        <v>1721</v>
      </c>
      <c r="AL142" s="325" t="e">
        <f t="shared" si="11"/>
        <v>#VALUE!</v>
      </c>
    </row>
    <row r="143" spans="1:38" ht="21.6" customHeight="1">
      <c r="A143" s="31">
        <v>18</v>
      </c>
      <c r="B143" s="31" t="s">
        <v>5033</v>
      </c>
      <c r="C143" s="31">
        <v>2025020351</v>
      </c>
      <c r="D143" s="31" t="s">
        <v>5894</v>
      </c>
      <c r="E143" s="31" t="s">
        <v>5035</v>
      </c>
      <c r="F143" s="31">
        <v>4406</v>
      </c>
      <c r="G143" s="31" t="s">
        <v>388</v>
      </c>
      <c r="H143" s="31" t="s">
        <v>1722</v>
      </c>
      <c r="I143" s="31" t="s">
        <v>5895</v>
      </c>
      <c r="J143" s="31" t="s">
        <v>5252</v>
      </c>
      <c r="K143" s="31" t="s">
        <v>5039</v>
      </c>
      <c r="L143" s="31" t="s">
        <v>5068</v>
      </c>
      <c r="M143" s="32" t="s">
        <v>1723</v>
      </c>
      <c r="N143" s="31">
        <v>2307</v>
      </c>
      <c r="O143" s="32" t="s">
        <v>5383</v>
      </c>
      <c r="P143" s="33" t="s">
        <v>5896</v>
      </c>
      <c r="Q143" s="31" t="s">
        <v>5807</v>
      </c>
      <c r="R143" s="31" t="s">
        <v>52</v>
      </c>
      <c r="S143" s="31" t="s">
        <v>1157</v>
      </c>
      <c r="T143" s="31">
        <v>1</v>
      </c>
      <c r="U143" s="31" t="s">
        <v>1719</v>
      </c>
      <c r="V143" s="31" t="s">
        <v>5897</v>
      </c>
      <c r="W143" s="31" t="s">
        <v>5898</v>
      </c>
      <c r="X143" s="211">
        <v>45692.702777777777</v>
      </c>
      <c r="Y143" s="31" t="s">
        <v>5899</v>
      </c>
      <c r="Z143" s="31">
        <v>0.5</v>
      </c>
      <c r="AA143" s="31"/>
      <c r="AB143" s="31" t="s">
        <v>1720</v>
      </c>
      <c r="AC143" s="33" t="s">
        <v>5900</v>
      </c>
      <c r="AD143" s="31"/>
      <c r="AE143" s="31"/>
      <c r="AF143" s="31"/>
      <c r="AG143" s="31"/>
      <c r="AH143" s="31"/>
      <c r="AI143" s="31"/>
      <c r="AJ143" s="31"/>
      <c r="AK143" s="31" t="s">
        <v>1721</v>
      </c>
      <c r="AL143" s="325">
        <f t="shared" si="11"/>
        <v>45692</v>
      </c>
    </row>
    <row r="144" spans="1:38" ht="21.6" customHeight="1">
      <c r="A144" s="28">
        <v>19</v>
      </c>
      <c r="B144" s="28" t="s">
        <v>5033</v>
      </c>
      <c r="C144" s="28">
        <v>2025020352</v>
      </c>
      <c r="D144" s="28" t="s">
        <v>5901</v>
      </c>
      <c r="E144" s="28" t="s">
        <v>5035</v>
      </c>
      <c r="F144" s="28">
        <v>4406</v>
      </c>
      <c r="G144" s="28" t="s">
        <v>388</v>
      </c>
      <c r="H144" s="28" t="s">
        <v>1722</v>
      </c>
      <c r="I144" s="28" t="s">
        <v>5902</v>
      </c>
      <c r="J144" s="28" t="s">
        <v>5252</v>
      </c>
      <c r="K144" s="28" t="s">
        <v>5039</v>
      </c>
      <c r="L144" s="28" t="s">
        <v>5068</v>
      </c>
      <c r="M144" s="29" t="s">
        <v>1723</v>
      </c>
      <c r="N144" s="28">
        <v>2307</v>
      </c>
      <c r="O144" s="29" t="s">
        <v>5383</v>
      </c>
      <c r="P144" s="30" t="s">
        <v>5903</v>
      </c>
      <c r="Q144" s="28" t="s">
        <v>5807</v>
      </c>
      <c r="R144" s="28" t="s">
        <v>52</v>
      </c>
      <c r="S144" s="28" t="s">
        <v>1157</v>
      </c>
      <c r="T144" s="28">
        <v>1</v>
      </c>
      <c r="U144" s="28" t="s">
        <v>1719</v>
      </c>
      <c r="V144" s="28" t="s">
        <v>5904</v>
      </c>
      <c r="W144" s="28" t="s">
        <v>5898</v>
      </c>
      <c r="X144" s="135">
        <v>45692.702777777777</v>
      </c>
      <c r="Y144" s="28" t="s">
        <v>5905</v>
      </c>
      <c r="Z144" s="28">
        <v>0.5</v>
      </c>
      <c r="AA144" s="28"/>
      <c r="AB144" s="28" t="s">
        <v>1720</v>
      </c>
      <c r="AC144" s="30" t="s">
        <v>5900</v>
      </c>
      <c r="AD144" s="28"/>
      <c r="AE144" s="28"/>
      <c r="AF144" s="28"/>
      <c r="AG144" s="28"/>
      <c r="AH144" s="28"/>
      <c r="AI144" s="28"/>
      <c r="AJ144" s="28"/>
      <c r="AK144" s="28" t="s">
        <v>1721</v>
      </c>
      <c r="AL144" s="325">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5906</v>
      </c>
      <c r="R145" s="31" t="s">
        <v>52</v>
      </c>
      <c r="S145" s="31" t="s">
        <v>4110</v>
      </c>
      <c r="T145" s="31">
        <v>1</v>
      </c>
      <c r="U145" s="31" t="s">
        <v>1719</v>
      </c>
      <c r="V145" s="31" t="s">
        <v>5907</v>
      </c>
      <c r="W145" s="31" t="s">
        <v>5908</v>
      </c>
      <c r="X145" s="211">
        <v>45692.638194444444</v>
      </c>
      <c r="Y145" s="31"/>
      <c r="Z145" s="31">
        <v>0.3</v>
      </c>
      <c r="AA145" s="31"/>
      <c r="AB145" s="31" t="s">
        <v>1720</v>
      </c>
      <c r="AC145" s="33" t="s">
        <v>4119</v>
      </c>
      <c r="AD145" s="31" t="s">
        <v>1721</v>
      </c>
      <c r="AE145" s="31"/>
      <c r="AF145" s="31"/>
      <c r="AG145" s="31"/>
      <c r="AH145" s="31"/>
      <c r="AI145" s="31"/>
      <c r="AJ145" s="31"/>
      <c r="AK145" s="31" t="s">
        <v>1721</v>
      </c>
      <c r="AL145" s="325"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5909</v>
      </c>
      <c r="R146" s="28" t="s">
        <v>52</v>
      </c>
      <c r="S146" s="28" t="s">
        <v>16</v>
      </c>
      <c r="T146" s="28">
        <v>1</v>
      </c>
      <c r="U146" s="28" t="s">
        <v>1719</v>
      </c>
      <c r="V146" s="28" t="s">
        <v>5910</v>
      </c>
      <c r="W146" s="28" t="s">
        <v>5911</v>
      </c>
      <c r="X146" s="135">
        <v>45692.645833333336</v>
      </c>
      <c r="Y146" s="28"/>
      <c r="Z146" s="28">
        <v>0.3</v>
      </c>
      <c r="AA146" s="28"/>
      <c r="AB146" s="28" t="s">
        <v>1720</v>
      </c>
      <c r="AC146" s="30" t="s">
        <v>4119</v>
      </c>
      <c r="AD146" s="28" t="s">
        <v>1721</v>
      </c>
      <c r="AE146" s="28"/>
      <c r="AF146" s="28"/>
      <c r="AG146" s="28"/>
      <c r="AH146" s="28"/>
      <c r="AI146" s="28"/>
      <c r="AJ146" s="28"/>
      <c r="AK146" s="28" t="s">
        <v>1721</v>
      </c>
      <c r="AL146" s="325"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5912</v>
      </c>
      <c r="W147" s="31" t="s">
        <v>5913</v>
      </c>
      <c r="X147" s="211">
        <v>45692.666666666664</v>
      </c>
      <c r="Y147" s="31"/>
      <c r="Z147" s="31">
        <v>0.3</v>
      </c>
      <c r="AA147" s="31"/>
      <c r="AB147" s="31" t="s">
        <v>1720</v>
      </c>
      <c r="AC147" s="33" t="s">
        <v>4119</v>
      </c>
      <c r="AD147" s="31" t="s">
        <v>1721</v>
      </c>
      <c r="AE147" s="31"/>
      <c r="AF147" s="31"/>
      <c r="AG147" s="31"/>
      <c r="AH147" s="31"/>
      <c r="AI147" s="31"/>
      <c r="AJ147" s="31"/>
      <c r="AK147" s="31" t="s">
        <v>1721</v>
      </c>
      <c r="AL147" s="325"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5914</v>
      </c>
      <c r="R148" s="28" t="s">
        <v>52</v>
      </c>
      <c r="S148" s="28" t="s">
        <v>4110</v>
      </c>
      <c r="T148" s="28">
        <v>1</v>
      </c>
      <c r="U148" s="28" t="s">
        <v>1719</v>
      </c>
      <c r="V148" s="28" t="s">
        <v>5915</v>
      </c>
      <c r="W148" s="28" t="s">
        <v>5913</v>
      </c>
      <c r="X148" s="135">
        <v>45692.668749999997</v>
      </c>
      <c r="Y148" s="28"/>
      <c r="Z148" s="28">
        <v>0.4</v>
      </c>
      <c r="AA148" s="28"/>
      <c r="AB148" s="28" t="s">
        <v>1720</v>
      </c>
      <c r="AC148" s="30" t="s">
        <v>4119</v>
      </c>
      <c r="AD148" s="28" t="s">
        <v>1721</v>
      </c>
      <c r="AE148" s="28"/>
      <c r="AF148" s="28"/>
      <c r="AG148" s="28"/>
      <c r="AH148" s="28"/>
      <c r="AI148" s="28"/>
      <c r="AJ148" s="28"/>
      <c r="AK148" s="28" t="s">
        <v>1721</v>
      </c>
      <c r="AL148" s="325" t="e">
        <f t="shared" si="11"/>
        <v>#VALUE!</v>
      </c>
    </row>
    <row r="149" spans="1:38" ht="21.6" customHeight="1">
      <c r="A149" s="31">
        <v>24</v>
      </c>
      <c r="B149" s="31" t="s">
        <v>5033</v>
      </c>
      <c r="C149" s="31">
        <v>2025020474</v>
      </c>
      <c r="D149" s="31" t="s">
        <v>5916</v>
      </c>
      <c r="E149" s="31" t="s">
        <v>5035</v>
      </c>
      <c r="F149" s="31">
        <v>4511</v>
      </c>
      <c r="G149" s="31" t="s">
        <v>416</v>
      </c>
      <c r="H149" s="31" t="s">
        <v>3321</v>
      </c>
      <c r="I149" s="31" t="s">
        <v>5917</v>
      </c>
      <c r="J149" s="31" t="s">
        <v>5252</v>
      </c>
      <c r="K149" s="31" t="s">
        <v>5415</v>
      </c>
      <c r="L149" s="31" t="s">
        <v>5749</v>
      </c>
      <c r="M149" s="32" t="s">
        <v>5750</v>
      </c>
      <c r="N149" s="31">
        <v>5901</v>
      </c>
      <c r="O149" s="32" t="s">
        <v>5321</v>
      </c>
      <c r="P149" s="33" t="s">
        <v>5918</v>
      </c>
      <c r="Q149" s="31" t="s">
        <v>5891</v>
      </c>
      <c r="R149" s="31" t="s">
        <v>52</v>
      </c>
      <c r="S149" s="31" t="s">
        <v>4110</v>
      </c>
      <c r="T149" s="31">
        <v>1</v>
      </c>
      <c r="U149" s="31" t="s">
        <v>1719</v>
      </c>
      <c r="V149" s="31" t="s">
        <v>5919</v>
      </c>
      <c r="W149" s="31" t="s">
        <v>5920</v>
      </c>
      <c r="X149" s="211">
        <v>45693.484027777777</v>
      </c>
      <c r="Y149" s="31" t="s">
        <v>5921</v>
      </c>
      <c r="Z149" s="31">
        <v>0.5</v>
      </c>
      <c r="AA149" s="31"/>
      <c r="AB149" s="31" t="s">
        <v>1720</v>
      </c>
      <c r="AC149" s="33" t="s">
        <v>5922</v>
      </c>
      <c r="AD149" s="31"/>
      <c r="AE149" s="31"/>
      <c r="AF149" s="31"/>
      <c r="AG149" s="31"/>
      <c r="AH149" s="31"/>
      <c r="AI149" s="31"/>
      <c r="AJ149" s="31"/>
      <c r="AK149" s="31" t="s">
        <v>1721</v>
      </c>
      <c r="AL149" s="325">
        <f t="shared" si="11"/>
        <v>45692</v>
      </c>
    </row>
    <row r="150" spans="1:38" ht="21.6" customHeight="1">
      <c r="A150" s="28">
        <v>25</v>
      </c>
      <c r="B150" s="28" t="s">
        <v>5033</v>
      </c>
      <c r="C150" s="28">
        <v>2025020487</v>
      </c>
      <c r="D150" s="28" t="s">
        <v>5923</v>
      </c>
      <c r="E150" s="28" t="s">
        <v>5035</v>
      </c>
      <c r="F150" s="28" t="s">
        <v>22</v>
      </c>
      <c r="G150" s="28" t="s">
        <v>1559</v>
      </c>
      <c r="H150" s="28" t="s">
        <v>1747</v>
      </c>
      <c r="I150" s="28" t="s">
        <v>5924</v>
      </c>
      <c r="J150" s="28" t="s">
        <v>5252</v>
      </c>
      <c r="K150" s="28" t="s">
        <v>5415</v>
      </c>
      <c r="L150" s="28" t="s">
        <v>5271</v>
      </c>
      <c r="M150" s="29" t="s">
        <v>5272</v>
      </c>
      <c r="N150" s="28" t="s">
        <v>663</v>
      </c>
      <c r="O150" s="29" t="s">
        <v>5273</v>
      </c>
      <c r="P150" s="30" t="s">
        <v>5925</v>
      </c>
      <c r="Q150" s="28" t="s">
        <v>5926</v>
      </c>
      <c r="R150" s="28" t="s">
        <v>52</v>
      </c>
      <c r="S150" s="28" t="s">
        <v>4110</v>
      </c>
      <c r="T150" s="28">
        <v>1</v>
      </c>
      <c r="U150" s="28" t="s">
        <v>1719</v>
      </c>
      <c r="V150" s="28" t="s">
        <v>5927</v>
      </c>
      <c r="W150" s="28" t="s">
        <v>5928</v>
      </c>
      <c r="X150" s="135">
        <v>45693.625</v>
      </c>
      <c r="Y150" s="28" t="s">
        <v>5929</v>
      </c>
      <c r="Z150" s="28">
        <v>0.5</v>
      </c>
      <c r="AA150" s="28"/>
      <c r="AB150" s="28" t="s">
        <v>1720</v>
      </c>
      <c r="AC150" s="30" t="s">
        <v>5930</v>
      </c>
      <c r="AD150" s="28"/>
      <c r="AE150" s="28"/>
      <c r="AF150" s="28"/>
      <c r="AG150" s="28"/>
      <c r="AH150" s="28"/>
      <c r="AI150" s="28"/>
      <c r="AJ150" s="28"/>
      <c r="AK150" s="28" t="s">
        <v>1721</v>
      </c>
      <c r="AL150" s="325">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5931</v>
      </c>
      <c r="R151" s="31" t="s">
        <v>52</v>
      </c>
      <c r="S151" s="31" t="s">
        <v>16</v>
      </c>
      <c r="T151" s="31">
        <v>1</v>
      </c>
      <c r="U151" s="31" t="s">
        <v>1719</v>
      </c>
      <c r="V151" s="31" t="s">
        <v>5932</v>
      </c>
      <c r="W151" s="31" t="s">
        <v>5933</v>
      </c>
      <c r="X151" s="211">
        <v>45693.479166666664</v>
      </c>
      <c r="Y151" s="31"/>
      <c r="Z151" s="31">
        <v>0.5</v>
      </c>
      <c r="AA151" s="31"/>
      <c r="AB151" s="31" t="s">
        <v>1720</v>
      </c>
      <c r="AC151" s="33" t="s">
        <v>4119</v>
      </c>
      <c r="AD151" s="31" t="s">
        <v>1721</v>
      </c>
      <c r="AE151" s="31"/>
      <c r="AF151" s="31"/>
      <c r="AG151" s="31"/>
      <c r="AH151" s="31"/>
      <c r="AI151" s="31"/>
      <c r="AJ151" s="31"/>
      <c r="AK151" s="31" t="s">
        <v>1721</v>
      </c>
      <c r="AL151" s="325"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5934</v>
      </c>
      <c r="R152" s="28" t="s">
        <v>52</v>
      </c>
      <c r="S152" s="28" t="s">
        <v>16</v>
      </c>
      <c r="T152" s="28">
        <v>1</v>
      </c>
      <c r="U152" s="28" t="s">
        <v>1719</v>
      </c>
      <c r="V152" s="28" t="s">
        <v>5935</v>
      </c>
      <c r="W152" s="28" t="s">
        <v>5936</v>
      </c>
      <c r="X152" s="135">
        <v>45693.496527777781</v>
      </c>
      <c r="Y152" s="28"/>
      <c r="Z152" s="28">
        <v>0.3</v>
      </c>
      <c r="AA152" s="28"/>
      <c r="AB152" s="28" t="s">
        <v>1720</v>
      </c>
      <c r="AC152" s="30" t="s">
        <v>4119</v>
      </c>
      <c r="AD152" s="28" t="s">
        <v>1721</v>
      </c>
      <c r="AE152" s="28"/>
      <c r="AF152" s="28"/>
      <c r="AG152" s="28"/>
      <c r="AH152" s="28"/>
      <c r="AI152" s="28"/>
      <c r="AJ152" s="28"/>
      <c r="AK152" s="28" t="s">
        <v>1721</v>
      </c>
      <c r="AL152" s="325"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5937</v>
      </c>
      <c r="R153" s="31" t="s">
        <v>52</v>
      </c>
      <c r="S153" s="31" t="s">
        <v>16</v>
      </c>
      <c r="T153" s="31">
        <v>1</v>
      </c>
      <c r="U153" s="31" t="s">
        <v>1719</v>
      </c>
      <c r="V153" s="31" t="s">
        <v>5938</v>
      </c>
      <c r="W153" s="31" t="s">
        <v>5939</v>
      </c>
      <c r="X153" s="211">
        <v>45693.548611111109</v>
      </c>
      <c r="Y153" s="31"/>
      <c r="Z153" s="31">
        <v>12.3</v>
      </c>
      <c r="AA153" s="31"/>
      <c r="AB153" s="31" t="s">
        <v>1720</v>
      </c>
      <c r="AC153" s="33" t="s">
        <v>4119</v>
      </c>
      <c r="AD153" s="31" t="s">
        <v>1721</v>
      </c>
      <c r="AE153" s="31"/>
      <c r="AF153" s="31"/>
      <c r="AG153" s="31"/>
      <c r="AH153" s="31"/>
      <c r="AI153" s="31"/>
      <c r="AJ153" s="31"/>
      <c r="AK153" s="31" t="s">
        <v>1721</v>
      </c>
      <c r="AL153" s="325"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5940</v>
      </c>
      <c r="R154" s="28" t="s">
        <v>52</v>
      </c>
      <c r="S154" s="28" t="s">
        <v>4110</v>
      </c>
      <c r="T154" s="28">
        <v>1</v>
      </c>
      <c r="U154" s="28" t="s">
        <v>1719</v>
      </c>
      <c r="V154" s="28" t="s">
        <v>5941</v>
      </c>
      <c r="W154" s="28" t="s">
        <v>5942</v>
      </c>
      <c r="X154" s="135">
        <v>45694.472222222219</v>
      </c>
      <c r="Y154" s="28"/>
      <c r="Z154" s="28">
        <v>0.4</v>
      </c>
      <c r="AA154" s="28"/>
      <c r="AB154" s="28" t="s">
        <v>1720</v>
      </c>
      <c r="AC154" s="30" t="s">
        <v>4119</v>
      </c>
      <c r="AD154" s="28" t="s">
        <v>1721</v>
      </c>
      <c r="AE154" s="28"/>
      <c r="AF154" s="28"/>
      <c r="AG154" s="28"/>
      <c r="AH154" s="28"/>
      <c r="AI154" s="28"/>
      <c r="AJ154" s="28"/>
      <c r="AK154" s="28" t="s">
        <v>1721</v>
      </c>
      <c r="AL154" s="325" t="e">
        <f t="shared" si="11"/>
        <v>#VALUE!</v>
      </c>
    </row>
    <row r="155" spans="1:38" ht="21.6" customHeight="1">
      <c r="A155" s="31">
        <v>30</v>
      </c>
      <c r="B155" s="31" t="s">
        <v>5033</v>
      </c>
      <c r="C155" s="31">
        <v>2025020766</v>
      </c>
      <c r="D155" s="31" t="s">
        <v>5943</v>
      </c>
      <c r="E155" s="31" t="s">
        <v>5035</v>
      </c>
      <c r="F155" s="31">
        <v>4977</v>
      </c>
      <c r="G155" s="31" t="s">
        <v>574</v>
      </c>
      <c r="H155" s="31" t="s">
        <v>1747</v>
      </c>
      <c r="I155" s="31" t="s">
        <v>5944</v>
      </c>
      <c r="J155" s="31" t="s">
        <v>5096</v>
      </c>
      <c r="K155" s="31" t="s">
        <v>5039</v>
      </c>
      <c r="L155" s="31" t="s">
        <v>5945</v>
      </c>
      <c r="M155" s="32" t="s">
        <v>5946</v>
      </c>
      <c r="N155" s="31" t="s">
        <v>719</v>
      </c>
      <c r="O155" s="32" t="s">
        <v>5947</v>
      </c>
      <c r="P155" s="33" t="s">
        <v>5948</v>
      </c>
      <c r="Q155" s="31" t="s">
        <v>4133</v>
      </c>
      <c r="R155" s="31" t="s">
        <v>52</v>
      </c>
      <c r="S155" s="31" t="s">
        <v>4110</v>
      </c>
      <c r="T155" s="31">
        <v>1</v>
      </c>
      <c r="U155" s="31" t="s">
        <v>1719</v>
      </c>
      <c r="V155" s="31" t="s">
        <v>5949</v>
      </c>
      <c r="W155" s="31" t="s">
        <v>5950</v>
      </c>
      <c r="X155" s="211">
        <v>45695.496527777781</v>
      </c>
      <c r="Y155" s="31" t="s">
        <v>5951</v>
      </c>
      <c r="Z155" s="31">
        <v>0.9</v>
      </c>
      <c r="AA155" s="31"/>
      <c r="AB155" s="31" t="s">
        <v>1720</v>
      </c>
      <c r="AC155" s="33" t="s">
        <v>5952</v>
      </c>
      <c r="AD155" s="31"/>
      <c r="AE155" s="31"/>
      <c r="AF155" s="31"/>
      <c r="AG155" s="31"/>
      <c r="AH155" s="31"/>
      <c r="AI155" s="31"/>
      <c r="AJ155" s="31"/>
      <c r="AK155" s="31" t="s">
        <v>1721</v>
      </c>
      <c r="AL155" s="325">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5953</v>
      </c>
      <c r="R156" s="28" t="s">
        <v>52</v>
      </c>
      <c r="S156" s="28" t="s">
        <v>16</v>
      </c>
      <c r="T156" s="28">
        <v>1</v>
      </c>
      <c r="U156" s="28" t="s">
        <v>1719</v>
      </c>
      <c r="V156" s="28" t="s">
        <v>5954</v>
      </c>
      <c r="W156" s="28" t="s">
        <v>5955</v>
      </c>
      <c r="X156" s="135">
        <v>45695.583333333336</v>
      </c>
      <c r="Y156" s="28"/>
      <c r="Z156" s="28">
        <v>0.5</v>
      </c>
      <c r="AA156" s="28"/>
      <c r="AB156" s="28" t="s">
        <v>1720</v>
      </c>
      <c r="AC156" s="30" t="s">
        <v>4119</v>
      </c>
      <c r="AD156" s="28" t="s">
        <v>1721</v>
      </c>
      <c r="AE156" s="28"/>
      <c r="AF156" s="28"/>
      <c r="AG156" s="28"/>
      <c r="AH156" s="28"/>
      <c r="AI156" s="28"/>
      <c r="AJ156" s="28"/>
      <c r="AK156" s="28" t="s">
        <v>1721</v>
      </c>
      <c r="AL156" s="325"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5956</v>
      </c>
      <c r="R157" s="31" t="s">
        <v>52</v>
      </c>
      <c r="S157" s="31" t="s">
        <v>16</v>
      </c>
      <c r="T157" s="31">
        <v>1</v>
      </c>
      <c r="U157" s="31" t="s">
        <v>1719</v>
      </c>
      <c r="V157" s="31" t="s">
        <v>5957</v>
      </c>
      <c r="W157" s="31" t="s">
        <v>5958</v>
      </c>
      <c r="X157" s="211">
        <v>45695.604166666664</v>
      </c>
      <c r="Y157" s="31"/>
      <c r="Z157" s="31">
        <v>0.3</v>
      </c>
      <c r="AA157" s="31"/>
      <c r="AB157" s="31" t="s">
        <v>1720</v>
      </c>
      <c r="AC157" s="33" t="s">
        <v>4119</v>
      </c>
      <c r="AD157" s="31" t="s">
        <v>1721</v>
      </c>
      <c r="AE157" s="31"/>
      <c r="AF157" s="31"/>
      <c r="AG157" s="31"/>
      <c r="AH157" s="31"/>
      <c r="AI157" s="31"/>
      <c r="AJ157" s="31"/>
      <c r="AK157" s="31" t="s">
        <v>1721</v>
      </c>
      <c r="AL157" s="325"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5926</v>
      </c>
      <c r="R158" s="28" t="s">
        <v>52</v>
      </c>
      <c r="S158" s="28" t="s">
        <v>4110</v>
      </c>
      <c r="T158" s="28">
        <v>1</v>
      </c>
      <c r="U158" s="28" t="s">
        <v>1719</v>
      </c>
      <c r="V158" s="28" t="s">
        <v>5959</v>
      </c>
      <c r="W158" s="28" t="s">
        <v>5960</v>
      </c>
      <c r="X158" s="135">
        <v>45695.611805555556</v>
      </c>
      <c r="Y158" s="28"/>
      <c r="Z158" s="28">
        <v>0.4</v>
      </c>
      <c r="AA158" s="28"/>
      <c r="AB158" s="28" t="s">
        <v>1720</v>
      </c>
      <c r="AC158" s="30" t="s">
        <v>4119</v>
      </c>
      <c r="AD158" s="28" t="s">
        <v>1721</v>
      </c>
      <c r="AE158" s="28"/>
      <c r="AF158" s="28"/>
      <c r="AG158" s="28"/>
      <c r="AH158" s="28"/>
      <c r="AI158" s="28"/>
      <c r="AJ158" s="28"/>
      <c r="AK158" s="28" t="s">
        <v>1721</v>
      </c>
      <c r="AL158" s="325"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5961</v>
      </c>
      <c r="R159" s="31" t="s">
        <v>52</v>
      </c>
      <c r="S159" s="31" t="s">
        <v>16</v>
      </c>
      <c r="T159" s="31">
        <v>1</v>
      </c>
      <c r="U159" s="31" t="s">
        <v>1719</v>
      </c>
      <c r="V159" s="31" t="s">
        <v>5962</v>
      </c>
      <c r="W159" s="31" t="s">
        <v>5963</v>
      </c>
      <c r="X159" s="211">
        <v>45695.618055555555</v>
      </c>
      <c r="Y159" s="31"/>
      <c r="Z159" s="31">
        <v>0.3</v>
      </c>
      <c r="AA159" s="31"/>
      <c r="AB159" s="31" t="s">
        <v>1720</v>
      </c>
      <c r="AC159" s="33" t="s">
        <v>4119</v>
      </c>
      <c r="AD159" s="31" t="s">
        <v>1721</v>
      </c>
      <c r="AE159" s="31"/>
      <c r="AF159" s="31"/>
      <c r="AG159" s="31"/>
      <c r="AH159" s="31"/>
      <c r="AI159" s="31"/>
      <c r="AJ159" s="31"/>
      <c r="AK159" s="31" t="s">
        <v>1721</v>
      </c>
      <c r="AL159" s="325"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5965</v>
      </c>
      <c r="R160" s="28" t="s">
        <v>52</v>
      </c>
      <c r="S160" s="28" t="s">
        <v>4110</v>
      </c>
      <c r="T160" s="28">
        <v>1</v>
      </c>
      <c r="U160" s="28" t="s">
        <v>1719</v>
      </c>
      <c r="V160" s="28" t="s">
        <v>5966</v>
      </c>
      <c r="W160" s="28" t="s">
        <v>5964</v>
      </c>
      <c r="X160" s="135">
        <v>45695.630555555559</v>
      </c>
      <c r="Y160" s="28"/>
      <c r="Z160" s="28">
        <v>0.3</v>
      </c>
      <c r="AA160" s="28"/>
      <c r="AB160" s="28" t="s">
        <v>1720</v>
      </c>
      <c r="AC160" s="30" t="s">
        <v>4119</v>
      </c>
      <c r="AD160" s="28" t="s">
        <v>1721</v>
      </c>
      <c r="AE160" s="28"/>
      <c r="AF160" s="28"/>
      <c r="AG160" s="28"/>
      <c r="AH160" s="28"/>
      <c r="AI160" s="28"/>
      <c r="AJ160" s="28"/>
      <c r="AK160" s="28" t="s">
        <v>1721</v>
      </c>
      <c r="AL160" s="325"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5967</v>
      </c>
      <c r="R161" s="31" t="s">
        <v>52</v>
      </c>
      <c r="S161" s="31" t="s">
        <v>16</v>
      </c>
      <c r="T161" s="31">
        <v>1</v>
      </c>
      <c r="U161" s="31" t="s">
        <v>1719</v>
      </c>
      <c r="V161" s="31" t="s">
        <v>5968</v>
      </c>
      <c r="W161" s="31" t="s">
        <v>5969</v>
      </c>
      <c r="X161" s="211">
        <v>45695.635416666664</v>
      </c>
      <c r="Y161" s="31"/>
      <c r="Z161" s="31">
        <v>0.3</v>
      </c>
      <c r="AA161" s="31"/>
      <c r="AB161" s="31" t="s">
        <v>1720</v>
      </c>
      <c r="AC161" s="33" t="s">
        <v>4119</v>
      </c>
      <c r="AD161" s="31" t="s">
        <v>1721</v>
      </c>
      <c r="AE161" s="31"/>
      <c r="AF161" s="31"/>
      <c r="AG161" s="31"/>
      <c r="AH161" s="31"/>
      <c r="AI161" s="31"/>
      <c r="AJ161" s="31"/>
      <c r="AK161" s="31" t="s">
        <v>1721</v>
      </c>
      <c r="AL161" s="325"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5970</v>
      </c>
      <c r="R162" s="28" t="s">
        <v>52</v>
      </c>
      <c r="S162" s="28" t="s">
        <v>16</v>
      </c>
      <c r="T162" s="28">
        <v>1</v>
      </c>
      <c r="U162" s="28" t="s">
        <v>1719</v>
      </c>
      <c r="V162" s="28" t="s">
        <v>5971</v>
      </c>
      <c r="W162" s="28" t="s">
        <v>5972</v>
      </c>
      <c r="X162" s="135">
        <v>45695.652777777781</v>
      </c>
      <c r="Y162" s="28"/>
      <c r="Z162" s="28">
        <v>0.3</v>
      </c>
      <c r="AA162" s="28"/>
      <c r="AB162" s="28" t="s">
        <v>1720</v>
      </c>
      <c r="AC162" s="30" t="s">
        <v>4119</v>
      </c>
      <c r="AD162" s="28" t="s">
        <v>1721</v>
      </c>
      <c r="AE162" s="28"/>
      <c r="AF162" s="28"/>
      <c r="AG162" s="28"/>
      <c r="AH162" s="28"/>
      <c r="AI162" s="28"/>
      <c r="AJ162" s="28"/>
      <c r="AK162" s="28" t="s">
        <v>1721</v>
      </c>
      <c r="AL162" s="325"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5973</v>
      </c>
      <c r="R163" s="31" t="s">
        <v>52</v>
      </c>
      <c r="S163" s="31" t="s">
        <v>4110</v>
      </c>
      <c r="T163" s="31">
        <v>1</v>
      </c>
      <c r="U163" s="31" t="s">
        <v>1719</v>
      </c>
      <c r="V163" s="31" t="s">
        <v>5974</v>
      </c>
      <c r="W163" s="31" t="s">
        <v>5975</v>
      </c>
      <c r="X163" s="211">
        <v>45695.669444444444</v>
      </c>
      <c r="Y163" s="31"/>
      <c r="Z163" s="31">
        <v>0.3</v>
      </c>
      <c r="AA163" s="31"/>
      <c r="AB163" s="31" t="s">
        <v>1720</v>
      </c>
      <c r="AC163" s="33" t="s">
        <v>4119</v>
      </c>
      <c r="AD163" s="31" t="s">
        <v>1721</v>
      </c>
      <c r="AE163" s="31"/>
      <c r="AF163" s="31"/>
      <c r="AG163" s="31"/>
      <c r="AH163" s="31"/>
      <c r="AI163" s="31"/>
      <c r="AJ163" s="31"/>
      <c r="AK163" s="31" t="s">
        <v>1721</v>
      </c>
      <c r="AL163" s="325" t="e">
        <f t="shared" si="11"/>
        <v>#VALUE!</v>
      </c>
    </row>
    <row r="164" spans="1:38" ht="21.6" customHeight="1">
      <c r="A164" s="28">
        <v>39</v>
      </c>
      <c r="B164" s="28" t="s">
        <v>5033</v>
      </c>
      <c r="C164" s="28">
        <v>2025021030</v>
      </c>
      <c r="D164" s="28" t="s">
        <v>5976</v>
      </c>
      <c r="E164" s="28" t="s">
        <v>5035</v>
      </c>
      <c r="F164" s="28">
        <v>3921</v>
      </c>
      <c r="G164" s="28" t="s">
        <v>262</v>
      </c>
      <c r="H164" s="28" t="s">
        <v>3317</v>
      </c>
      <c r="I164" s="28" t="s">
        <v>5977</v>
      </c>
      <c r="J164" s="28" t="s">
        <v>5299</v>
      </c>
      <c r="K164" s="28" t="s">
        <v>5415</v>
      </c>
      <c r="L164" s="28" t="s">
        <v>5749</v>
      </c>
      <c r="M164" s="29" t="s">
        <v>5750</v>
      </c>
      <c r="N164" s="28">
        <v>5903</v>
      </c>
      <c r="O164" s="29" t="s">
        <v>5751</v>
      </c>
      <c r="P164" s="30" t="s">
        <v>5978</v>
      </c>
      <c r="Q164" s="28" t="s">
        <v>5909</v>
      </c>
      <c r="R164" s="28" t="s">
        <v>52</v>
      </c>
      <c r="S164" s="28" t="s">
        <v>16</v>
      </c>
      <c r="T164" s="28">
        <v>1</v>
      </c>
      <c r="U164" s="28" t="s">
        <v>1719</v>
      </c>
      <c r="V164" s="28" t="s">
        <v>5979</v>
      </c>
      <c r="W164" s="28" t="s">
        <v>5980</v>
      </c>
      <c r="X164" s="135">
        <v>45696.498611111114</v>
      </c>
      <c r="Y164" s="28" t="s">
        <v>5981</v>
      </c>
      <c r="Z164" s="28">
        <v>1</v>
      </c>
      <c r="AA164" s="28"/>
      <c r="AB164" s="28" t="s">
        <v>1720</v>
      </c>
      <c r="AC164" s="30" t="s">
        <v>5982</v>
      </c>
      <c r="AD164" s="28"/>
      <c r="AE164" s="28"/>
      <c r="AF164" s="28"/>
      <c r="AG164" s="28"/>
      <c r="AH164" s="28"/>
      <c r="AI164" s="28"/>
      <c r="AJ164" s="28"/>
      <c r="AK164" s="28" t="s">
        <v>1721</v>
      </c>
      <c r="AL164" s="325">
        <f t="shared" si="11"/>
        <v>45695</v>
      </c>
    </row>
    <row r="165" spans="1:38" ht="21.6" customHeight="1">
      <c r="A165" s="31">
        <v>40</v>
      </c>
      <c r="B165" s="31" t="s">
        <v>5033</v>
      </c>
      <c r="C165" s="31">
        <v>2025021089</v>
      </c>
      <c r="D165" s="31" t="s">
        <v>5983</v>
      </c>
      <c r="E165" s="31" t="s">
        <v>5035</v>
      </c>
      <c r="F165" s="31">
        <v>4005</v>
      </c>
      <c r="G165" s="31" t="s">
        <v>284</v>
      </c>
      <c r="H165" s="31" t="s">
        <v>1748</v>
      </c>
      <c r="I165" s="31" t="s">
        <v>5984</v>
      </c>
      <c r="J165" s="31" t="s">
        <v>5575</v>
      </c>
      <c r="K165" s="31" t="s">
        <v>5067</v>
      </c>
      <c r="L165" s="31" t="s">
        <v>5749</v>
      </c>
      <c r="M165" s="32" t="s">
        <v>5750</v>
      </c>
      <c r="N165" s="31">
        <v>5901</v>
      </c>
      <c r="O165" s="32" t="s">
        <v>5321</v>
      </c>
      <c r="P165" s="33" t="s">
        <v>5985</v>
      </c>
      <c r="Q165" s="31" t="s">
        <v>5238</v>
      </c>
      <c r="R165" s="31" t="s">
        <v>52</v>
      </c>
      <c r="S165" s="31" t="s">
        <v>16</v>
      </c>
      <c r="T165" s="31">
        <v>1</v>
      </c>
      <c r="U165" s="31" t="s">
        <v>1719</v>
      </c>
      <c r="V165" s="31" t="s">
        <v>5986</v>
      </c>
      <c r="W165" s="31" t="s">
        <v>5987</v>
      </c>
      <c r="X165" s="211">
        <v>45696.635416666664</v>
      </c>
      <c r="Y165" s="31" t="s">
        <v>5988</v>
      </c>
      <c r="Z165" s="31">
        <v>0.8</v>
      </c>
      <c r="AA165" s="31"/>
      <c r="AB165" s="31" t="s">
        <v>1720</v>
      </c>
      <c r="AC165" s="33" t="s">
        <v>5989</v>
      </c>
      <c r="AD165" s="31"/>
      <c r="AE165" s="31"/>
      <c r="AF165" s="31"/>
      <c r="AG165" s="31"/>
      <c r="AH165" s="31"/>
      <c r="AI165" s="31"/>
      <c r="AJ165" s="31"/>
      <c r="AK165" s="31" t="s">
        <v>1721</v>
      </c>
      <c r="AL165" s="325">
        <f t="shared" si="11"/>
        <v>45696</v>
      </c>
    </row>
    <row r="166" spans="1:38" ht="21.6" customHeight="1">
      <c r="A166" s="28">
        <v>41</v>
      </c>
      <c r="B166" s="28" t="s">
        <v>5033</v>
      </c>
      <c r="C166" s="28">
        <v>2025021109</v>
      </c>
      <c r="D166" s="28" t="s">
        <v>5990</v>
      </c>
      <c r="E166" s="28" t="s">
        <v>5035</v>
      </c>
      <c r="F166" s="28">
        <v>4167</v>
      </c>
      <c r="G166" s="28" t="s">
        <v>319</v>
      </c>
      <c r="H166" s="28" t="s">
        <v>1722</v>
      </c>
      <c r="I166" s="28" t="s">
        <v>5991</v>
      </c>
      <c r="J166" s="28" t="s">
        <v>5575</v>
      </c>
      <c r="K166" s="28" t="s">
        <v>5039</v>
      </c>
      <c r="L166" s="28" t="s">
        <v>5068</v>
      </c>
      <c r="M166" s="29" t="s">
        <v>1723</v>
      </c>
      <c r="N166" s="28">
        <v>2307</v>
      </c>
      <c r="O166" s="29" t="s">
        <v>5383</v>
      </c>
      <c r="P166" s="30" t="s">
        <v>5992</v>
      </c>
      <c r="Q166" s="28" t="s">
        <v>5993</v>
      </c>
      <c r="R166" s="28" t="s">
        <v>52</v>
      </c>
      <c r="S166" s="28" t="s">
        <v>1157</v>
      </c>
      <c r="T166" s="28">
        <v>1</v>
      </c>
      <c r="U166" s="28" t="s">
        <v>1719</v>
      </c>
      <c r="V166" s="28" t="s">
        <v>5994</v>
      </c>
      <c r="W166" s="28" t="s">
        <v>5995</v>
      </c>
      <c r="X166" s="135">
        <v>45698.701388888891</v>
      </c>
      <c r="Y166" s="28" t="s">
        <v>5996</v>
      </c>
      <c r="Z166" s="28">
        <v>2.2000000000000002</v>
      </c>
      <c r="AA166" s="28"/>
      <c r="AB166" s="28" t="s">
        <v>1720</v>
      </c>
      <c r="AC166" s="30" t="s">
        <v>5997</v>
      </c>
      <c r="AD166" s="28"/>
      <c r="AE166" s="28"/>
      <c r="AF166" s="28"/>
      <c r="AG166" s="28"/>
      <c r="AH166" s="28"/>
      <c r="AI166" s="28"/>
      <c r="AJ166" s="28"/>
      <c r="AK166" s="28" t="s">
        <v>1721</v>
      </c>
      <c r="AL166" s="325">
        <f t="shared" si="11"/>
        <v>45696</v>
      </c>
    </row>
    <row r="167" spans="1:38" ht="21.6" customHeight="1">
      <c r="A167" s="31">
        <v>42</v>
      </c>
      <c r="B167" s="31" t="s">
        <v>5033</v>
      </c>
      <c r="C167" s="31">
        <v>2025021120</v>
      </c>
      <c r="D167" s="31" t="s">
        <v>5998</v>
      </c>
      <c r="E167" s="31" t="s">
        <v>5035</v>
      </c>
      <c r="F167" s="31">
        <v>4856</v>
      </c>
      <c r="G167" s="31" t="s">
        <v>545</v>
      </c>
      <c r="H167" s="31" t="s">
        <v>1748</v>
      </c>
      <c r="I167" s="31" t="s">
        <v>5999</v>
      </c>
      <c r="J167" s="31" t="s">
        <v>5226</v>
      </c>
      <c r="K167" s="31" t="s">
        <v>5451</v>
      </c>
      <c r="L167" s="31" t="s">
        <v>5227</v>
      </c>
      <c r="M167" s="32" t="s">
        <v>5228</v>
      </c>
      <c r="N167" s="31" t="s">
        <v>5540</v>
      </c>
      <c r="O167" s="32" t="s">
        <v>5541</v>
      </c>
      <c r="P167" s="33" t="s">
        <v>6000</v>
      </c>
      <c r="Q167" s="31" t="s">
        <v>5453</v>
      </c>
      <c r="R167" s="31" t="s">
        <v>52</v>
      </c>
      <c r="S167" s="31" t="s">
        <v>16</v>
      </c>
      <c r="T167" s="31">
        <v>1</v>
      </c>
      <c r="U167" s="31" t="s">
        <v>1719</v>
      </c>
      <c r="V167" s="31" t="s">
        <v>6001</v>
      </c>
      <c r="W167" s="31" t="s">
        <v>6002</v>
      </c>
      <c r="X167" s="211">
        <v>45698.524305555555</v>
      </c>
      <c r="Y167" s="31" t="s">
        <v>6003</v>
      </c>
      <c r="Z167" s="31">
        <v>1.1000000000000001</v>
      </c>
      <c r="AA167" s="31"/>
      <c r="AB167" s="31" t="s">
        <v>1720</v>
      </c>
      <c r="AC167" s="33" t="s">
        <v>6004</v>
      </c>
      <c r="AD167" s="31"/>
      <c r="AE167" s="31"/>
      <c r="AF167" s="31"/>
      <c r="AG167" s="31"/>
      <c r="AH167" s="31"/>
      <c r="AI167" s="31"/>
      <c r="AJ167" s="31"/>
      <c r="AK167" s="31" t="s">
        <v>1721</v>
      </c>
      <c r="AL167" s="325">
        <f t="shared" si="11"/>
        <v>45697</v>
      </c>
    </row>
    <row r="168" spans="1:38" ht="21.6" customHeight="1">
      <c r="A168" s="28">
        <v>43</v>
      </c>
      <c r="B168" s="28" t="s">
        <v>5033</v>
      </c>
      <c r="C168" s="28">
        <v>2025021173</v>
      </c>
      <c r="D168" s="28" t="s">
        <v>6005</v>
      </c>
      <c r="E168" s="28" t="s">
        <v>5503</v>
      </c>
      <c r="F168" s="28">
        <v>3183</v>
      </c>
      <c r="G168" s="28" t="s">
        <v>164</v>
      </c>
      <c r="H168" s="28" t="s">
        <v>1722</v>
      </c>
      <c r="I168" s="28" t="s">
        <v>6006</v>
      </c>
      <c r="J168" s="28" t="s">
        <v>5038</v>
      </c>
      <c r="K168" s="28" t="s">
        <v>5067</v>
      </c>
      <c r="L168" s="28" t="s">
        <v>5505</v>
      </c>
      <c r="M168" s="29" t="s">
        <v>5506</v>
      </c>
      <c r="N168" s="28">
        <v>2405</v>
      </c>
      <c r="O168" s="29" t="s">
        <v>5606</v>
      </c>
      <c r="P168" s="30" t="s">
        <v>6007</v>
      </c>
      <c r="Q168" s="28" t="s">
        <v>6008</v>
      </c>
      <c r="R168" s="28" t="s">
        <v>52</v>
      </c>
      <c r="S168" s="28" t="s">
        <v>1157</v>
      </c>
      <c r="T168" s="28">
        <v>1</v>
      </c>
      <c r="U168" s="28" t="s">
        <v>1719</v>
      </c>
      <c r="V168" s="28" t="s">
        <v>6009</v>
      </c>
      <c r="W168" s="28" t="s">
        <v>6010</v>
      </c>
      <c r="X168" s="135">
        <v>45698.604166666664</v>
      </c>
      <c r="Y168" s="28" t="s">
        <v>6011</v>
      </c>
      <c r="Z168" s="28">
        <v>1.5</v>
      </c>
      <c r="AA168" s="28"/>
      <c r="AB168" s="28" t="s">
        <v>1720</v>
      </c>
      <c r="AC168" s="30" t="s">
        <v>6012</v>
      </c>
      <c r="AD168" s="28"/>
      <c r="AE168" s="28"/>
      <c r="AF168" s="28"/>
      <c r="AG168" s="28"/>
      <c r="AH168" s="28"/>
      <c r="AI168" s="28"/>
      <c r="AJ168" s="28"/>
      <c r="AK168" s="28" t="s">
        <v>1721</v>
      </c>
      <c r="AL168" s="325">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6008</v>
      </c>
      <c r="R169" s="31" t="s">
        <v>52</v>
      </c>
      <c r="S169" s="31" t="s">
        <v>1157</v>
      </c>
      <c r="T169" s="31">
        <v>1</v>
      </c>
      <c r="U169" s="31" t="s">
        <v>1719</v>
      </c>
      <c r="V169" s="31" t="s">
        <v>6013</v>
      </c>
      <c r="W169" s="31" t="s">
        <v>6014</v>
      </c>
      <c r="X169" s="211">
        <v>45698.604166666664</v>
      </c>
      <c r="Y169" s="31"/>
      <c r="Z169" s="31">
        <v>0.3</v>
      </c>
      <c r="AA169" s="31"/>
      <c r="AB169" s="31" t="s">
        <v>1720</v>
      </c>
      <c r="AC169" s="33" t="s">
        <v>4119</v>
      </c>
      <c r="AD169" s="31" t="s">
        <v>1721</v>
      </c>
      <c r="AE169" s="31"/>
      <c r="AF169" s="31"/>
      <c r="AG169" s="31"/>
      <c r="AH169" s="31"/>
      <c r="AI169" s="31"/>
      <c r="AJ169" s="31"/>
      <c r="AK169" s="31" t="s">
        <v>1721</v>
      </c>
      <c r="AL169" s="325"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5993</v>
      </c>
      <c r="R170" s="28" t="s">
        <v>52</v>
      </c>
      <c r="S170" s="28" t="s">
        <v>1157</v>
      </c>
      <c r="T170" s="28">
        <v>1</v>
      </c>
      <c r="U170" s="28" t="s">
        <v>1719</v>
      </c>
      <c r="V170" s="28" t="s">
        <v>6015</v>
      </c>
      <c r="W170" s="28" t="s">
        <v>5995</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25" t="e">
        <f t="shared" si="11"/>
        <v>#VALUE!</v>
      </c>
    </row>
    <row r="171" spans="1:38" ht="21.6" customHeight="1">
      <c r="A171" s="31">
        <v>46</v>
      </c>
      <c r="B171" s="31" t="s">
        <v>5033</v>
      </c>
      <c r="C171" s="31">
        <v>2025021381</v>
      </c>
      <c r="D171" s="31" t="s">
        <v>6016</v>
      </c>
      <c r="E171" s="31" t="s">
        <v>5035</v>
      </c>
      <c r="F171" s="31">
        <v>2318</v>
      </c>
      <c r="G171" s="31" t="s">
        <v>88</v>
      </c>
      <c r="H171" s="31" t="s">
        <v>3321</v>
      </c>
      <c r="I171" s="31" t="s">
        <v>6017</v>
      </c>
      <c r="J171" s="31" t="s">
        <v>5252</v>
      </c>
      <c r="K171" s="31" t="s">
        <v>5039</v>
      </c>
      <c r="L171" s="31" t="s">
        <v>5040</v>
      </c>
      <c r="M171" s="32" t="s">
        <v>4057</v>
      </c>
      <c r="N171" s="31">
        <v>2501</v>
      </c>
      <c r="O171" s="32" t="s">
        <v>5041</v>
      </c>
      <c r="P171" s="33" t="s">
        <v>6018</v>
      </c>
      <c r="Q171" s="31" t="s">
        <v>6019</v>
      </c>
      <c r="R171" s="31" t="s">
        <v>52</v>
      </c>
      <c r="S171" s="31" t="s">
        <v>4110</v>
      </c>
      <c r="T171" s="31">
        <v>1</v>
      </c>
      <c r="U171" s="31" t="s">
        <v>1719</v>
      </c>
      <c r="V171" s="31" t="s">
        <v>6020</v>
      </c>
      <c r="W171" s="31" t="s">
        <v>6021</v>
      </c>
      <c r="X171" s="211">
        <v>45700.520833333336</v>
      </c>
      <c r="Y171" s="31" t="s">
        <v>6022</v>
      </c>
      <c r="Z171" s="31">
        <v>1</v>
      </c>
      <c r="AA171" s="31"/>
      <c r="AB171" s="31" t="s">
        <v>1720</v>
      </c>
      <c r="AC171" s="33" t="s">
        <v>6023</v>
      </c>
      <c r="AD171" s="31"/>
      <c r="AE171" s="31"/>
      <c r="AF171" s="31"/>
      <c r="AG171" s="31"/>
      <c r="AH171" s="31"/>
      <c r="AI171" s="31"/>
      <c r="AJ171" s="31"/>
      <c r="AK171" s="31" t="s">
        <v>1721</v>
      </c>
      <c r="AL171" s="325">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5192</v>
      </c>
      <c r="R172" s="28" t="s">
        <v>52</v>
      </c>
      <c r="S172" s="28" t="s">
        <v>4110</v>
      </c>
      <c r="T172" s="28">
        <v>1</v>
      </c>
      <c r="U172" s="28" t="s">
        <v>1719</v>
      </c>
      <c r="V172" s="28" t="s">
        <v>6024</v>
      </c>
      <c r="W172" s="28" t="s">
        <v>6025</v>
      </c>
      <c r="X172" s="135">
        <v>45699.638194444444</v>
      </c>
      <c r="Y172" s="28"/>
      <c r="Z172" s="28">
        <v>0.4</v>
      </c>
      <c r="AA172" s="28"/>
      <c r="AB172" s="28" t="s">
        <v>1720</v>
      </c>
      <c r="AC172" s="30" t="s">
        <v>4119</v>
      </c>
      <c r="AD172" s="28" t="s">
        <v>1721</v>
      </c>
      <c r="AE172" s="28"/>
      <c r="AF172" s="28"/>
      <c r="AG172" s="28"/>
      <c r="AH172" s="28"/>
      <c r="AI172" s="28"/>
      <c r="AJ172" s="28"/>
      <c r="AK172" s="28" t="s">
        <v>1721</v>
      </c>
      <c r="AL172" s="325"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5195</v>
      </c>
      <c r="R173" s="31" t="s">
        <v>52</v>
      </c>
      <c r="S173" s="31" t="s">
        <v>4110</v>
      </c>
      <c r="T173" s="31">
        <v>1</v>
      </c>
      <c r="U173" s="31" t="s">
        <v>1719</v>
      </c>
      <c r="V173" s="31" t="s">
        <v>6026</v>
      </c>
      <c r="W173" s="31" t="s">
        <v>6027</v>
      </c>
      <c r="X173" s="211">
        <v>45699.676388888889</v>
      </c>
      <c r="Y173" s="31"/>
      <c r="Z173" s="31">
        <v>0.3</v>
      </c>
      <c r="AA173" s="31"/>
      <c r="AB173" s="31" t="s">
        <v>1720</v>
      </c>
      <c r="AC173" s="33" t="s">
        <v>4119</v>
      </c>
      <c r="AD173" s="31" t="s">
        <v>1721</v>
      </c>
      <c r="AE173" s="31"/>
      <c r="AF173" s="31"/>
      <c r="AG173" s="31"/>
      <c r="AH173" s="31"/>
      <c r="AI173" s="31"/>
      <c r="AJ173" s="31"/>
      <c r="AK173" s="31" t="s">
        <v>1721</v>
      </c>
      <c r="AL173" s="325" t="e">
        <f t="shared" si="11"/>
        <v>#VALUE!</v>
      </c>
    </row>
    <row r="174" spans="1:38" ht="21.6" customHeight="1">
      <c r="A174" s="28">
        <v>49</v>
      </c>
      <c r="B174" s="28" t="s">
        <v>5033</v>
      </c>
      <c r="C174" s="28">
        <v>2025021427</v>
      </c>
      <c r="D174" s="28" t="s">
        <v>6028</v>
      </c>
      <c r="E174" s="28" t="s">
        <v>5035</v>
      </c>
      <c r="F174" s="28">
        <v>4194</v>
      </c>
      <c r="G174" s="28" t="s">
        <v>326</v>
      </c>
      <c r="H174" s="28" t="s">
        <v>1748</v>
      </c>
      <c r="I174" s="28" t="s">
        <v>6029</v>
      </c>
      <c r="J174" s="28" t="s">
        <v>5252</v>
      </c>
      <c r="K174" s="28" t="s">
        <v>5039</v>
      </c>
      <c r="L174" s="28" t="s">
        <v>6030</v>
      </c>
      <c r="M174" s="29" t="s">
        <v>6031</v>
      </c>
      <c r="N174" s="28">
        <v>6003</v>
      </c>
      <c r="O174" s="29" t="s">
        <v>5751</v>
      </c>
      <c r="P174" s="30" t="s">
        <v>6032</v>
      </c>
      <c r="Q174" s="28" t="s">
        <v>6033</v>
      </c>
      <c r="R174" s="28" t="s">
        <v>52</v>
      </c>
      <c r="S174" s="28" t="s">
        <v>16</v>
      </c>
      <c r="T174" s="28">
        <v>1</v>
      </c>
      <c r="U174" s="28" t="s">
        <v>1719</v>
      </c>
      <c r="V174" s="28" t="s">
        <v>6034</v>
      </c>
      <c r="W174" s="28" t="s">
        <v>6035</v>
      </c>
      <c r="X174" s="135">
        <v>45700.583333333336</v>
      </c>
      <c r="Y174" s="28" t="s">
        <v>6037</v>
      </c>
      <c r="Z174" s="28">
        <v>0.5</v>
      </c>
      <c r="AA174" s="28"/>
      <c r="AB174" s="28" t="s">
        <v>1720</v>
      </c>
      <c r="AC174" s="30" t="s">
        <v>6038</v>
      </c>
      <c r="AD174" s="28"/>
      <c r="AE174" s="28"/>
      <c r="AF174" s="28"/>
      <c r="AG174" s="28"/>
      <c r="AH174" s="28"/>
      <c r="AI174" s="28"/>
      <c r="AJ174" s="28"/>
      <c r="AK174" s="28" t="s">
        <v>1721</v>
      </c>
      <c r="AL174" s="325">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6019</v>
      </c>
      <c r="R175" s="31" t="s">
        <v>52</v>
      </c>
      <c r="S175" s="31" t="s">
        <v>4110</v>
      </c>
      <c r="T175" s="31">
        <v>1</v>
      </c>
      <c r="U175" s="31" t="s">
        <v>1719</v>
      </c>
      <c r="V175" s="31" t="s">
        <v>6039</v>
      </c>
      <c r="W175" s="31" t="s">
        <v>6040</v>
      </c>
      <c r="X175" s="211">
        <v>45700.472916666666</v>
      </c>
      <c r="Y175" s="31"/>
      <c r="Z175" s="31">
        <v>0.4</v>
      </c>
      <c r="AA175" s="31"/>
      <c r="AB175" s="31" t="s">
        <v>1720</v>
      </c>
      <c r="AC175" s="33" t="s">
        <v>4119</v>
      </c>
      <c r="AD175" s="31" t="s">
        <v>1721</v>
      </c>
      <c r="AE175" s="31"/>
      <c r="AF175" s="31"/>
      <c r="AG175" s="31"/>
      <c r="AH175" s="31"/>
      <c r="AI175" s="31"/>
      <c r="AJ175" s="31"/>
      <c r="AK175" s="31" t="s">
        <v>1721</v>
      </c>
      <c r="AL175" s="325"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6033</v>
      </c>
      <c r="R176" s="28" t="s">
        <v>52</v>
      </c>
      <c r="S176" s="28" t="s">
        <v>16</v>
      </c>
      <c r="T176" s="28">
        <v>1</v>
      </c>
      <c r="U176" s="28" t="s">
        <v>1719</v>
      </c>
      <c r="V176" s="28" t="s">
        <v>6041</v>
      </c>
      <c r="W176" s="28" t="s">
        <v>6036</v>
      </c>
      <c r="X176" s="135">
        <v>45700.604166666664</v>
      </c>
      <c r="Y176" s="28"/>
      <c r="Z176" s="28">
        <v>0.5</v>
      </c>
      <c r="AA176" s="28"/>
      <c r="AB176" s="28" t="s">
        <v>1720</v>
      </c>
      <c r="AC176" s="30" t="s">
        <v>4119</v>
      </c>
      <c r="AD176" s="28" t="s">
        <v>1721</v>
      </c>
      <c r="AE176" s="28"/>
      <c r="AF176" s="28"/>
      <c r="AG176" s="28"/>
      <c r="AH176" s="28"/>
      <c r="AI176" s="28"/>
      <c r="AJ176" s="28"/>
      <c r="AK176" s="28" t="s">
        <v>1721</v>
      </c>
      <c r="AL176" s="325" t="e">
        <f t="shared" si="11"/>
        <v>#VALUE!</v>
      </c>
    </row>
    <row r="177" spans="1:38" ht="21.6" customHeight="1">
      <c r="A177" s="31">
        <v>52</v>
      </c>
      <c r="B177" s="31" t="s">
        <v>5033</v>
      </c>
      <c r="C177" s="31">
        <v>2025021529</v>
      </c>
      <c r="D177" s="31" t="s">
        <v>6042</v>
      </c>
      <c r="E177" s="31" t="s">
        <v>5035</v>
      </c>
      <c r="F177" s="31">
        <v>4844</v>
      </c>
      <c r="G177" s="31" t="s">
        <v>540</v>
      </c>
      <c r="H177" s="31" t="s">
        <v>3323</v>
      </c>
      <c r="I177" s="31" t="s">
        <v>6043</v>
      </c>
      <c r="J177" s="31" t="s">
        <v>5066</v>
      </c>
      <c r="K177" s="31" t="s">
        <v>5039</v>
      </c>
      <c r="L177" s="31" t="s">
        <v>6044</v>
      </c>
      <c r="M177" s="32" t="s">
        <v>6045</v>
      </c>
      <c r="N177" s="31">
        <v>3404</v>
      </c>
      <c r="O177" s="32" t="s">
        <v>6046</v>
      </c>
      <c r="P177" s="33" t="s">
        <v>6047</v>
      </c>
      <c r="Q177" s="31" t="s">
        <v>5914</v>
      </c>
      <c r="R177" s="31" t="s">
        <v>52</v>
      </c>
      <c r="S177" s="31" t="s">
        <v>4110</v>
      </c>
      <c r="T177" s="31">
        <v>1</v>
      </c>
      <c r="U177" s="31" t="s">
        <v>1719</v>
      </c>
      <c r="V177" s="31" t="s">
        <v>6048</v>
      </c>
      <c r="W177" s="31" t="s">
        <v>6049</v>
      </c>
      <c r="X177" s="211">
        <v>45700.64166666667</v>
      </c>
      <c r="Y177" s="31" t="s">
        <v>6050</v>
      </c>
      <c r="Z177" s="31">
        <v>0.5</v>
      </c>
      <c r="AA177" s="31"/>
      <c r="AB177" s="31" t="s">
        <v>1720</v>
      </c>
      <c r="AC177" s="33" t="s">
        <v>6051</v>
      </c>
      <c r="AD177" s="31"/>
      <c r="AE177" s="31"/>
      <c r="AF177" s="31"/>
      <c r="AG177" s="31"/>
      <c r="AH177" s="31"/>
      <c r="AI177" s="31"/>
      <c r="AJ177" s="31"/>
      <c r="AK177" s="31" t="s">
        <v>1721</v>
      </c>
      <c r="AL177" s="325">
        <f t="shared" si="11"/>
        <v>45700</v>
      </c>
    </row>
    <row r="178" spans="1:38" ht="21.6" customHeight="1">
      <c r="A178" s="28">
        <v>53</v>
      </c>
      <c r="B178" s="28" t="s">
        <v>5033</v>
      </c>
      <c r="C178" s="28">
        <v>2025021558</v>
      </c>
      <c r="D178" s="28" t="s">
        <v>6052</v>
      </c>
      <c r="E178" s="28" t="s">
        <v>5035</v>
      </c>
      <c r="F178" s="28">
        <v>2221</v>
      </c>
      <c r="G178" s="28" t="s">
        <v>1434</v>
      </c>
      <c r="H178" s="28" t="s">
        <v>1722</v>
      </c>
      <c r="I178" s="28" t="s">
        <v>6053</v>
      </c>
      <c r="J178" s="28" t="s">
        <v>5096</v>
      </c>
      <c r="K178" s="28" t="s">
        <v>5067</v>
      </c>
      <c r="L178" s="28" t="s">
        <v>5749</v>
      </c>
      <c r="M178" s="29" t="s">
        <v>5750</v>
      </c>
      <c r="N178" s="28">
        <v>5902</v>
      </c>
      <c r="O178" s="29" t="s">
        <v>6054</v>
      </c>
      <c r="P178" s="30" t="s">
        <v>6055</v>
      </c>
      <c r="Q178" s="28" t="s">
        <v>4135</v>
      </c>
      <c r="R178" s="28" t="s">
        <v>52</v>
      </c>
      <c r="S178" s="28" t="s">
        <v>1157</v>
      </c>
      <c r="T178" s="28">
        <v>1</v>
      </c>
      <c r="U178" s="28" t="s">
        <v>1719</v>
      </c>
      <c r="V178" s="28" t="s">
        <v>6056</v>
      </c>
      <c r="W178" s="28" t="s">
        <v>6057</v>
      </c>
      <c r="X178" s="135">
        <v>45702.470833333333</v>
      </c>
      <c r="Y178" s="28" t="s">
        <v>6058</v>
      </c>
      <c r="Z178" s="28">
        <v>0.4</v>
      </c>
      <c r="AA178" s="28"/>
      <c r="AB178" s="28" t="s">
        <v>1720</v>
      </c>
      <c r="AC178" s="30" t="s">
        <v>6059</v>
      </c>
      <c r="AD178" s="28"/>
      <c r="AE178" s="28"/>
      <c r="AF178" s="28"/>
      <c r="AG178" s="28"/>
      <c r="AH178" s="28"/>
      <c r="AI178" s="28"/>
      <c r="AJ178" s="28"/>
      <c r="AK178" s="28" t="s">
        <v>1721</v>
      </c>
      <c r="AL178" s="325">
        <f t="shared" si="11"/>
        <v>45701</v>
      </c>
    </row>
    <row r="179" spans="1:38" ht="21.6" customHeight="1">
      <c r="A179" s="31">
        <v>54</v>
      </c>
      <c r="B179" s="31" t="s">
        <v>5033</v>
      </c>
      <c r="C179" s="31">
        <v>2025021577</v>
      </c>
      <c r="D179" s="31" t="s">
        <v>6060</v>
      </c>
      <c r="E179" s="31" t="s">
        <v>5035</v>
      </c>
      <c r="F179" s="31">
        <v>3741</v>
      </c>
      <c r="G179" s="31" t="s">
        <v>1580</v>
      </c>
      <c r="H179" s="31" t="s">
        <v>1747</v>
      </c>
      <c r="I179" s="31" t="s">
        <v>6061</v>
      </c>
      <c r="J179" s="31" t="s">
        <v>5096</v>
      </c>
      <c r="K179" s="31" t="s">
        <v>5067</v>
      </c>
      <c r="L179" s="31" t="s">
        <v>5945</v>
      </c>
      <c r="M179" s="32" t="s">
        <v>5946</v>
      </c>
      <c r="N179" s="31" t="s">
        <v>719</v>
      </c>
      <c r="O179" s="32" t="s">
        <v>5947</v>
      </c>
      <c r="P179" s="33" t="s">
        <v>6062</v>
      </c>
      <c r="Q179" s="31" t="s">
        <v>5141</v>
      </c>
      <c r="R179" s="31" t="s">
        <v>52</v>
      </c>
      <c r="S179" s="31" t="s">
        <v>4110</v>
      </c>
      <c r="T179" s="31">
        <v>1</v>
      </c>
      <c r="U179" s="31" t="s">
        <v>1719</v>
      </c>
      <c r="V179" s="31" t="s">
        <v>6063</v>
      </c>
      <c r="W179" s="31" t="s">
        <v>6064</v>
      </c>
      <c r="X179" s="211">
        <v>45701.510416666664</v>
      </c>
      <c r="Y179" s="31" t="s">
        <v>6065</v>
      </c>
      <c r="Z179" s="31">
        <v>0.3</v>
      </c>
      <c r="AA179" s="31"/>
      <c r="AB179" s="31" t="s">
        <v>1720</v>
      </c>
      <c r="AC179" s="33" t="s">
        <v>6066</v>
      </c>
      <c r="AD179" s="31"/>
      <c r="AE179" s="31"/>
      <c r="AF179" s="31"/>
      <c r="AG179" s="31"/>
      <c r="AH179" s="31"/>
      <c r="AI179" s="31"/>
      <c r="AJ179" s="31"/>
      <c r="AK179" s="31" t="s">
        <v>1721</v>
      </c>
      <c r="AL179" s="325">
        <f t="shared" si="11"/>
        <v>45701</v>
      </c>
    </row>
    <row r="180" spans="1:38" ht="21.6" customHeight="1">
      <c r="A180" s="28">
        <v>55</v>
      </c>
      <c r="B180" s="28" t="s">
        <v>5033</v>
      </c>
      <c r="C180" s="28">
        <v>2025021581</v>
      </c>
      <c r="D180" s="28" t="s">
        <v>6067</v>
      </c>
      <c r="E180" s="28" t="s">
        <v>5035</v>
      </c>
      <c r="F180" s="28">
        <v>3362</v>
      </c>
      <c r="G180" s="28" t="s">
        <v>180</v>
      </c>
      <c r="H180" s="28" t="s">
        <v>1747</v>
      </c>
      <c r="I180" s="28" t="s">
        <v>6068</v>
      </c>
      <c r="J180" s="28" t="s">
        <v>5096</v>
      </c>
      <c r="K180" s="28" t="s">
        <v>5067</v>
      </c>
      <c r="L180" s="28" t="s">
        <v>5227</v>
      </c>
      <c r="M180" s="29" t="s">
        <v>5228</v>
      </c>
      <c r="N180" s="28" t="s">
        <v>6069</v>
      </c>
      <c r="O180" s="29" t="s">
        <v>5751</v>
      </c>
      <c r="P180" s="30" t="s">
        <v>6070</v>
      </c>
      <c r="Q180" s="28" t="s">
        <v>5275</v>
      </c>
      <c r="R180" s="28" t="s">
        <v>52</v>
      </c>
      <c r="S180" s="28" t="s">
        <v>4110</v>
      </c>
      <c r="T180" s="28">
        <v>1</v>
      </c>
      <c r="U180" s="28" t="s">
        <v>1719</v>
      </c>
      <c r="V180" s="28" t="s">
        <v>6071</v>
      </c>
      <c r="W180" s="28" t="s">
        <v>6072</v>
      </c>
      <c r="X180" s="135">
        <v>45702.456944444442</v>
      </c>
      <c r="Y180" s="28" t="s">
        <v>6073</v>
      </c>
      <c r="Z180" s="28">
        <v>0.5</v>
      </c>
      <c r="AA180" s="28"/>
      <c r="AB180" s="28" t="s">
        <v>1720</v>
      </c>
      <c r="AC180" s="30" t="s">
        <v>6074</v>
      </c>
      <c r="AD180" s="28"/>
      <c r="AE180" s="28"/>
      <c r="AF180" s="28"/>
      <c r="AG180" s="28"/>
      <c r="AH180" s="28"/>
      <c r="AI180" s="28"/>
      <c r="AJ180" s="28"/>
      <c r="AK180" s="28" t="s">
        <v>1721</v>
      </c>
      <c r="AL180" s="325">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6075</v>
      </c>
      <c r="R181" s="31" t="s">
        <v>52</v>
      </c>
      <c r="S181" s="31" t="s">
        <v>4110</v>
      </c>
      <c r="T181" s="31">
        <v>1</v>
      </c>
      <c r="U181" s="31" t="s">
        <v>1719</v>
      </c>
      <c r="V181" s="31" t="s">
        <v>6076</v>
      </c>
      <c r="W181" s="31" t="s">
        <v>6077</v>
      </c>
      <c r="X181" s="211">
        <v>45701.501388888886</v>
      </c>
      <c r="Y181" s="31"/>
      <c r="Z181" s="31">
        <v>0.5</v>
      </c>
      <c r="AA181" s="31"/>
      <c r="AB181" s="31" t="s">
        <v>1720</v>
      </c>
      <c r="AC181" s="33" t="s">
        <v>4119</v>
      </c>
      <c r="AD181" s="31" t="s">
        <v>1721</v>
      </c>
      <c r="AE181" s="31"/>
      <c r="AF181" s="31"/>
      <c r="AG181" s="31"/>
      <c r="AH181" s="31"/>
      <c r="AI181" s="31"/>
      <c r="AJ181" s="31"/>
      <c r="AK181" s="31" t="s">
        <v>1721</v>
      </c>
      <c r="AL181" s="325"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5141</v>
      </c>
      <c r="R182" s="28" t="s">
        <v>52</v>
      </c>
      <c r="S182" s="28" t="s">
        <v>4110</v>
      </c>
      <c r="T182" s="28">
        <v>1</v>
      </c>
      <c r="U182" s="28" t="s">
        <v>1719</v>
      </c>
      <c r="V182" s="28" t="s">
        <v>6078</v>
      </c>
      <c r="W182" s="28" t="s">
        <v>6079</v>
      </c>
      <c r="X182" s="135">
        <v>45701.539583333331</v>
      </c>
      <c r="Y182" s="28"/>
      <c r="Z182" s="28">
        <v>0.5</v>
      </c>
      <c r="AA182" s="28"/>
      <c r="AB182" s="28" t="s">
        <v>1720</v>
      </c>
      <c r="AC182" s="30" t="s">
        <v>4119</v>
      </c>
      <c r="AD182" s="28" t="s">
        <v>1721</v>
      </c>
      <c r="AE182" s="28"/>
      <c r="AF182" s="28"/>
      <c r="AG182" s="28"/>
      <c r="AH182" s="28"/>
      <c r="AI182" s="28"/>
      <c r="AJ182" s="28"/>
      <c r="AK182" s="28" t="s">
        <v>1721</v>
      </c>
      <c r="AL182" s="325" t="e">
        <f t="shared" si="11"/>
        <v>#VALUE!</v>
      </c>
    </row>
    <row r="183" spans="1:38" ht="21.6" customHeight="1">
      <c r="A183" s="31">
        <v>58</v>
      </c>
      <c r="B183" s="31" t="s">
        <v>5033</v>
      </c>
      <c r="C183" s="31">
        <v>2025021601</v>
      </c>
      <c r="D183" s="31" t="s">
        <v>6080</v>
      </c>
      <c r="E183" s="31" t="s">
        <v>5035</v>
      </c>
      <c r="F183" s="31">
        <v>5003</v>
      </c>
      <c r="G183" s="31" t="s">
        <v>578</v>
      </c>
      <c r="H183" s="31" t="s">
        <v>3317</v>
      </c>
      <c r="I183" s="31" t="s">
        <v>6081</v>
      </c>
      <c r="J183" s="31" t="s">
        <v>5096</v>
      </c>
      <c r="K183" s="31" t="s">
        <v>5039</v>
      </c>
      <c r="L183" s="31" t="s">
        <v>5261</v>
      </c>
      <c r="M183" s="32" t="s">
        <v>5262</v>
      </c>
      <c r="N183" s="31">
        <v>5804</v>
      </c>
      <c r="O183" s="32" t="s">
        <v>5308</v>
      </c>
      <c r="P183" s="33" t="s">
        <v>6082</v>
      </c>
      <c r="Q183" s="31" t="s">
        <v>5232</v>
      </c>
      <c r="R183" s="31" t="s">
        <v>52</v>
      </c>
      <c r="S183" s="31" t="s">
        <v>16</v>
      </c>
      <c r="T183" s="31">
        <v>1</v>
      </c>
      <c r="U183" s="31" t="s">
        <v>1719</v>
      </c>
      <c r="V183" s="31" t="s">
        <v>6083</v>
      </c>
      <c r="W183" s="31" t="s">
        <v>6084</v>
      </c>
      <c r="X183" s="211">
        <v>45701.634722222225</v>
      </c>
      <c r="Y183" s="31" t="s">
        <v>6085</v>
      </c>
      <c r="Z183" s="31">
        <v>0.5</v>
      </c>
      <c r="AA183" s="31"/>
      <c r="AB183" s="31" t="s">
        <v>1720</v>
      </c>
      <c r="AC183" s="33" t="s">
        <v>6086</v>
      </c>
      <c r="AD183" s="31"/>
      <c r="AE183" s="31"/>
      <c r="AF183" s="31"/>
      <c r="AG183" s="31"/>
      <c r="AH183" s="31"/>
      <c r="AI183" s="31"/>
      <c r="AJ183" s="31"/>
      <c r="AK183" s="31" t="s">
        <v>1721</v>
      </c>
      <c r="AL183" s="325">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6087</v>
      </c>
      <c r="R184" s="28" t="s">
        <v>52</v>
      </c>
      <c r="S184" s="28" t="s">
        <v>4110</v>
      </c>
      <c r="T184" s="28">
        <v>1</v>
      </c>
      <c r="U184" s="28" t="s">
        <v>1719</v>
      </c>
      <c r="V184" s="28" t="s">
        <v>6088</v>
      </c>
      <c r="W184" s="28" t="s">
        <v>6089</v>
      </c>
      <c r="X184" s="135">
        <v>45701.588194444441</v>
      </c>
      <c r="Y184" s="28"/>
      <c r="Z184" s="28">
        <v>0.3</v>
      </c>
      <c r="AA184" s="28"/>
      <c r="AB184" s="28" t="s">
        <v>1720</v>
      </c>
      <c r="AC184" s="30" t="s">
        <v>4119</v>
      </c>
      <c r="AD184" s="28" t="s">
        <v>1721</v>
      </c>
      <c r="AE184" s="28"/>
      <c r="AF184" s="28"/>
      <c r="AG184" s="28"/>
      <c r="AH184" s="28"/>
      <c r="AI184" s="28"/>
      <c r="AJ184" s="28"/>
      <c r="AK184" s="28" t="s">
        <v>1721</v>
      </c>
      <c r="AL184" s="325" t="e">
        <f t="shared" si="11"/>
        <v>#VALUE!</v>
      </c>
    </row>
    <row r="185" spans="1:38" ht="21.6" customHeight="1">
      <c r="A185" s="31">
        <v>60</v>
      </c>
      <c r="B185" s="31" t="s">
        <v>5033</v>
      </c>
      <c r="C185" s="31">
        <v>2025021680</v>
      </c>
      <c r="D185" s="31" t="s">
        <v>6090</v>
      </c>
      <c r="E185" s="31" t="s">
        <v>5035</v>
      </c>
      <c r="F185" s="31">
        <v>4552</v>
      </c>
      <c r="G185" s="31" t="s">
        <v>434</v>
      </c>
      <c r="H185" s="31" t="s">
        <v>1748</v>
      </c>
      <c r="I185" s="31" t="s">
        <v>6091</v>
      </c>
      <c r="J185" s="31" t="s">
        <v>5096</v>
      </c>
      <c r="K185" s="31" t="s">
        <v>5039</v>
      </c>
      <c r="L185" s="31" t="s">
        <v>5271</v>
      </c>
      <c r="M185" s="32" t="s">
        <v>5272</v>
      </c>
      <c r="N185" s="31" t="s">
        <v>663</v>
      </c>
      <c r="O185" s="32" t="s">
        <v>5273</v>
      </c>
      <c r="P185" s="33" t="s">
        <v>6092</v>
      </c>
      <c r="Q185" s="31" t="s">
        <v>6093</v>
      </c>
      <c r="R185" s="31" t="s">
        <v>52</v>
      </c>
      <c r="S185" s="31" t="s">
        <v>16</v>
      </c>
      <c r="T185" s="31">
        <v>1</v>
      </c>
      <c r="U185" s="31" t="s">
        <v>1719</v>
      </c>
      <c r="V185" s="31" t="s">
        <v>6094</v>
      </c>
      <c r="W185" s="31" t="s">
        <v>6095</v>
      </c>
      <c r="X185" s="211">
        <v>45701.65625</v>
      </c>
      <c r="Y185" s="31" t="s">
        <v>6097</v>
      </c>
      <c r="Z185" s="31">
        <v>0.5</v>
      </c>
      <c r="AA185" s="31"/>
      <c r="AB185" s="31" t="s">
        <v>1720</v>
      </c>
      <c r="AC185" s="33" t="s">
        <v>6098</v>
      </c>
      <c r="AD185" s="31"/>
      <c r="AE185" s="31"/>
      <c r="AF185" s="31"/>
      <c r="AG185" s="31"/>
      <c r="AH185" s="31"/>
      <c r="AI185" s="31"/>
      <c r="AJ185" s="31"/>
      <c r="AK185" s="31" t="s">
        <v>1721</v>
      </c>
      <c r="AL185" s="325">
        <f t="shared" si="11"/>
        <v>45701</v>
      </c>
    </row>
    <row r="186" spans="1:38" ht="21.6" customHeight="1">
      <c r="A186" s="28">
        <v>61</v>
      </c>
      <c r="B186" s="28" t="s">
        <v>5033</v>
      </c>
      <c r="C186" s="28">
        <v>2025021681</v>
      </c>
      <c r="D186" s="28" t="s">
        <v>6099</v>
      </c>
      <c r="E186" s="28" t="s">
        <v>5035</v>
      </c>
      <c r="F186" s="28">
        <v>4552</v>
      </c>
      <c r="G186" s="28" t="s">
        <v>434</v>
      </c>
      <c r="H186" s="28" t="s">
        <v>1748</v>
      </c>
      <c r="I186" s="28" t="s">
        <v>6100</v>
      </c>
      <c r="J186" s="28" t="s">
        <v>5096</v>
      </c>
      <c r="K186" s="28" t="s">
        <v>5039</v>
      </c>
      <c r="L186" s="28" t="s">
        <v>5271</v>
      </c>
      <c r="M186" s="29" t="s">
        <v>5272</v>
      </c>
      <c r="N186" s="28" t="s">
        <v>663</v>
      </c>
      <c r="O186" s="29" t="s">
        <v>5273</v>
      </c>
      <c r="P186" s="30" t="s">
        <v>6101</v>
      </c>
      <c r="Q186" s="28" t="s">
        <v>6093</v>
      </c>
      <c r="R186" s="28" t="s">
        <v>52</v>
      </c>
      <c r="S186" s="28" t="s">
        <v>16</v>
      </c>
      <c r="T186" s="28">
        <v>1</v>
      </c>
      <c r="U186" s="28" t="s">
        <v>1719</v>
      </c>
      <c r="V186" s="28" t="s">
        <v>6102</v>
      </c>
      <c r="W186" s="28" t="s">
        <v>6096</v>
      </c>
      <c r="X186" s="135">
        <v>45701.677777777775</v>
      </c>
      <c r="Y186" s="28" t="s">
        <v>6097</v>
      </c>
      <c r="Z186" s="28">
        <v>0.5</v>
      </c>
      <c r="AA186" s="28"/>
      <c r="AB186" s="28" t="s">
        <v>1720</v>
      </c>
      <c r="AC186" s="30" t="s">
        <v>6103</v>
      </c>
      <c r="AD186" s="28"/>
      <c r="AE186" s="28"/>
      <c r="AF186" s="28"/>
      <c r="AG186" s="28"/>
      <c r="AH186" s="28"/>
      <c r="AI186" s="28"/>
      <c r="AJ186" s="28"/>
      <c r="AK186" s="28" t="s">
        <v>1721</v>
      </c>
      <c r="AL186" s="325">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6104</v>
      </c>
      <c r="R187" s="31" t="s">
        <v>52</v>
      </c>
      <c r="S187" s="31" t="s">
        <v>4110</v>
      </c>
      <c r="T187" s="31">
        <v>1</v>
      </c>
      <c r="U187" s="31" t="s">
        <v>1719</v>
      </c>
      <c r="V187" s="31" t="s">
        <v>6105</v>
      </c>
      <c r="W187" s="31" t="s">
        <v>6106</v>
      </c>
      <c r="X187" s="211">
        <v>45702.479861111111</v>
      </c>
      <c r="Y187" s="31"/>
      <c r="Z187" s="31">
        <v>0.3</v>
      </c>
      <c r="AA187" s="31"/>
      <c r="AB187" s="31" t="s">
        <v>1720</v>
      </c>
      <c r="AC187" s="33" t="s">
        <v>4119</v>
      </c>
      <c r="AD187" s="31" t="s">
        <v>1721</v>
      </c>
      <c r="AE187" s="31"/>
      <c r="AF187" s="31"/>
      <c r="AG187" s="31"/>
      <c r="AH187" s="31"/>
      <c r="AI187" s="31"/>
      <c r="AJ187" s="31"/>
      <c r="AK187" s="31" t="s">
        <v>1721</v>
      </c>
      <c r="AL187" s="325"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6107</v>
      </c>
      <c r="R188" s="28" t="s">
        <v>52</v>
      </c>
      <c r="S188" s="28" t="s">
        <v>4110</v>
      </c>
      <c r="T188" s="28">
        <v>1</v>
      </c>
      <c r="U188" s="28" t="s">
        <v>1719</v>
      </c>
      <c r="V188" s="28" t="s">
        <v>6108</v>
      </c>
      <c r="W188" s="28" t="s">
        <v>6109</v>
      </c>
      <c r="X188" s="135">
        <v>45702.5</v>
      </c>
      <c r="Y188" s="28"/>
      <c r="Z188" s="28">
        <v>0.3</v>
      </c>
      <c r="AA188" s="28"/>
      <c r="AB188" s="28" t="s">
        <v>1720</v>
      </c>
      <c r="AC188" s="30" t="s">
        <v>4119</v>
      </c>
      <c r="AD188" s="28" t="s">
        <v>1721</v>
      </c>
      <c r="AE188" s="28"/>
      <c r="AF188" s="28"/>
      <c r="AG188" s="28"/>
      <c r="AH188" s="28"/>
      <c r="AI188" s="28"/>
      <c r="AJ188" s="28"/>
      <c r="AK188" s="28" t="s">
        <v>1721</v>
      </c>
      <c r="AL188" s="325" t="e">
        <f t="shared" si="11"/>
        <v>#VALUE!</v>
      </c>
    </row>
    <row r="189" spans="1:38" ht="21.6" customHeight="1">
      <c r="A189" s="31">
        <v>64</v>
      </c>
      <c r="B189" s="31" t="s">
        <v>5033</v>
      </c>
      <c r="C189" s="31">
        <v>2025021773</v>
      </c>
      <c r="D189" s="31" t="s">
        <v>6110</v>
      </c>
      <c r="E189" s="31" t="s">
        <v>5035</v>
      </c>
      <c r="F189" s="31">
        <v>3878</v>
      </c>
      <c r="G189" s="31" t="s">
        <v>250</v>
      </c>
      <c r="H189" s="31" t="s">
        <v>1746</v>
      </c>
      <c r="I189" s="31" t="s">
        <v>6111</v>
      </c>
      <c r="J189" s="31" t="s">
        <v>5299</v>
      </c>
      <c r="K189" s="31" t="s">
        <v>5039</v>
      </c>
      <c r="L189" s="31" t="s">
        <v>5261</v>
      </c>
      <c r="M189" s="32" t="s">
        <v>5262</v>
      </c>
      <c r="N189" s="31">
        <v>5801</v>
      </c>
      <c r="O189" s="32" t="s">
        <v>5263</v>
      </c>
      <c r="P189" s="33" t="s">
        <v>6112</v>
      </c>
      <c r="Q189" s="31" t="s">
        <v>5934</v>
      </c>
      <c r="R189" s="31" t="s">
        <v>52</v>
      </c>
      <c r="S189" s="31" t="s">
        <v>16</v>
      </c>
      <c r="T189" s="31">
        <v>1</v>
      </c>
      <c r="U189" s="31" t="s">
        <v>1719</v>
      </c>
      <c r="V189" s="31" t="s">
        <v>6113</v>
      </c>
      <c r="W189" s="31" t="s">
        <v>6114</v>
      </c>
      <c r="X189" s="211">
        <v>45705.415972222225</v>
      </c>
      <c r="Y189" s="31" t="s">
        <v>6115</v>
      </c>
      <c r="Z189" s="31">
        <v>1</v>
      </c>
      <c r="AA189" s="31"/>
      <c r="AB189" s="31" t="s">
        <v>1720</v>
      </c>
      <c r="AC189" s="33" t="s">
        <v>6116</v>
      </c>
      <c r="AD189" s="31"/>
      <c r="AE189" s="31"/>
      <c r="AF189" s="31"/>
      <c r="AG189" s="31"/>
      <c r="AH189" s="31"/>
      <c r="AI189" s="31"/>
      <c r="AJ189" s="31"/>
      <c r="AK189" s="31" t="s">
        <v>1721</v>
      </c>
      <c r="AL189" s="325">
        <f t="shared" si="11"/>
        <v>45702</v>
      </c>
    </row>
    <row r="190" spans="1:38" ht="21.6" customHeight="1">
      <c r="A190" s="28">
        <v>65</v>
      </c>
      <c r="B190" s="28" t="s">
        <v>5033</v>
      </c>
      <c r="C190" s="28">
        <v>2025021777</v>
      </c>
      <c r="D190" s="28" t="s">
        <v>6117</v>
      </c>
      <c r="E190" s="28" t="s">
        <v>5035</v>
      </c>
      <c r="F190" s="28">
        <v>4680</v>
      </c>
      <c r="G190" s="28" t="s">
        <v>480</v>
      </c>
      <c r="H190" s="28" t="s">
        <v>1722</v>
      </c>
      <c r="I190" s="28" t="s">
        <v>6118</v>
      </c>
      <c r="J190" s="28" t="s">
        <v>5299</v>
      </c>
      <c r="K190" s="28" t="s">
        <v>5039</v>
      </c>
      <c r="L190" s="28" t="s">
        <v>5271</v>
      </c>
      <c r="M190" s="29" t="s">
        <v>5272</v>
      </c>
      <c r="N190" s="28" t="s">
        <v>663</v>
      </c>
      <c r="O190" s="29" t="s">
        <v>5273</v>
      </c>
      <c r="P190" s="30" t="s">
        <v>6119</v>
      </c>
      <c r="Q190" s="28" t="s">
        <v>5333</v>
      </c>
      <c r="R190" s="28" t="s">
        <v>52</v>
      </c>
      <c r="S190" s="28" t="s">
        <v>4110</v>
      </c>
      <c r="T190" s="28">
        <v>1</v>
      </c>
      <c r="U190" s="28" t="s">
        <v>1719</v>
      </c>
      <c r="V190" s="28" t="s">
        <v>6120</v>
      </c>
      <c r="W190" s="28" t="s">
        <v>6121</v>
      </c>
      <c r="X190" s="135">
        <v>45705.474305555559</v>
      </c>
      <c r="Y190" s="28" t="s">
        <v>6122</v>
      </c>
      <c r="Z190" s="28">
        <v>0.5</v>
      </c>
      <c r="AA190" s="28"/>
      <c r="AB190" s="28" t="s">
        <v>1720</v>
      </c>
      <c r="AC190" s="30" t="s">
        <v>6123</v>
      </c>
      <c r="AD190" s="28"/>
      <c r="AE190" s="28"/>
      <c r="AF190" s="28"/>
      <c r="AG190" s="28"/>
      <c r="AH190" s="28"/>
      <c r="AI190" s="28"/>
      <c r="AJ190" s="28"/>
      <c r="AK190" s="28" t="s">
        <v>1721</v>
      </c>
      <c r="AL190" s="325">
        <f t="shared" si="11"/>
        <v>45702</v>
      </c>
    </row>
    <row r="191" spans="1:38" ht="21.6" customHeight="1">
      <c r="A191" s="31">
        <v>66</v>
      </c>
      <c r="B191" s="31" t="s">
        <v>5033</v>
      </c>
      <c r="C191" s="31">
        <v>2025021780</v>
      </c>
      <c r="D191" s="31" t="s">
        <v>6124</v>
      </c>
      <c r="E191" s="31" t="s">
        <v>5035</v>
      </c>
      <c r="F191" s="31">
        <v>5245</v>
      </c>
      <c r="G191" s="31" t="s">
        <v>5297</v>
      </c>
      <c r="H191" s="31" t="s">
        <v>1747</v>
      </c>
      <c r="I191" s="31" t="s">
        <v>6125</v>
      </c>
      <c r="J191" s="31" t="s">
        <v>5299</v>
      </c>
      <c r="K191" s="31" t="s">
        <v>5039</v>
      </c>
      <c r="L191" s="31" t="s">
        <v>5068</v>
      </c>
      <c r="M191" s="32" t="s">
        <v>1723</v>
      </c>
      <c r="N191" s="31">
        <v>2307</v>
      </c>
      <c r="O191" s="32" t="s">
        <v>5383</v>
      </c>
      <c r="P191" s="33" t="s">
        <v>6126</v>
      </c>
      <c r="Q191" s="31" t="s">
        <v>5301</v>
      </c>
      <c r="R191" s="31" t="s">
        <v>52</v>
      </c>
      <c r="S191" s="31" t="s">
        <v>4110</v>
      </c>
      <c r="T191" s="31">
        <v>1</v>
      </c>
      <c r="U191" s="31" t="s">
        <v>1719</v>
      </c>
      <c r="V191" s="31" t="s">
        <v>6127</v>
      </c>
      <c r="W191" s="31" t="s">
        <v>6128</v>
      </c>
      <c r="X191" s="211">
        <v>45702.620138888888</v>
      </c>
      <c r="Y191" s="31" t="s">
        <v>6129</v>
      </c>
      <c r="Z191" s="31">
        <v>0.6</v>
      </c>
      <c r="AA191" s="31"/>
      <c r="AB191" s="31" t="s">
        <v>1720</v>
      </c>
      <c r="AC191" s="33" t="s">
        <v>6130</v>
      </c>
      <c r="AD191" s="31"/>
      <c r="AE191" s="31"/>
      <c r="AF191" s="31"/>
      <c r="AG191" s="31"/>
      <c r="AH191" s="31"/>
      <c r="AI191" s="31"/>
      <c r="AJ191" s="31"/>
      <c r="AK191" s="31" t="s">
        <v>1721</v>
      </c>
      <c r="AL191" s="325">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6131</v>
      </c>
      <c r="R192" s="28" t="s">
        <v>52</v>
      </c>
      <c r="S192" s="28" t="s">
        <v>4110</v>
      </c>
      <c r="T192" s="28">
        <v>1</v>
      </c>
      <c r="U192" s="28" t="s">
        <v>1719</v>
      </c>
      <c r="V192" s="28" t="s">
        <v>6132</v>
      </c>
      <c r="W192" s="28" t="s">
        <v>6133</v>
      </c>
      <c r="X192" s="135">
        <v>45702.59375</v>
      </c>
      <c r="Y192" s="28"/>
      <c r="Z192" s="28">
        <v>0.3</v>
      </c>
      <c r="AA192" s="28"/>
      <c r="AB192" s="28" t="s">
        <v>1720</v>
      </c>
      <c r="AC192" s="30" t="s">
        <v>4119</v>
      </c>
      <c r="AD192" s="28" t="s">
        <v>1721</v>
      </c>
      <c r="AE192" s="28"/>
      <c r="AF192" s="28"/>
      <c r="AG192" s="28"/>
      <c r="AH192" s="28"/>
      <c r="AI192" s="28"/>
      <c r="AJ192" s="28"/>
      <c r="AK192" s="28" t="s">
        <v>1721</v>
      </c>
      <c r="AL192" s="325"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6134</v>
      </c>
      <c r="R193" s="31" t="s">
        <v>52</v>
      </c>
      <c r="S193" s="31" t="s">
        <v>4110</v>
      </c>
      <c r="T193" s="31">
        <v>1</v>
      </c>
      <c r="U193" s="31" t="s">
        <v>1719</v>
      </c>
      <c r="V193" s="31" t="s">
        <v>6135</v>
      </c>
      <c r="W193" s="31" t="s">
        <v>6136</v>
      </c>
      <c r="X193" s="211">
        <v>45702.64166666667</v>
      </c>
      <c r="Y193" s="31"/>
      <c r="Z193" s="31">
        <v>0.3</v>
      </c>
      <c r="AA193" s="31"/>
      <c r="AB193" s="31" t="s">
        <v>1720</v>
      </c>
      <c r="AC193" s="33" t="s">
        <v>4119</v>
      </c>
      <c r="AD193" s="31" t="s">
        <v>1721</v>
      </c>
      <c r="AE193" s="31"/>
      <c r="AF193" s="31"/>
      <c r="AG193" s="31"/>
      <c r="AH193" s="31"/>
      <c r="AI193" s="31"/>
      <c r="AJ193" s="31"/>
      <c r="AK193" s="31" t="s">
        <v>1721</v>
      </c>
      <c r="AL193" s="325"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6137</v>
      </c>
      <c r="R194" s="28" t="s">
        <v>52</v>
      </c>
      <c r="S194" s="28" t="s">
        <v>4110</v>
      </c>
      <c r="T194" s="28">
        <v>1</v>
      </c>
      <c r="U194" s="28" t="s">
        <v>1719</v>
      </c>
      <c r="V194" s="28" t="s">
        <v>6138</v>
      </c>
      <c r="W194" s="28" t="s">
        <v>6139</v>
      </c>
      <c r="X194" s="135">
        <v>45702.684027777781</v>
      </c>
      <c r="Y194" s="28"/>
      <c r="Z194" s="28">
        <v>0.4</v>
      </c>
      <c r="AA194" s="28"/>
      <c r="AB194" s="28" t="s">
        <v>1720</v>
      </c>
      <c r="AC194" s="30" t="s">
        <v>4119</v>
      </c>
      <c r="AD194" s="28" t="s">
        <v>1721</v>
      </c>
      <c r="AE194" s="28"/>
      <c r="AF194" s="28"/>
      <c r="AG194" s="28"/>
      <c r="AH194" s="28"/>
      <c r="AI194" s="28"/>
      <c r="AJ194" s="28"/>
      <c r="AK194" s="28" t="s">
        <v>1721</v>
      </c>
      <c r="AL194" s="325" t="e">
        <f t="shared" ref="AL194:AL257" si="12">DATEVALUE(TEXT(I194, "yyyy/mm/dd"))</f>
        <v>#VALUE!</v>
      </c>
    </row>
    <row r="195" spans="1:38" ht="21.6" customHeight="1">
      <c r="A195" s="31">
        <v>70</v>
      </c>
      <c r="B195" s="31" t="s">
        <v>5033</v>
      </c>
      <c r="C195" s="31">
        <v>2025021829</v>
      </c>
      <c r="D195" s="31" t="s">
        <v>6140</v>
      </c>
      <c r="E195" s="31" t="s">
        <v>5035</v>
      </c>
      <c r="F195" s="31">
        <v>4167</v>
      </c>
      <c r="G195" s="31" t="s">
        <v>319</v>
      </c>
      <c r="H195" s="31" t="s">
        <v>1722</v>
      </c>
      <c r="I195" s="31" t="s">
        <v>6141</v>
      </c>
      <c r="J195" s="31" t="s">
        <v>5575</v>
      </c>
      <c r="K195" s="31" t="s">
        <v>5039</v>
      </c>
      <c r="L195" s="31" t="s">
        <v>5068</v>
      </c>
      <c r="M195" s="32" t="s">
        <v>1723</v>
      </c>
      <c r="N195" s="31">
        <v>2307</v>
      </c>
      <c r="O195" s="32" t="s">
        <v>5383</v>
      </c>
      <c r="P195" s="33" t="s">
        <v>6142</v>
      </c>
      <c r="Q195" s="31" t="s">
        <v>5993</v>
      </c>
      <c r="R195" s="31" t="s">
        <v>52</v>
      </c>
      <c r="S195" s="31" t="s">
        <v>1157</v>
      </c>
      <c r="T195" s="31">
        <v>1</v>
      </c>
      <c r="U195" s="31" t="s">
        <v>1719</v>
      </c>
      <c r="V195" s="31" t="s">
        <v>6143</v>
      </c>
      <c r="W195" s="31" t="s">
        <v>6144</v>
      </c>
      <c r="X195" s="211">
        <v>45705.638888888891</v>
      </c>
      <c r="Y195" s="31" t="s">
        <v>6145</v>
      </c>
      <c r="Z195" s="31">
        <v>1.2</v>
      </c>
      <c r="AA195" s="31"/>
      <c r="AB195" s="31" t="s">
        <v>1720</v>
      </c>
      <c r="AC195" s="33" t="s">
        <v>6146</v>
      </c>
      <c r="AD195" s="31"/>
      <c r="AE195" s="31"/>
      <c r="AF195" s="31"/>
      <c r="AG195" s="31"/>
      <c r="AH195" s="31"/>
      <c r="AI195" s="31"/>
      <c r="AJ195" s="31"/>
      <c r="AK195" s="31" t="s">
        <v>1721</v>
      </c>
      <c r="AL195" s="325">
        <f t="shared" si="12"/>
        <v>45703</v>
      </c>
    </row>
    <row r="196" spans="1:38" ht="21.6" customHeight="1">
      <c r="A196" s="28">
        <v>71</v>
      </c>
      <c r="B196" s="28" t="s">
        <v>5033</v>
      </c>
      <c r="C196" s="28">
        <v>2025021843</v>
      </c>
      <c r="D196" s="28" t="s">
        <v>6147</v>
      </c>
      <c r="E196" s="28" t="s">
        <v>5035</v>
      </c>
      <c r="F196" s="28">
        <v>2890</v>
      </c>
      <c r="G196" s="28" t="s">
        <v>4421</v>
      </c>
      <c r="H196" s="28" t="s">
        <v>1725</v>
      </c>
      <c r="I196" s="28" t="s">
        <v>6148</v>
      </c>
      <c r="J196" s="28" t="s">
        <v>5038</v>
      </c>
      <c r="K196" s="28" t="s">
        <v>5067</v>
      </c>
      <c r="L196" s="28" t="s">
        <v>6030</v>
      </c>
      <c r="M196" s="29" t="s">
        <v>6031</v>
      </c>
      <c r="N196" s="28">
        <v>6003</v>
      </c>
      <c r="O196" s="29" t="s">
        <v>5751</v>
      </c>
      <c r="P196" s="30" t="s">
        <v>6149</v>
      </c>
      <c r="Q196" s="28" t="s">
        <v>6150</v>
      </c>
      <c r="R196" s="28" t="s">
        <v>52</v>
      </c>
      <c r="S196" s="28" t="s">
        <v>4110</v>
      </c>
      <c r="T196" s="28">
        <v>1</v>
      </c>
      <c r="U196" s="28" t="s">
        <v>1719</v>
      </c>
      <c r="V196" s="28" t="s">
        <v>6151</v>
      </c>
      <c r="W196" s="28" t="s">
        <v>6152</v>
      </c>
      <c r="X196" s="135">
        <v>45705.506944444445</v>
      </c>
      <c r="Y196" s="28" t="s">
        <v>6153</v>
      </c>
      <c r="Z196" s="28">
        <v>0.2</v>
      </c>
      <c r="AA196" s="28"/>
      <c r="AB196" s="28" t="s">
        <v>1720</v>
      </c>
      <c r="AC196" s="30" t="s">
        <v>6154</v>
      </c>
      <c r="AD196" s="28"/>
      <c r="AE196" s="28"/>
      <c r="AF196" s="28"/>
      <c r="AG196" s="28"/>
      <c r="AH196" s="28"/>
      <c r="AI196" s="28"/>
      <c r="AJ196" s="28"/>
      <c r="AK196" s="28" t="s">
        <v>1721</v>
      </c>
      <c r="AL196" s="325">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6155</v>
      </c>
      <c r="R197" s="31" t="s">
        <v>52</v>
      </c>
      <c r="S197" s="31" t="s">
        <v>16</v>
      </c>
      <c r="T197" s="31">
        <v>1</v>
      </c>
      <c r="U197" s="31" t="s">
        <v>1719</v>
      </c>
      <c r="V197" s="31" t="s">
        <v>6156</v>
      </c>
      <c r="W197" s="31" t="s">
        <v>6157</v>
      </c>
      <c r="X197" s="211">
        <v>45705.4375</v>
      </c>
      <c r="Y197" s="31"/>
      <c r="Z197" s="31">
        <v>0.3</v>
      </c>
      <c r="AA197" s="31"/>
      <c r="AB197" s="31" t="s">
        <v>1720</v>
      </c>
      <c r="AC197" s="33" t="s">
        <v>4119</v>
      </c>
      <c r="AD197" s="31" t="s">
        <v>1721</v>
      </c>
      <c r="AE197" s="31"/>
      <c r="AF197" s="31"/>
      <c r="AG197" s="31"/>
      <c r="AH197" s="31"/>
      <c r="AI197" s="31"/>
      <c r="AJ197" s="31"/>
      <c r="AK197" s="31" t="s">
        <v>1721</v>
      </c>
      <c r="AL197" s="325"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5126</v>
      </c>
      <c r="R198" s="28" t="s">
        <v>52</v>
      </c>
      <c r="S198" s="28" t="s">
        <v>16</v>
      </c>
      <c r="T198" s="28">
        <v>1</v>
      </c>
      <c r="U198" s="28" t="s">
        <v>1719</v>
      </c>
      <c r="V198" s="28" t="s">
        <v>6158</v>
      </c>
      <c r="W198" s="28" t="s">
        <v>6159</v>
      </c>
      <c r="X198" s="135">
        <v>45705.458333333336</v>
      </c>
      <c r="Y198" s="28"/>
      <c r="Z198" s="28">
        <v>0.3</v>
      </c>
      <c r="AA198" s="28"/>
      <c r="AB198" s="28" t="s">
        <v>1720</v>
      </c>
      <c r="AC198" s="30" t="s">
        <v>4119</v>
      </c>
      <c r="AD198" s="28" t="s">
        <v>1721</v>
      </c>
      <c r="AE198" s="28"/>
      <c r="AF198" s="28"/>
      <c r="AG198" s="28"/>
      <c r="AH198" s="28"/>
      <c r="AI198" s="28"/>
      <c r="AJ198" s="28"/>
      <c r="AK198" s="28" t="s">
        <v>1721</v>
      </c>
      <c r="AL198" s="325"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6160</v>
      </c>
      <c r="R199" s="31" t="s">
        <v>52</v>
      </c>
      <c r="S199" s="31" t="s">
        <v>16</v>
      </c>
      <c r="T199" s="31">
        <v>1</v>
      </c>
      <c r="U199" s="31" t="s">
        <v>1719</v>
      </c>
      <c r="V199" s="31" t="s">
        <v>6161</v>
      </c>
      <c r="W199" s="31" t="s">
        <v>6162</v>
      </c>
      <c r="X199" s="211">
        <v>45705.472222222219</v>
      </c>
      <c r="Y199" s="31"/>
      <c r="Z199" s="31">
        <v>0.3</v>
      </c>
      <c r="AA199" s="31"/>
      <c r="AB199" s="31" t="s">
        <v>1720</v>
      </c>
      <c r="AC199" s="33" t="s">
        <v>4119</v>
      </c>
      <c r="AD199" s="31" t="s">
        <v>1721</v>
      </c>
      <c r="AE199" s="31"/>
      <c r="AF199" s="31"/>
      <c r="AG199" s="31"/>
      <c r="AH199" s="31"/>
      <c r="AI199" s="31"/>
      <c r="AJ199" s="31"/>
      <c r="AK199" s="31" t="s">
        <v>1721</v>
      </c>
      <c r="AL199" s="325"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6150</v>
      </c>
      <c r="R200" s="28" t="s">
        <v>52</v>
      </c>
      <c r="S200" s="28" t="s">
        <v>4110</v>
      </c>
      <c r="T200" s="28">
        <v>1</v>
      </c>
      <c r="U200" s="28" t="s">
        <v>1719</v>
      </c>
      <c r="V200" s="28" t="s">
        <v>6163</v>
      </c>
      <c r="W200" s="28" t="s">
        <v>6164</v>
      </c>
      <c r="X200" s="135">
        <v>45705.520833333336</v>
      </c>
      <c r="Y200" s="28"/>
      <c r="Z200" s="28">
        <v>0.3</v>
      </c>
      <c r="AA200" s="28"/>
      <c r="AB200" s="28" t="s">
        <v>1720</v>
      </c>
      <c r="AC200" s="30" t="s">
        <v>4119</v>
      </c>
      <c r="AD200" s="28" t="s">
        <v>1721</v>
      </c>
      <c r="AE200" s="28"/>
      <c r="AF200" s="28"/>
      <c r="AG200" s="28"/>
      <c r="AH200" s="28"/>
      <c r="AI200" s="28"/>
      <c r="AJ200" s="28"/>
      <c r="AK200" s="28" t="s">
        <v>1721</v>
      </c>
      <c r="AL200" s="325"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5113</v>
      </c>
      <c r="R201" s="31" t="s">
        <v>52</v>
      </c>
      <c r="S201" s="31" t="s">
        <v>16</v>
      </c>
      <c r="T201" s="31">
        <v>1</v>
      </c>
      <c r="U201" s="31" t="s">
        <v>1719</v>
      </c>
      <c r="V201" s="31" t="s">
        <v>6165</v>
      </c>
      <c r="W201" s="31" t="s">
        <v>6166</v>
      </c>
      <c r="X201" s="211">
        <v>45705.548611111109</v>
      </c>
      <c r="Y201" s="31"/>
      <c r="Z201" s="31">
        <v>0.3</v>
      </c>
      <c r="AA201" s="31"/>
      <c r="AB201" s="31" t="s">
        <v>1720</v>
      </c>
      <c r="AC201" s="33" t="s">
        <v>4119</v>
      </c>
      <c r="AD201" s="31" t="s">
        <v>1721</v>
      </c>
      <c r="AE201" s="31"/>
      <c r="AF201" s="31"/>
      <c r="AG201" s="31"/>
      <c r="AH201" s="31"/>
      <c r="AI201" s="31"/>
      <c r="AJ201" s="31"/>
      <c r="AK201" s="31" t="s">
        <v>1721</v>
      </c>
      <c r="AL201" s="325" t="e">
        <f t="shared" si="12"/>
        <v>#VALUE!</v>
      </c>
    </row>
    <row r="202" spans="1:38" ht="21.6" customHeight="1">
      <c r="A202" s="28">
        <v>77</v>
      </c>
      <c r="B202" s="28" t="s">
        <v>5033</v>
      </c>
      <c r="C202" s="28">
        <v>2025022007</v>
      </c>
      <c r="D202" s="28" t="s">
        <v>6167</v>
      </c>
      <c r="E202" s="28" t="s">
        <v>5035</v>
      </c>
      <c r="F202" s="28">
        <v>4167</v>
      </c>
      <c r="G202" s="28" t="s">
        <v>319</v>
      </c>
      <c r="H202" s="28" t="s">
        <v>1722</v>
      </c>
      <c r="I202" s="28" t="s">
        <v>6168</v>
      </c>
      <c r="J202" s="28" t="s">
        <v>5252</v>
      </c>
      <c r="K202" s="28" t="s">
        <v>5067</v>
      </c>
      <c r="L202" s="28" t="s">
        <v>5271</v>
      </c>
      <c r="M202" s="29" t="s">
        <v>5272</v>
      </c>
      <c r="N202" s="28" t="s">
        <v>663</v>
      </c>
      <c r="O202" s="29" t="s">
        <v>5273</v>
      </c>
      <c r="P202" s="30" t="s">
        <v>6169</v>
      </c>
      <c r="Q202" s="28" t="s">
        <v>5993</v>
      </c>
      <c r="R202" s="28" t="s">
        <v>52</v>
      </c>
      <c r="S202" s="28" t="s">
        <v>1157</v>
      </c>
      <c r="T202" s="28">
        <v>1</v>
      </c>
      <c r="U202" s="28" t="s">
        <v>1719</v>
      </c>
      <c r="V202" s="28" t="s">
        <v>6170</v>
      </c>
      <c r="W202" s="28" t="s">
        <v>6171</v>
      </c>
      <c r="X202" s="135">
        <v>45706.510416666664</v>
      </c>
      <c r="Y202" s="28" t="s">
        <v>6172</v>
      </c>
      <c r="Z202" s="28">
        <v>0.4</v>
      </c>
      <c r="AA202" s="28"/>
      <c r="AB202" s="28" t="s">
        <v>1720</v>
      </c>
      <c r="AC202" s="30" t="s">
        <v>6173</v>
      </c>
      <c r="AD202" s="28"/>
      <c r="AE202" s="28"/>
      <c r="AF202" s="28"/>
      <c r="AG202" s="28"/>
      <c r="AH202" s="28"/>
      <c r="AI202" s="28"/>
      <c r="AJ202" s="28"/>
      <c r="AK202" s="28" t="s">
        <v>1721</v>
      </c>
      <c r="AL202" s="325">
        <f t="shared" si="12"/>
        <v>45706</v>
      </c>
    </row>
    <row r="203" spans="1:38" ht="21.6" customHeight="1">
      <c r="A203" s="31">
        <v>78</v>
      </c>
      <c r="B203" s="31" t="s">
        <v>5033</v>
      </c>
      <c r="C203" s="31">
        <v>2025022008</v>
      </c>
      <c r="D203" s="31" t="s">
        <v>6174</v>
      </c>
      <c r="E203" s="31" t="s">
        <v>5035</v>
      </c>
      <c r="F203" s="31">
        <v>4352</v>
      </c>
      <c r="G203" s="31" t="s">
        <v>370</v>
      </c>
      <c r="H203" s="31" t="s">
        <v>1747</v>
      </c>
      <c r="I203" s="31" t="s">
        <v>6175</v>
      </c>
      <c r="J203" s="31" t="s">
        <v>5252</v>
      </c>
      <c r="K203" s="31" t="s">
        <v>5451</v>
      </c>
      <c r="L203" s="31" t="s">
        <v>5227</v>
      </c>
      <c r="M203" s="32" t="s">
        <v>5228</v>
      </c>
      <c r="N203" s="31" t="s">
        <v>5540</v>
      </c>
      <c r="O203" s="32" t="s">
        <v>5541</v>
      </c>
      <c r="P203" s="33" t="s">
        <v>6176</v>
      </c>
      <c r="Q203" s="31" t="s">
        <v>6177</v>
      </c>
      <c r="R203" s="31" t="s">
        <v>52</v>
      </c>
      <c r="S203" s="31" t="s">
        <v>4110</v>
      </c>
      <c r="T203" s="31">
        <v>1</v>
      </c>
      <c r="U203" s="31" t="s">
        <v>1719</v>
      </c>
      <c r="V203" s="31" t="s">
        <v>6178</v>
      </c>
      <c r="W203" s="31" t="s">
        <v>6179</v>
      </c>
      <c r="X203" s="211">
        <v>45706.445138888892</v>
      </c>
      <c r="Y203" s="31" t="s">
        <v>6180</v>
      </c>
      <c r="Z203" s="31">
        <v>0.2</v>
      </c>
      <c r="AA203" s="31"/>
      <c r="AB203" s="31" t="s">
        <v>1720</v>
      </c>
      <c r="AC203" s="33" t="s">
        <v>6181</v>
      </c>
      <c r="AD203" s="31"/>
      <c r="AE203" s="31"/>
      <c r="AF203" s="31"/>
      <c r="AG203" s="31"/>
      <c r="AH203" s="31"/>
      <c r="AI203" s="31"/>
      <c r="AJ203" s="31"/>
      <c r="AK203" s="31" t="s">
        <v>1721</v>
      </c>
      <c r="AL203" s="325">
        <f t="shared" si="12"/>
        <v>45706</v>
      </c>
    </row>
    <row r="204" spans="1:38" ht="21.6" customHeight="1">
      <c r="A204" s="28">
        <v>79</v>
      </c>
      <c r="B204" s="28" t="s">
        <v>5033</v>
      </c>
      <c r="C204" s="28">
        <v>2025022046</v>
      </c>
      <c r="D204" s="28" t="s">
        <v>6182</v>
      </c>
      <c r="E204" s="28" t="s">
        <v>5035</v>
      </c>
      <c r="F204" s="28">
        <v>4923</v>
      </c>
      <c r="G204" s="28" t="s">
        <v>559</v>
      </c>
      <c r="H204" s="28" t="s">
        <v>1725</v>
      </c>
      <c r="I204" s="28" t="s">
        <v>6183</v>
      </c>
      <c r="J204" s="28" t="s">
        <v>5252</v>
      </c>
      <c r="K204" s="28" t="s">
        <v>5067</v>
      </c>
      <c r="L204" s="28" t="s">
        <v>5068</v>
      </c>
      <c r="M204" s="29" t="s">
        <v>1723</v>
      </c>
      <c r="N204" s="28">
        <v>2307</v>
      </c>
      <c r="O204" s="29" t="s">
        <v>5383</v>
      </c>
      <c r="P204" s="30" t="s">
        <v>6184</v>
      </c>
      <c r="Q204" s="28" t="s">
        <v>6185</v>
      </c>
      <c r="R204" s="28" t="s">
        <v>52</v>
      </c>
      <c r="S204" s="28" t="s">
        <v>4110</v>
      </c>
      <c r="T204" s="28">
        <v>1</v>
      </c>
      <c r="U204" s="28" t="s">
        <v>1719</v>
      </c>
      <c r="V204" s="28" t="s">
        <v>6186</v>
      </c>
      <c r="W204" s="28" t="s">
        <v>6187</v>
      </c>
      <c r="X204" s="135">
        <v>45706.715277777781</v>
      </c>
      <c r="Y204" s="28" t="s">
        <v>6188</v>
      </c>
      <c r="Z204" s="28">
        <v>0.5</v>
      </c>
      <c r="AA204" s="28"/>
      <c r="AB204" s="28" t="s">
        <v>1720</v>
      </c>
      <c r="AC204" s="30" t="s">
        <v>6189</v>
      </c>
      <c r="AD204" s="28"/>
      <c r="AE204" s="28"/>
      <c r="AF204" s="28"/>
      <c r="AG204" s="28"/>
      <c r="AH204" s="28"/>
      <c r="AI204" s="28"/>
      <c r="AJ204" s="28"/>
      <c r="AK204" s="28" t="s">
        <v>1721</v>
      </c>
      <c r="AL204" s="325">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6185</v>
      </c>
      <c r="R205" s="31" t="s">
        <v>52</v>
      </c>
      <c r="S205" s="31" t="s">
        <v>4110</v>
      </c>
      <c r="T205" s="31">
        <v>1</v>
      </c>
      <c r="U205" s="31" t="s">
        <v>1719</v>
      </c>
      <c r="V205" s="31" t="s">
        <v>6190</v>
      </c>
      <c r="W205" s="31" t="s">
        <v>6191</v>
      </c>
      <c r="X205" s="211">
        <v>45706.719444444447</v>
      </c>
      <c r="Y205" s="31"/>
      <c r="Z205" s="31">
        <v>0.3</v>
      </c>
      <c r="AA205" s="31"/>
      <c r="AB205" s="31" t="s">
        <v>1720</v>
      </c>
      <c r="AC205" s="33" t="s">
        <v>4119</v>
      </c>
      <c r="AD205" s="31" t="s">
        <v>1721</v>
      </c>
      <c r="AE205" s="31"/>
      <c r="AF205" s="31"/>
      <c r="AG205" s="31"/>
      <c r="AH205" s="31"/>
      <c r="AI205" s="31"/>
      <c r="AJ205" s="31"/>
      <c r="AK205" s="31" t="s">
        <v>1721</v>
      </c>
      <c r="AL205" s="325" t="e">
        <f t="shared" si="12"/>
        <v>#VALUE!</v>
      </c>
    </row>
    <row r="206" spans="1:38" ht="21.6" customHeight="1">
      <c r="A206" s="28">
        <v>81</v>
      </c>
      <c r="B206" s="28" t="s">
        <v>5033</v>
      </c>
      <c r="C206" s="28">
        <v>2025022275</v>
      </c>
      <c r="D206" s="28" t="s">
        <v>6192</v>
      </c>
      <c r="E206" s="28" t="s">
        <v>5035</v>
      </c>
      <c r="F206" s="28">
        <v>2349</v>
      </c>
      <c r="G206" s="28" t="s">
        <v>4083</v>
      </c>
      <c r="H206" s="28" t="s">
        <v>1747</v>
      </c>
      <c r="I206" s="28" t="s">
        <v>6193</v>
      </c>
      <c r="J206" s="28" t="s">
        <v>5066</v>
      </c>
      <c r="K206" s="28" t="s">
        <v>5039</v>
      </c>
      <c r="L206" s="28" t="s">
        <v>6030</v>
      </c>
      <c r="M206" s="29" t="s">
        <v>6031</v>
      </c>
      <c r="N206" s="28">
        <v>6004</v>
      </c>
      <c r="O206" s="29" t="s">
        <v>5541</v>
      </c>
      <c r="P206" s="30" t="s">
        <v>6194</v>
      </c>
      <c r="Q206" s="28" t="s">
        <v>6195</v>
      </c>
      <c r="R206" s="28" t="s">
        <v>52</v>
      </c>
      <c r="S206" s="28" t="s">
        <v>4110</v>
      </c>
      <c r="T206" s="28">
        <v>1</v>
      </c>
      <c r="U206" s="28" t="s">
        <v>1719</v>
      </c>
      <c r="V206" s="28" t="s">
        <v>6196</v>
      </c>
      <c r="W206" s="28" t="s">
        <v>6197</v>
      </c>
      <c r="X206" s="135">
        <v>45708.456250000003</v>
      </c>
      <c r="Y206" s="28" t="s">
        <v>6198</v>
      </c>
      <c r="Z206" s="28">
        <v>0.5</v>
      </c>
      <c r="AA206" s="28"/>
      <c r="AB206" s="28" t="s">
        <v>1720</v>
      </c>
      <c r="AC206" s="30" t="s">
        <v>6199</v>
      </c>
      <c r="AD206" s="28"/>
      <c r="AE206" s="28"/>
      <c r="AF206" s="28"/>
      <c r="AG206" s="28"/>
      <c r="AH206" s="28"/>
      <c r="AI206" s="28"/>
      <c r="AJ206" s="28"/>
      <c r="AK206" s="28" t="s">
        <v>1721</v>
      </c>
      <c r="AL206" s="325">
        <f t="shared" si="12"/>
        <v>45707</v>
      </c>
    </row>
    <row r="207" spans="1:38" ht="21.6" customHeight="1">
      <c r="A207" s="31">
        <v>82</v>
      </c>
      <c r="B207" s="31" t="s">
        <v>5033</v>
      </c>
      <c r="C207" s="31">
        <v>2025022338</v>
      </c>
      <c r="D207" s="31" t="s">
        <v>6200</v>
      </c>
      <c r="E207" s="31" t="s">
        <v>5503</v>
      </c>
      <c r="F207" s="31">
        <v>4083</v>
      </c>
      <c r="G207" s="31" t="s">
        <v>1514</v>
      </c>
      <c r="H207" s="31" t="s">
        <v>1747</v>
      </c>
      <c r="I207" s="31" t="s">
        <v>6201</v>
      </c>
      <c r="J207" s="31" t="s">
        <v>5066</v>
      </c>
      <c r="K207" s="31" t="s">
        <v>5039</v>
      </c>
      <c r="L207" s="31" t="s">
        <v>5749</v>
      </c>
      <c r="M207" s="32" t="s">
        <v>5750</v>
      </c>
      <c r="N207" s="31">
        <v>5903</v>
      </c>
      <c r="O207" s="32" t="s">
        <v>5751</v>
      </c>
      <c r="P207" s="33" t="s">
        <v>6202</v>
      </c>
      <c r="Q207" s="31" t="s">
        <v>5940</v>
      </c>
      <c r="R207" s="31" t="s">
        <v>52</v>
      </c>
      <c r="S207" s="31" t="s">
        <v>4110</v>
      </c>
      <c r="T207" s="31">
        <v>1</v>
      </c>
      <c r="U207" s="31" t="s">
        <v>1719</v>
      </c>
      <c r="V207" s="31" t="s">
        <v>6203</v>
      </c>
      <c r="W207" s="31" t="s">
        <v>6204</v>
      </c>
      <c r="X207" s="211">
        <v>45707.770833333336</v>
      </c>
      <c r="Y207" s="31" t="s">
        <v>6205</v>
      </c>
      <c r="Z207" s="31">
        <v>0.6</v>
      </c>
      <c r="AA207" s="31"/>
      <c r="AB207" s="31" t="s">
        <v>1720</v>
      </c>
      <c r="AC207" s="33" t="s">
        <v>6206</v>
      </c>
      <c r="AD207" s="31"/>
      <c r="AE207" s="31"/>
      <c r="AF207" s="31"/>
      <c r="AG207" s="31"/>
      <c r="AH207" s="31"/>
      <c r="AI207" s="31"/>
      <c r="AJ207" s="31"/>
      <c r="AK207" s="31" t="s">
        <v>1721</v>
      </c>
      <c r="AL207" s="325">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6195</v>
      </c>
      <c r="R208" s="28" t="s">
        <v>52</v>
      </c>
      <c r="S208" s="28" t="s">
        <v>4110</v>
      </c>
      <c r="T208" s="28">
        <v>1</v>
      </c>
      <c r="U208" s="28" t="s">
        <v>1719</v>
      </c>
      <c r="V208" s="28" t="s">
        <v>6207</v>
      </c>
      <c r="W208" s="28" t="s">
        <v>6208</v>
      </c>
      <c r="X208" s="135">
        <v>45708.47152777778</v>
      </c>
      <c r="Y208" s="28"/>
      <c r="Z208" s="28">
        <v>0.3</v>
      </c>
      <c r="AA208" s="28"/>
      <c r="AB208" s="28" t="s">
        <v>1720</v>
      </c>
      <c r="AC208" s="30" t="s">
        <v>4119</v>
      </c>
      <c r="AD208" s="28" t="s">
        <v>1721</v>
      </c>
      <c r="AE208" s="28"/>
      <c r="AF208" s="28"/>
      <c r="AG208" s="28"/>
      <c r="AH208" s="28"/>
      <c r="AI208" s="28"/>
      <c r="AJ208" s="28"/>
      <c r="AK208" s="28" t="s">
        <v>1721</v>
      </c>
      <c r="AL208" s="325"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6209</v>
      </c>
      <c r="R209" s="31" t="s">
        <v>52</v>
      </c>
      <c r="S209" s="31" t="s">
        <v>4110</v>
      </c>
      <c r="T209" s="31">
        <v>1</v>
      </c>
      <c r="U209" s="31" t="s">
        <v>1719</v>
      </c>
      <c r="V209" s="31" t="s">
        <v>6210</v>
      </c>
      <c r="W209" s="31" t="s">
        <v>6211</v>
      </c>
      <c r="X209" s="211">
        <v>45708.584722222222</v>
      </c>
      <c r="Y209" s="31"/>
      <c r="Z209" s="31">
        <v>0.3</v>
      </c>
      <c r="AA209" s="31"/>
      <c r="AB209" s="31" t="s">
        <v>1720</v>
      </c>
      <c r="AC209" s="33" t="s">
        <v>4119</v>
      </c>
      <c r="AD209" s="31" t="s">
        <v>1721</v>
      </c>
      <c r="AE209" s="31"/>
      <c r="AF209" s="31"/>
      <c r="AG209" s="31"/>
      <c r="AH209" s="31"/>
      <c r="AI209" s="31"/>
      <c r="AJ209" s="31"/>
      <c r="AK209" s="31" t="s">
        <v>1721</v>
      </c>
      <c r="AL209" s="325"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6212</v>
      </c>
      <c r="R210" s="28" t="s">
        <v>52</v>
      </c>
      <c r="S210" s="28" t="s">
        <v>4110</v>
      </c>
      <c r="T210" s="28">
        <v>1</v>
      </c>
      <c r="U210" s="28" t="s">
        <v>1719</v>
      </c>
      <c r="V210" s="28" t="s">
        <v>6213</v>
      </c>
      <c r="W210" s="28" t="s">
        <v>6214</v>
      </c>
      <c r="X210" s="135">
        <v>45708.611805555556</v>
      </c>
      <c r="Y210" s="28"/>
      <c r="Z210" s="28">
        <v>12.4</v>
      </c>
      <c r="AA210" s="28"/>
      <c r="AB210" s="28" t="s">
        <v>1720</v>
      </c>
      <c r="AC210" s="30" t="s">
        <v>4119</v>
      </c>
      <c r="AD210" s="28" t="s">
        <v>1721</v>
      </c>
      <c r="AE210" s="28"/>
      <c r="AF210" s="28"/>
      <c r="AG210" s="28"/>
      <c r="AH210" s="28"/>
      <c r="AI210" s="28"/>
      <c r="AJ210" s="28"/>
      <c r="AK210" s="28" t="s">
        <v>1721</v>
      </c>
      <c r="AL210" s="325"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6215</v>
      </c>
      <c r="R211" s="31" t="s">
        <v>52</v>
      </c>
      <c r="S211" s="31" t="s">
        <v>4110</v>
      </c>
      <c r="T211" s="31">
        <v>1</v>
      </c>
      <c r="U211" s="31" t="s">
        <v>1719</v>
      </c>
      <c r="V211" s="31" t="s">
        <v>6216</v>
      </c>
      <c r="W211" s="31" t="s">
        <v>6217</v>
      </c>
      <c r="X211" s="211">
        <v>45708.633333333331</v>
      </c>
      <c r="Y211" s="31"/>
      <c r="Z211" s="31">
        <v>0.4</v>
      </c>
      <c r="AA211" s="31"/>
      <c r="AB211" s="31" t="s">
        <v>1720</v>
      </c>
      <c r="AC211" s="33" t="s">
        <v>4119</v>
      </c>
      <c r="AD211" s="31" t="s">
        <v>1721</v>
      </c>
      <c r="AE211" s="31"/>
      <c r="AF211" s="31"/>
      <c r="AG211" s="31"/>
      <c r="AH211" s="31"/>
      <c r="AI211" s="31"/>
      <c r="AJ211" s="31"/>
      <c r="AK211" s="31" t="s">
        <v>1721</v>
      </c>
      <c r="AL211" s="325"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6218</v>
      </c>
      <c r="R212" s="28" t="s">
        <v>52</v>
      </c>
      <c r="S212" s="28" t="s">
        <v>4110</v>
      </c>
      <c r="T212" s="28">
        <v>1</v>
      </c>
      <c r="U212" s="28" t="s">
        <v>1719</v>
      </c>
      <c r="V212" s="28" t="s">
        <v>6219</v>
      </c>
      <c r="W212" s="28" t="s">
        <v>6220</v>
      </c>
      <c r="X212" s="135">
        <v>45708.65902777778</v>
      </c>
      <c r="Y212" s="28"/>
      <c r="Z212" s="28">
        <v>0.3</v>
      </c>
      <c r="AA212" s="28"/>
      <c r="AB212" s="28" t="s">
        <v>1720</v>
      </c>
      <c r="AC212" s="30" t="s">
        <v>4119</v>
      </c>
      <c r="AD212" s="28" t="s">
        <v>1721</v>
      </c>
      <c r="AE212" s="28"/>
      <c r="AF212" s="28"/>
      <c r="AG212" s="28"/>
      <c r="AH212" s="28"/>
      <c r="AI212" s="28"/>
      <c r="AJ212" s="28"/>
      <c r="AK212" s="28" t="s">
        <v>1721</v>
      </c>
      <c r="AL212" s="325" t="e">
        <f t="shared" si="12"/>
        <v>#VALUE!</v>
      </c>
    </row>
    <row r="213" spans="1:38" ht="21.6" customHeight="1">
      <c r="A213" s="31">
        <v>88</v>
      </c>
      <c r="B213" s="31" t="s">
        <v>5033</v>
      </c>
      <c r="C213" s="31">
        <v>2025022676</v>
      </c>
      <c r="D213" s="31" t="s">
        <v>6221</v>
      </c>
      <c r="E213" s="31" t="s">
        <v>5503</v>
      </c>
      <c r="F213" s="31">
        <v>4906</v>
      </c>
      <c r="G213" s="31" t="s">
        <v>555</v>
      </c>
      <c r="H213" s="31" t="s">
        <v>3308</v>
      </c>
      <c r="I213" s="31" t="s">
        <v>6222</v>
      </c>
      <c r="J213" s="31" t="s">
        <v>5299</v>
      </c>
      <c r="K213" s="31" t="s">
        <v>5067</v>
      </c>
      <c r="L213" s="31" t="s">
        <v>5749</v>
      </c>
      <c r="M213" s="32" t="s">
        <v>5750</v>
      </c>
      <c r="N213" s="31">
        <v>5903</v>
      </c>
      <c r="O213" s="32" t="s">
        <v>5751</v>
      </c>
      <c r="P213" s="33" t="s">
        <v>6223</v>
      </c>
      <c r="Q213" s="31" t="s">
        <v>5771</v>
      </c>
      <c r="R213" s="31" t="s">
        <v>52</v>
      </c>
      <c r="S213" s="31" t="s">
        <v>4110</v>
      </c>
      <c r="T213" s="31">
        <v>1</v>
      </c>
      <c r="U213" s="31" t="s">
        <v>1719</v>
      </c>
      <c r="V213" s="31" t="s">
        <v>6224</v>
      </c>
      <c r="W213" s="31" t="s">
        <v>6225</v>
      </c>
      <c r="X213" s="211">
        <v>45709.488194444442</v>
      </c>
      <c r="Y213" s="31" t="s">
        <v>6226</v>
      </c>
      <c r="Z213" s="31">
        <v>0.5</v>
      </c>
      <c r="AA213" s="31"/>
      <c r="AB213" s="31" t="s">
        <v>5562</v>
      </c>
      <c r="AC213" s="33" t="s">
        <v>6227</v>
      </c>
      <c r="AD213" s="31"/>
      <c r="AE213" s="31"/>
      <c r="AF213" s="31"/>
      <c r="AG213" s="31"/>
      <c r="AH213" s="31"/>
      <c r="AI213" s="31"/>
      <c r="AJ213" s="31"/>
      <c r="AK213" s="31" t="s">
        <v>1721</v>
      </c>
      <c r="AL213" s="325">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6228</v>
      </c>
      <c r="R214" s="28" t="s">
        <v>52</v>
      </c>
      <c r="S214" s="28" t="s">
        <v>4110</v>
      </c>
      <c r="T214" s="28">
        <v>1</v>
      </c>
      <c r="U214" s="28" t="s">
        <v>1719</v>
      </c>
      <c r="V214" s="28" t="s">
        <v>6229</v>
      </c>
      <c r="W214" s="28" t="s">
        <v>6230</v>
      </c>
      <c r="X214" s="135">
        <v>45709.490277777775</v>
      </c>
      <c r="Y214" s="28"/>
      <c r="Z214" s="28">
        <v>0.4</v>
      </c>
      <c r="AA214" s="28"/>
      <c r="AB214" s="28" t="s">
        <v>1720</v>
      </c>
      <c r="AC214" s="30" t="s">
        <v>4119</v>
      </c>
      <c r="AD214" s="28" t="s">
        <v>1721</v>
      </c>
      <c r="AE214" s="28"/>
      <c r="AF214" s="28"/>
      <c r="AG214" s="28"/>
      <c r="AH214" s="28"/>
      <c r="AI214" s="28"/>
      <c r="AJ214" s="28"/>
      <c r="AK214" s="28" t="s">
        <v>1721</v>
      </c>
      <c r="AL214" s="325"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6231</v>
      </c>
      <c r="R215" s="31" t="s">
        <v>52</v>
      </c>
      <c r="S215" s="31" t="s">
        <v>4110</v>
      </c>
      <c r="T215" s="31">
        <v>1</v>
      </c>
      <c r="U215" s="31" t="s">
        <v>1719</v>
      </c>
      <c r="V215" s="31" t="s">
        <v>6232</v>
      </c>
      <c r="W215" s="31" t="s">
        <v>6233</v>
      </c>
      <c r="X215" s="211">
        <v>45709.506944444445</v>
      </c>
      <c r="Y215" s="31"/>
      <c r="Z215" s="31">
        <v>0.3</v>
      </c>
      <c r="AA215" s="31"/>
      <c r="AB215" s="31" t="s">
        <v>1720</v>
      </c>
      <c r="AC215" s="33" t="s">
        <v>4119</v>
      </c>
      <c r="AD215" s="31" t="s">
        <v>1721</v>
      </c>
      <c r="AE215" s="31"/>
      <c r="AF215" s="31"/>
      <c r="AG215" s="31"/>
      <c r="AH215" s="31"/>
      <c r="AI215" s="31"/>
      <c r="AJ215" s="31"/>
      <c r="AK215" s="31" t="s">
        <v>1721</v>
      </c>
      <c r="AL215" s="325" t="e">
        <f t="shared" si="12"/>
        <v>#VALUE!</v>
      </c>
    </row>
    <row r="216" spans="1:38" ht="21.6" customHeight="1">
      <c r="A216" s="28">
        <v>91</v>
      </c>
      <c r="B216" s="28" t="s">
        <v>5033</v>
      </c>
      <c r="C216" s="28">
        <v>2025022788</v>
      </c>
      <c r="D216" s="28" t="s">
        <v>6234</v>
      </c>
      <c r="E216" s="28" t="s">
        <v>5035</v>
      </c>
      <c r="F216" s="28">
        <v>3983</v>
      </c>
      <c r="G216" s="28" t="s">
        <v>279</v>
      </c>
      <c r="H216" s="28" t="s">
        <v>1747</v>
      </c>
      <c r="I216" s="28" t="s">
        <v>6235</v>
      </c>
      <c r="J216" s="28" t="s">
        <v>5299</v>
      </c>
      <c r="K216" s="28" t="s">
        <v>5039</v>
      </c>
      <c r="L216" s="28" t="s">
        <v>5068</v>
      </c>
      <c r="M216" s="29" t="s">
        <v>1723</v>
      </c>
      <c r="N216" s="28">
        <v>2305</v>
      </c>
      <c r="O216" s="29" t="s">
        <v>5069</v>
      </c>
      <c r="P216" s="30" t="s">
        <v>6236</v>
      </c>
      <c r="Q216" s="28" t="s">
        <v>5477</v>
      </c>
      <c r="R216" s="28" t="s">
        <v>52</v>
      </c>
      <c r="S216" s="28" t="s">
        <v>4110</v>
      </c>
      <c r="T216" s="28">
        <v>1</v>
      </c>
      <c r="U216" s="28" t="s">
        <v>1719</v>
      </c>
      <c r="V216" s="28" t="s">
        <v>6237</v>
      </c>
      <c r="W216" s="28" t="s">
        <v>6238</v>
      </c>
      <c r="X216" s="135">
        <v>45712.46875</v>
      </c>
      <c r="Y216" s="28" t="s">
        <v>6239</v>
      </c>
      <c r="Z216" s="28">
        <v>0.5</v>
      </c>
      <c r="AA216" s="28"/>
      <c r="AB216" s="28" t="s">
        <v>1720</v>
      </c>
      <c r="AC216" s="30" t="s">
        <v>6240</v>
      </c>
      <c r="AD216" s="28"/>
      <c r="AE216" s="28"/>
      <c r="AF216" s="28"/>
      <c r="AG216" s="28"/>
      <c r="AH216" s="28"/>
      <c r="AI216" s="28"/>
      <c r="AJ216" s="28"/>
      <c r="AK216" s="28" t="s">
        <v>1721</v>
      </c>
      <c r="AL216" s="325">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6241</v>
      </c>
      <c r="R217" s="31" t="s">
        <v>52</v>
      </c>
      <c r="S217" s="31" t="s">
        <v>4110</v>
      </c>
      <c r="T217" s="31">
        <v>1</v>
      </c>
      <c r="U217" s="31" t="s">
        <v>1719</v>
      </c>
      <c r="V217" s="31" t="s">
        <v>6242</v>
      </c>
      <c r="W217" s="31" t="s">
        <v>6243</v>
      </c>
      <c r="X217" s="211">
        <v>45709.600694444445</v>
      </c>
      <c r="Y217" s="31"/>
      <c r="Z217" s="31">
        <v>0.3</v>
      </c>
      <c r="AA217" s="31"/>
      <c r="AB217" s="31" t="s">
        <v>1720</v>
      </c>
      <c r="AC217" s="33" t="s">
        <v>4119</v>
      </c>
      <c r="AD217" s="31" t="s">
        <v>1721</v>
      </c>
      <c r="AE217" s="31"/>
      <c r="AF217" s="31"/>
      <c r="AG217" s="31"/>
      <c r="AH217" s="31"/>
      <c r="AI217" s="31"/>
      <c r="AJ217" s="31"/>
      <c r="AK217" s="31" t="s">
        <v>1721</v>
      </c>
      <c r="AL217" s="325"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6244</v>
      </c>
      <c r="R218" s="28" t="s">
        <v>52</v>
      </c>
      <c r="S218" s="28" t="s">
        <v>4110</v>
      </c>
      <c r="T218" s="28">
        <v>1</v>
      </c>
      <c r="U218" s="28" t="s">
        <v>1719</v>
      </c>
      <c r="V218" s="28" t="s">
        <v>6245</v>
      </c>
      <c r="W218" s="28" t="s">
        <v>6246</v>
      </c>
      <c r="X218" s="135">
        <v>45709.619444444441</v>
      </c>
      <c r="Y218" s="28"/>
      <c r="Z218" s="28">
        <v>0.4</v>
      </c>
      <c r="AA218" s="28"/>
      <c r="AB218" s="28" t="s">
        <v>1720</v>
      </c>
      <c r="AC218" s="30" t="s">
        <v>4119</v>
      </c>
      <c r="AD218" s="28" t="s">
        <v>1721</v>
      </c>
      <c r="AE218" s="28"/>
      <c r="AF218" s="28"/>
      <c r="AG218" s="28"/>
      <c r="AH218" s="28"/>
      <c r="AI218" s="28"/>
      <c r="AJ218" s="28"/>
      <c r="AK218" s="28" t="s">
        <v>1721</v>
      </c>
      <c r="AL218" s="325" t="e">
        <f t="shared" si="12"/>
        <v>#VALUE!</v>
      </c>
    </row>
    <row r="219" spans="1:38" ht="21.6" customHeight="1">
      <c r="A219" s="31">
        <v>94</v>
      </c>
      <c r="B219" s="31" t="s">
        <v>5033</v>
      </c>
      <c r="C219" s="31">
        <v>2025022837</v>
      </c>
      <c r="D219" s="31" t="s">
        <v>6247</v>
      </c>
      <c r="E219" s="31" t="s">
        <v>5035</v>
      </c>
      <c r="F219" s="31">
        <v>5082</v>
      </c>
      <c r="G219" s="31" t="s">
        <v>583</v>
      </c>
      <c r="H219" s="31" t="s">
        <v>1725</v>
      </c>
      <c r="I219" s="31" t="s">
        <v>6248</v>
      </c>
      <c r="J219" s="31" t="s">
        <v>5299</v>
      </c>
      <c r="K219" s="31" t="s">
        <v>5039</v>
      </c>
      <c r="L219" s="31" t="s">
        <v>5068</v>
      </c>
      <c r="M219" s="32" t="s">
        <v>1723</v>
      </c>
      <c r="N219" s="31">
        <v>2302</v>
      </c>
      <c r="O219" s="32" t="s">
        <v>5282</v>
      </c>
      <c r="P219" s="33" t="s">
        <v>6249</v>
      </c>
      <c r="Q219" s="31" t="s">
        <v>5425</v>
      </c>
      <c r="R219" s="31" t="s">
        <v>52</v>
      </c>
      <c r="S219" s="31" t="s">
        <v>4110</v>
      </c>
      <c r="T219" s="31">
        <v>1</v>
      </c>
      <c r="U219" s="31" t="s">
        <v>1719</v>
      </c>
      <c r="V219" s="31" t="s">
        <v>6250</v>
      </c>
      <c r="W219" s="31" t="s">
        <v>6251</v>
      </c>
      <c r="X219" s="211">
        <v>45712.584722222222</v>
      </c>
      <c r="Y219" s="31" t="s">
        <v>6252</v>
      </c>
      <c r="Z219" s="31">
        <v>0.5</v>
      </c>
      <c r="AA219" s="31"/>
      <c r="AB219" s="31" t="s">
        <v>1720</v>
      </c>
      <c r="AC219" s="33" t="s">
        <v>6253</v>
      </c>
      <c r="AD219" s="31"/>
      <c r="AE219" s="31"/>
      <c r="AF219" s="31"/>
      <c r="AG219" s="31"/>
      <c r="AH219" s="31"/>
      <c r="AI219" s="31"/>
      <c r="AJ219" s="31"/>
      <c r="AK219" s="31" t="s">
        <v>1721</v>
      </c>
      <c r="AL219" s="325">
        <f t="shared" si="12"/>
        <v>45709</v>
      </c>
    </row>
    <row r="220" spans="1:38" ht="21.6" customHeight="1">
      <c r="A220" s="28">
        <v>95</v>
      </c>
      <c r="B220" s="28" t="s">
        <v>5033</v>
      </c>
      <c r="C220" s="28">
        <v>2025022874</v>
      </c>
      <c r="D220" s="28" t="s">
        <v>6254</v>
      </c>
      <c r="E220" s="28" t="s">
        <v>5035</v>
      </c>
      <c r="F220" s="28" t="s">
        <v>19</v>
      </c>
      <c r="G220" s="28" t="s">
        <v>632</v>
      </c>
      <c r="H220" s="28" t="s">
        <v>1747</v>
      </c>
      <c r="I220" s="28" t="s">
        <v>6255</v>
      </c>
      <c r="J220" s="28" t="s">
        <v>5299</v>
      </c>
      <c r="K220" s="28" t="s">
        <v>5039</v>
      </c>
      <c r="L220" s="28" t="s">
        <v>5505</v>
      </c>
      <c r="M220" s="29" t="s">
        <v>5506</v>
      </c>
      <c r="N220" s="28">
        <v>2402</v>
      </c>
      <c r="O220" s="29" t="s">
        <v>6256</v>
      </c>
      <c r="P220" s="30" t="s">
        <v>6257</v>
      </c>
      <c r="Q220" s="28" t="s">
        <v>5204</v>
      </c>
      <c r="R220" s="28" t="s">
        <v>52</v>
      </c>
      <c r="S220" s="28" t="s">
        <v>4110</v>
      </c>
      <c r="T220" s="28">
        <v>1</v>
      </c>
      <c r="U220" s="28" t="s">
        <v>1719</v>
      </c>
      <c r="V220" s="28" t="s">
        <v>6258</v>
      </c>
      <c r="W220" s="28" t="s">
        <v>6259</v>
      </c>
      <c r="X220" s="135">
        <v>45712.586805555555</v>
      </c>
      <c r="Y220" s="28" t="s">
        <v>6260</v>
      </c>
      <c r="Z220" s="28">
        <v>0.5</v>
      </c>
      <c r="AA220" s="28"/>
      <c r="AB220" s="28" t="s">
        <v>1720</v>
      </c>
      <c r="AC220" s="30" t="s">
        <v>6261</v>
      </c>
      <c r="AD220" s="28"/>
      <c r="AE220" s="28"/>
      <c r="AF220" s="28"/>
      <c r="AG220" s="28"/>
      <c r="AH220" s="28"/>
      <c r="AI220" s="28"/>
      <c r="AJ220" s="28"/>
      <c r="AK220" s="28" t="s">
        <v>1721</v>
      </c>
      <c r="AL220" s="325">
        <f t="shared" si="12"/>
        <v>45709</v>
      </c>
    </row>
    <row r="221" spans="1:38" ht="21.6" customHeight="1">
      <c r="A221" s="31">
        <v>96</v>
      </c>
      <c r="B221" s="31" t="s">
        <v>5033</v>
      </c>
      <c r="C221" s="31">
        <v>2025022883</v>
      </c>
      <c r="D221" s="31" t="s">
        <v>6262</v>
      </c>
      <c r="E221" s="31" t="s">
        <v>5035</v>
      </c>
      <c r="F221" s="31">
        <v>4701</v>
      </c>
      <c r="G221" s="31" t="s">
        <v>484</v>
      </c>
      <c r="H221" s="31" t="s">
        <v>1748</v>
      </c>
      <c r="I221" s="31" t="s">
        <v>6263</v>
      </c>
      <c r="J221" s="31" t="s">
        <v>5575</v>
      </c>
      <c r="K221" s="31" t="s">
        <v>5451</v>
      </c>
      <c r="L221" s="31" t="s">
        <v>5227</v>
      </c>
      <c r="M221" s="32" t="s">
        <v>5228</v>
      </c>
      <c r="N221" s="31" t="s">
        <v>5229</v>
      </c>
      <c r="O221" s="32" t="s">
        <v>5230</v>
      </c>
      <c r="P221" s="33" t="s">
        <v>6264</v>
      </c>
      <c r="Q221" s="31" t="s">
        <v>6265</v>
      </c>
      <c r="R221" s="31" t="s">
        <v>52</v>
      </c>
      <c r="S221" s="31" t="s">
        <v>16</v>
      </c>
      <c r="T221" s="31">
        <v>1</v>
      </c>
      <c r="U221" s="31" t="s">
        <v>1719</v>
      </c>
      <c r="V221" s="31" t="s">
        <v>6266</v>
      </c>
      <c r="W221" s="31" t="s">
        <v>6267</v>
      </c>
      <c r="X221" s="211">
        <v>45712.583333333336</v>
      </c>
      <c r="Y221" s="31" t="s">
        <v>6269</v>
      </c>
      <c r="Z221" s="31">
        <v>0.5</v>
      </c>
      <c r="AA221" s="31"/>
      <c r="AB221" s="31" t="s">
        <v>1720</v>
      </c>
      <c r="AC221" s="33" t="s">
        <v>6270</v>
      </c>
      <c r="AD221" s="31"/>
      <c r="AE221" s="31"/>
      <c r="AF221" s="31"/>
      <c r="AG221" s="31"/>
      <c r="AH221" s="31"/>
      <c r="AI221" s="31"/>
      <c r="AJ221" s="31"/>
      <c r="AK221" s="31" t="s">
        <v>1721</v>
      </c>
      <c r="AL221" s="325">
        <f t="shared" si="12"/>
        <v>45710</v>
      </c>
    </row>
    <row r="222" spans="1:38" ht="21.6" customHeight="1">
      <c r="A222" s="28">
        <v>97</v>
      </c>
      <c r="B222" s="28" t="s">
        <v>5033</v>
      </c>
      <c r="C222" s="28">
        <v>2025022909</v>
      </c>
      <c r="D222" s="28" t="s">
        <v>6271</v>
      </c>
      <c r="E222" s="28" t="s">
        <v>5035</v>
      </c>
      <c r="F222" s="28">
        <v>4084</v>
      </c>
      <c r="G222" s="28" t="s">
        <v>305</v>
      </c>
      <c r="H222" s="28" t="s">
        <v>1747</v>
      </c>
      <c r="I222" s="28" t="s">
        <v>6272</v>
      </c>
      <c r="J222" s="28" t="s">
        <v>5038</v>
      </c>
      <c r="K222" s="28" t="s">
        <v>5067</v>
      </c>
      <c r="L222" s="28" t="s">
        <v>5261</v>
      </c>
      <c r="M222" s="29" t="s">
        <v>5262</v>
      </c>
      <c r="N222" s="28">
        <v>5804</v>
      </c>
      <c r="O222" s="29" t="s">
        <v>5308</v>
      </c>
      <c r="P222" s="30" t="s">
        <v>6273</v>
      </c>
      <c r="Q222" s="28" t="s">
        <v>5075</v>
      </c>
      <c r="R222" s="28" t="s">
        <v>52</v>
      </c>
      <c r="S222" s="28" t="s">
        <v>4110</v>
      </c>
      <c r="T222" s="28">
        <v>1</v>
      </c>
      <c r="U222" s="28" t="s">
        <v>1719</v>
      </c>
      <c r="V222" s="28" t="s">
        <v>6274</v>
      </c>
      <c r="W222" s="28" t="s">
        <v>6275</v>
      </c>
      <c r="X222" s="135">
        <v>45712.513888888891</v>
      </c>
      <c r="Y222" s="28" t="s">
        <v>6276</v>
      </c>
      <c r="Z222" s="28">
        <v>0.1</v>
      </c>
      <c r="AA222" s="28"/>
      <c r="AB222" s="28" t="s">
        <v>5562</v>
      </c>
      <c r="AC222" s="30" t="s">
        <v>5389</v>
      </c>
      <c r="AD222" s="28"/>
      <c r="AE222" s="28"/>
      <c r="AF222" s="28"/>
      <c r="AG222" s="28"/>
      <c r="AH222" s="28"/>
      <c r="AI222" s="28"/>
      <c r="AJ222" s="28"/>
      <c r="AK222" s="28" t="s">
        <v>1721</v>
      </c>
      <c r="AL222" s="325">
        <f t="shared" si="12"/>
        <v>45712</v>
      </c>
    </row>
    <row r="223" spans="1:38" ht="21.6" customHeight="1">
      <c r="A223" s="31">
        <v>98</v>
      </c>
      <c r="B223" s="31" t="s">
        <v>5033</v>
      </c>
      <c r="C223" s="31">
        <v>2025022919</v>
      </c>
      <c r="D223" s="31" t="s">
        <v>6277</v>
      </c>
      <c r="E223" s="31" t="s">
        <v>5035</v>
      </c>
      <c r="F223" s="31">
        <v>4167</v>
      </c>
      <c r="G223" s="31" t="s">
        <v>319</v>
      </c>
      <c r="H223" s="31" t="s">
        <v>1722</v>
      </c>
      <c r="I223" s="31" t="s">
        <v>6278</v>
      </c>
      <c r="J223" s="31" t="s">
        <v>5038</v>
      </c>
      <c r="K223" s="31" t="s">
        <v>5067</v>
      </c>
      <c r="L223" s="31" t="s">
        <v>5068</v>
      </c>
      <c r="M223" s="32" t="s">
        <v>1723</v>
      </c>
      <c r="N223" s="31">
        <v>2307</v>
      </c>
      <c r="O223" s="32" t="s">
        <v>5383</v>
      </c>
      <c r="P223" s="33" t="s">
        <v>6279</v>
      </c>
      <c r="Q223" s="31" t="s">
        <v>5993</v>
      </c>
      <c r="R223" s="31" t="s">
        <v>52</v>
      </c>
      <c r="S223" s="31" t="s">
        <v>1157</v>
      </c>
      <c r="T223" s="31">
        <v>1</v>
      </c>
      <c r="U223" s="31" t="s">
        <v>1719</v>
      </c>
      <c r="V223" s="31" t="s">
        <v>6280</v>
      </c>
      <c r="W223" s="31" t="s">
        <v>6281</v>
      </c>
      <c r="X223" s="211">
        <v>45713.604166666664</v>
      </c>
      <c r="Y223" s="31" t="s">
        <v>6282</v>
      </c>
      <c r="Z223" s="31">
        <v>1</v>
      </c>
      <c r="AA223" s="31"/>
      <c r="AB223" s="31" t="s">
        <v>1720</v>
      </c>
      <c r="AC223" s="33" t="s">
        <v>6283</v>
      </c>
      <c r="AD223" s="31"/>
      <c r="AE223" s="31"/>
      <c r="AF223" s="31"/>
      <c r="AG223" s="31"/>
      <c r="AH223" s="31"/>
      <c r="AI223" s="31"/>
      <c r="AJ223" s="31"/>
      <c r="AK223" s="31" t="s">
        <v>1721</v>
      </c>
      <c r="AL223" s="325">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6265</v>
      </c>
      <c r="R224" s="28" t="s">
        <v>52</v>
      </c>
      <c r="S224" s="28" t="s">
        <v>16</v>
      </c>
      <c r="T224" s="28">
        <v>1</v>
      </c>
      <c r="U224" s="28" t="s">
        <v>1719</v>
      </c>
      <c r="V224" s="28" t="s">
        <v>6284</v>
      </c>
      <c r="W224" s="28" t="s">
        <v>6268</v>
      </c>
      <c r="X224" s="135">
        <v>45712.604166666664</v>
      </c>
      <c r="Y224" s="28"/>
      <c r="Z224" s="28">
        <v>0.5</v>
      </c>
      <c r="AA224" s="28"/>
      <c r="AB224" s="28" t="s">
        <v>1720</v>
      </c>
      <c r="AC224" s="30" t="s">
        <v>4119</v>
      </c>
      <c r="AD224" s="28" t="s">
        <v>1721</v>
      </c>
      <c r="AE224" s="28"/>
      <c r="AF224" s="28"/>
      <c r="AG224" s="28"/>
      <c r="AH224" s="28"/>
      <c r="AI224" s="28"/>
      <c r="AJ224" s="28"/>
      <c r="AK224" s="28" t="s">
        <v>1721</v>
      </c>
      <c r="AL224" s="325"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6285</v>
      </c>
      <c r="R225" s="31" t="s">
        <v>52</v>
      </c>
      <c r="S225" s="31" t="s">
        <v>16</v>
      </c>
      <c r="T225" s="31">
        <v>1</v>
      </c>
      <c r="U225" s="31" t="s">
        <v>1719</v>
      </c>
      <c r="V225" s="31" t="s">
        <v>6286</v>
      </c>
      <c r="W225" s="31" t="s">
        <v>6287</v>
      </c>
      <c r="X225" s="211">
        <v>45712.618055555555</v>
      </c>
      <c r="Y225" s="31"/>
      <c r="Z225" s="31">
        <v>0.3</v>
      </c>
      <c r="AA225" s="31"/>
      <c r="AB225" s="31" t="s">
        <v>1720</v>
      </c>
      <c r="AC225" s="33" t="s">
        <v>4119</v>
      </c>
      <c r="AD225" s="31" t="s">
        <v>1721</v>
      </c>
      <c r="AE225" s="31"/>
      <c r="AF225" s="31"/>
      <c r="AG225" s="31"/>
      <c r="AH225" s="31"/>
      <c r="AI225" s="31"/>
      <c r="AJ225" s="31"/>
      <c r="AK225" s="31" t="s">
        <v>1721</v>
      </c>
      <c r="AL225" s="325"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5099</v>
      </c>
      <c r="R226" s="28" t="s">
        <v>52</v>
      </c>
      <c r="S226" s="28" t="s">
        <v>16</v>
      </c>
      <c r="T226" s="28">
        <v>1</v>
      </c>
      <c r="U226" s="28" t="s">
        <v>1719</v>
      </c>
      <c r="V226" s="28" t="s">
        <v>6288</v>
      </c>
      <c r="W226" s="28" t="s">
        <v>6289</v>
      </c>
      <c r="X226" s="135">
        <v>45712.631944444445</v>
      </c>
      <c r="Y226" s="28"/>
      <c r="Z226" s="28">
        <v>0.3</v>
      </c>
      <c r="AA226" s="28"/>
      <c r="AB226" s="28" t="s">
        <v>1720</v>
      </c>
      <c r="AC226" s="30" t="s">
        <v>4119</v>
      </c>
      <c r="AD226" s="28" t="s">
        <v>1721</v>
      </c>
      <c r="AE226" s="28"/>
      <c r="AF226" s="28"/>
      <c r="AG226" s="28"/>
      <c r="AH226" s="28"/>
      <c r="AI226" s="28"/>
      <c r="AJ226" s="28"/>
      <c r="AK226" s="28" t="s">
        <v>1721</v>
      </c>
      <c r="AL226" s="325" t="e">
        <f t="shared" si="12"/>
        <v>#VALUE!</v>
      </c>
    </row>
    <row r="227" spans="1:38" ht="21.6" customHeight="1">
      <c r="A227" s="31">
        <v>102</v>
      </c>
      <c r="B227" s="31" t="s">
        <v>5033</v>
      </c>
      <c r="C227" s="31">
        <v>2025023023</v>
      </c>
      <c r="D227" s="31" t="s">
        <v>6290</v>
      </c>
      <c r="E227" s="31" t="s">
        <v>5035</v>
      </c>
      <c r="F227" s="31">
        <v>3811</v>
      </c>
      <c r="G227" s="31" t="s">
        <v>4082</v>
      </c>
      <c r="H227" s="31" t="s">
        <v>1747</v>
      </c>
      <c r="I227" s="31" t="s">
        <v>6291</v>
      </c>
      <c r="J227" s="31" t="s">
        <v>5038</v>
      </c>
      <c r="K227" s="31" t="s">
        <v>5039</v>
      </c>
      <c r="L227" s="31" t="s">
        <v>5589</v>
      </c>
      <c r="M227" s="32" t="s">
        <v>5590</v>
      </c>
      <c r="N227" s="31" t="s">
        <v>673</v>
      </c>
      <c r="O227" s="32" t="s">
        <v>5308</v>
      </c>
      <c r="P227" s="33" t="s">
        <v>6292</v>
      </c>
      <c r="Q227" s="31" t="s">
        <v>6293</v>
      </c>
      <c r="R227" s="31" t="s">
        <v>52</v>
      </c>
      <c r="S227" s="31" t="s">
        <v>4110</v>
      </c>
      <c r="T227" s="31">
        <v>1</v>
      </c>
      <c r="U227" s="31" t="s">
        <v>1719</v>
      </c>
      <c r="V227" s="31" t="s">
        <v>6294</v>
      </c>
      <c r="W227" s="31" t="s">
        <v>6295</v>
      </c>
      <c r="X227" s="211">
        <v>45713.768750000003</v>
      </c>
      <c r="Y227" s="31" t="s">
        <v>6296</v>
      </c>
      <c r="Z227" s="31">
        <v>0.5</v>
      </c>
      <c r="AA227" s="31"/>
      <c r="AB227" s="31" t="s">
        <v>1720</v>
      </c>
      <c r="AC227" s="33" t="s">
        <v>6297</v>
      </c>
      <c r="AD227" s="31"/>
      <c r="AE227" s="31"/>
      <c r="AF227" s="31"/>
      <c r="AG227" s="31"/>
      <c r="AH227" s="31"/>
      <c r="AI227" s="31"/>
      <c r="AJ227" s="31"/>
      <c r="AK227" s="31" t="s">
        <v>1721</v>
      </c>
      <c r="AL227" s="325">
        <f t="shared" si="12"/>
        <v>45712</v>
      </c>
    </row>
    <row r="228" spans="1:38" ht="21.6" customHeight="1">
      <c r="A228" s="28">
        <v>103</v>
      </c>
      <c r="B228" s="28" t="s">
        <v>5033</v>
      </c>
      <c r="C228" s="28">
        <v>2025023035</v>
      </c>
      <c r="D228" s="28" t="s">
        <v>6298</v>
      </c>
      <c r="E228" s="28" t="s">
        <v>5035</v>
      </c>
      <c r="F228" s="28">
        <v>4163</v>
      </c>
      <c r="G228" s="28" t="s">
        <v>318</v>
      </c>
      <c r="H228" s="28" t="s">
        <v>1748</v>
      </c>
      <c r="I228" s="28" t="s">
        <v>6299</v>
      </c>
      <c r="J228" s="28" t="s">
        <v>5038</v>
      </c>
      <c r="K228" s="28" t="s">
        <v>5415</v>
      </c>
      <c r="L228" s="28" t="s">
        <v>5749</v>
      </c>
      <c r="M228" s="29" t="s">
        <v>5750</v>
      </c>
      <c r="N228" s="28">
        <v>5902</v>
      </c>
      <c r="O228" s="29" t="s">
        <v>6054</v>
      </c>
      <c r="P228" s="30" t="s">
        <v>6300</v>
      </c>
      <c r="Q228" s="28" t="s">
        <v>5496</v>
      </c>
      <c r="R228" s="28" t="s">
        <v>52</v>
      </c>
      <c r="S228" s="28" t="s">
        <v>16</v>
      </c>
      <c r="T228" s="28">
        <v>1</v>
      </c>
      <c r="U228" s="28" t="s">
        <v>1719</v>
      </c>
      <c r="V228" s="28" t="s">
        <v>6301</v>
      </c>
      <c r="W228" s="28" t="s">
        <v>6302</v>
      </c>
      <c r="X228" s="135">
        <v>45713.412499999999</v>
      </c>
      <c r="Y228" s="28" t="s">
        <v>6303</v>
      </c>
      <c r="Z228" s="28">
        <v>0.9</v>
      </c>
      <c r="AA228" s="28"/>
      <c r="AB228" s="28" t="s">
        <v>1720</v>
      </c>
      <c r="AC228" s="30" t="s">
        <v>6304</v>
      </c>
      <c r="AD228" s="28"/>
      <c r="AE228" s="28"/>
      <c r="AF228" s="28"/>
      <c r="AG228" s="28"/>
      <c r="AH228" s="28"/>
      <c r="AI228" s="28"/>
      <c r="AJ228" s="28"/>
      <c r="AK228" s="28" t="s">
        <v>1721</v>
      </c>
      <c r="AL228" s="325">
        <f t="shared" si="12"/>
        <v>45712</v>
      </c>
    </row>
    <row r="229" spans="1:38" ht="21.6" customHeight="1">
      <c r="A229" s="31">
        <v>104</v>
      </c>
      <c r="B229" s="31" t="s">
        <v>5033</v>
      </c>
      <c r="C229" s="31">
        <v>2025023068</v>
      </c>
      <c r="D229" s="31" t="s">
        <v>6305</v>
      </c>
      <c r="E229" s="31" t="s">
        <v>5035</v>
      </c>
      <c r="F229" s="31">
        <v>4093</v>
      </c>
      <c r="G229" s="31" t="s">
        <v>1472</v>
      </c>
      <c r="H229" s="31" t="s">
        <v>3321</v>
      </c>
      <c r="I229" s="31" t="s">
        <v>6306</v>
      </c>
      <c r="J229" s="31" t="s">
        <v>5252</v>
      </c>
      <c r="K229" s="31" t="s">
        <v>5039</v>
      </c>
      <c r="L229" s="31" t="s">
        <v>5040</v>
      </c>
      <c r="M229" s="32" t="s">
        <v>4057</v>
      </c>
      <c r="N229" s="31">
        <v>2501</v>
      </c>
      <c r="O229" s="32" t="s">
        <v>5041</v>
      </c>
      <c r="P229" s="33" t="s">
        <v>6307</v>
      </c>
      <c r="Q229" s="31" t="s">
        <v>6308</v>
      </c>
      <c r="R229" s="31" t="s">
        <v>52</v>
      </c>
      <c r="S229" s="31" t="s">
        <v>4110</v>
      </c>
      <c r="T229" s="31">
        <v>1</v>
      </c>
      <c r="U229" s="31" t="s">
        <v>1719</v>
      </c>
      <c r="V229" s="31" t="s">
        <v>6309</v>
      </c>
      <c r="W229" s="31" t="s">
        <v>6310</v>
      </c>
      <c r="X229" s="211">
        <v>45714.538194444445</v>
      </c>
      <c r="Y229" s="31" t="s">
        <v>6311</v>
      </c>
      <c r="Z229" s="31">
        <v>0.9</v>
      </c>
      <c r="AA229" s="31"/>
      <c r="AB229" s="31" t="s">
        <v>1720</v>
      </c>
      <c r="AC229" s="33" t="s">
        <v>6312</v>
      </c>
      <c r="AD229" s="31"/>
      <c r="AE229" s="31"/>
      <c r="AF229" s="31"/>
      <c r="AG229" s="31"/>
      <c r="AH229" s="31"/>
      <c r="AI229" s="31"/>
      <c r="AJ229" s="31"/>
      <c r="AK229" s="31" t="s">
        <v>1721</v>
      </c>
      <c r="AL229" s="325">
        <f t="shared" si="12"/>
        <v>45713</v>
      </c>
    </row>
    <row r="230" spans="1:38" ht="21.6" customHeight="1">
      <c r="A230" s="28">
        <v>105</v>
      </c>
      <c r="B230" s="28" t="s">
        <v>5033</v>
      </c>
      <c r="C230" s="28">
        <v>2025023107</v>
      </c>
      <c r="D230" s="28" t="s">
        <v>6313</v>
      </c>
      <c r="E230" s="28" t="s">
        <v>5035</v>
      </c>
      <c r="F230" s="28">
        <v>2069</v>
      </c>
      <c r="G230" s="28" t="s">
        <v>4112</v>
      </c>
      <c r="H230" s="28" t="s">
        <v>1722</v>
      </c>
      <c r="I230" s="28" t="s">
        <v>6314</v>
      </c>
      <c r="J230" s="28" t="s">
        <v>5252</v>
      </c>
      <c r="K230" s="28" t="s">
        <v>5039</v>
      </c>
      <c r="L230" s="28" t="s">
        <v>5368</v>
      </c>
      <c r="M230" s="29" t="s">
        <v>5369</v>
      </c>
      <c r="N230" s="28">
        <v>2702</v>
      </c>
      <c r="O230" s="29" t="s">
        <v>5682</v>
      </c>
      <c r="P230" s="30" t="s">
        <v>6315</v>
      </c>
      <c r="Q230" s="28" t="s">
        <v>6316</v>
      </c>
      <c r="R230" s="28" t="s">
        <v>52</v>
      </c>
      <c r="S230" s="28" t="s">
        <v>1157</v>
      </c>
      <c r="T230" s="28">
        <v>1</v>
      </c>
      <c r="U230" s="28" t="s">
        <v>1719</v>
      </c>
      <c r="V230" s="28" t="s">
        <v>6317</v>
      </c>
      <c r="W230" s="28" t="s">
        <v>6318</v>
      </c>
      <c r="X230" s="135">
        <v>45714.642361111109</v>
      </c>
      <c r="Y230" s="28" t="s">
        <v>6319</v>
      </c>
      <c r="Z230" s="28">
        <v>0.8</v>
      </c>
      <c r="AA230" s="28"/>
      <c r="AB230" s="28" t="s">
        <v>1720</v>
      </c>
      <c r="AC230" s="30" t="s">
        <v>6320</v>
      </c>
      <c r="AD230" s="28"/>
      <c r="AE230" s="28"/>
      <c r="AF230" s="28"/>
      <c r="AG230" s="28"/>
      <c r="AH230" s="28"/>
      <c r="AI230" s="28"/>
      <c r="AJ230" s="28"/>
      <c r="AK230" s="28" t="s">
        <v>1721</v>
      </c>
      <c r="AL230" s="325">
        <f t="shared" si="12"/>
        <v>45713</v>
      </c>
    </row>
    <row r="231" spans="1:38" ht="21.6" customHeight="1">
      <c r="A231" s="31">
        <v>106</v>
      </c>
      <c r="B231" s="31" t="s">
        <v>5033</v>
      </c>
      <c r="C231" s="31">
        <v>2025023146</v>
      </c>
      <c r="D231" s="31" t="s">
        <v>6321</v>
      </c>
      <c r="E231" s="31" t="s">
        <v>5035</v>
      </c>
      <c r="F231" s="31">
        <v>3362</v>
      </c>
      <c r="G231" s="31" t="s">
        <v>180</v>
      </c>
      <c r="H231" s="31" t="s">
        <v>1747</v>
      </c>
      <c r="I231" s="31" t="s">
        <v>6322</v>
      </c>
      <c r="J231" s="31" t="s">
        <v>5252</v>
      </c>
      <c r="K231" s="31" t="s">
        <v>5039</v>
      </c>
      <c r="L231" s="31" t="s">
        <v>5040</v>
      </c>
      <c r="M231" s="32" t="s">
        <v>4057</v>
      </c>
      <c r="N231" s="31">
        <v>2501</v>
      </c>
      <c r="O231" s="32" t="s">
        <v>5041</v>
      </c>
      <c r="P231" s="33" t="s">
        <v>6323</v>
      </c>
      <c r="Q231" s="31" t="s">
        <v>5275</v>
      </c>
      <c r="R231" s="31" t="s">
        <v>52</v>
      </c>
      <c r="S231" s="31" t="s">
        <v>4110</v>
      </c>
      <c r="T231" s="31">
        <v>1</v>
      </c>
      <c r="U231" s="31" t="s">
        <v>1719</v>
      </c>
      <c r="V231" s="31" t="s">
        <v>6324</v>
      </c>
      <c r="W231" s="31" t="s">
        <v>6325</v>
      </c>
      <c r="X231" s="211">
        <v>45714.637499999997</v>
      </c>
      <c r="Y231" s="31" t="s">
        <v>6326</v>
      </c>
      <c r="Z231" s="31">
        <v>0.5</v>
      </c>
      <c r="AA231" s="31"/>
      <c r="AB231" s="31" t="s">
        <v>1720</v>
      </c>
      <c r="AC231" s="33" t="s">
        <v>6327</v>
      </c>
      <c r="AD231" s="31"/>
      <c r="AE231" s="31"/>
      <c r="AF231" s="31"/>
      <c r="AG231" s="31"/>
      <c r="AH231" s="31"/>
      <c r="AI231" s="31"/>
      <c r="AJ231" s="31"/>
      <c r="AK231" s="31" t="s">
        <v>1721</v>
      </c>
      <c r="AL231" s="325">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6316</v>
      </c>
      <c r="R232" s="28" t="s">
        <v>52</v>
      </c>
      <c r="S232" s="28" t="s">
        <v>1157</v>
      </c>
      <c r="T232" s="28">
        <v>1</v>
      </c>
      <c r="U232" s="28" t="s">
        <v>1719</v>
      </c>
      <c r="V232" s="28" t="s">
        <v>6328</v>
      </c>
      <c r="W232" s="28" t="s">
        <v>6318</v>
      </c>
      <c r="X232" s="135">
        <v>45714.642361111109</v>
      </c>
      <c r="Y232" s="28"/>
      <c r="Z232" s="28">
        <v>0.8</v>
      </c>
      <c r="AA232" s="28"/>
      <c r="AB232" s="28" t="s">
        <v>1720</v>
      </c>
      <c r="AC232" s="30" t="s">
        <v>4119</v>
      </c>
      <c r="AD232" s="28" t="s">
        <v>1721</v>
      </c>
      <c r="AE232" s="28"/>
      <c r="AF232" s="28"/>
      <c r="AG232" s="28"/>
      <c r="AH232" s="28"/>
      <c r="AI232" s="28"/>
      <c r="AJ232" s="28"/>
      <c r="AK232" s="28" t="s">
        <v>1721</v>
      </c>
      <c r="AL232" s="325"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6329</v>
      </c>
      <c r="R233" s="31" t="s">
        <v>52</v>
      </c>
      <c r="S233" s="31" t="s">
        <v>4110</v>
      </c>
      <c r="T233" s="31">
        <v>1</v>
      </c>
      <c r="U233" s="31" t="s">
        <v>1719</v>
      </c>
      <c r="V233" s="31" t="s">
        <v>6330</v>
      </c>
      <c r="W233" s="31" t="s">
        <v>6331</v>
      </c>
      <c r="X233" s="211">
        <v>45715.510416666664</v>
      </c>
      <c r="Y233" s="31"/>
      <c r="Z233" s="31">
        <v>0.4</v>
      </c>
      <c r="AA233" s="31"/>
      <c r="AB233" s="31" t="s">
        <v>1720</v>
      </c>
      <c r="AC233" s="33" t="s">
        <v>4119</v>
      </c>
      <c r="AD233" s="31" t="s">
        <v>1721</v>
      </c>
      <c r="AE233" s="31"/>
      <c r="AF233" s="31"/>
      <c r="AG233" s="31"/>
      <c r="AH233" s="31"/>
      <c r="AI233" s="31"/>
      <c r="AJ233" s="31"/>
      <c r="AK233" s="31" t="s">
        <v>1721</v>
      </c>
      <c r="AL233" s="325"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6332</v>
      </c>
      <c r="R234" s="28" t="s">
        <v>52</v>
      </c>
      <c r="S234" s="28" t="s">
        <v>4110</v>
      </c>
      <c r="T234" s="28">
        <v>1</v>
      </c>
      <c r="U234" s="28" t="s">
        <v>1719</v>
      </c>
      <c r="V234" s="28" t="s">
        <v>6333</v>
      </c>
      <c r="W234" s="28" t="s">
        <v>6334</v>
      </c>
      <c r="X234" s="135">
        <v>45715.615277777775</v>
      </c>
      <c r="Y234" s="28"/>
      <c r="Z234" s="28">
        <v>0.4</v>
      </c>
      <c r="AA234" s="28"/>
      <c r="AB234" s="28" t="s">
        <v>1720</v>
      </c>
      <c r="AC234" s="30" t="s">
        <v>4119</v>
      </c>
      <c r="AD234" s="28" t="s">
        <v>1721</v>
      </c>
      <c r="AE234" s="28"/>
      <c r="AF234" s="28"/>
      <c r="AG234" s="28"/>
      <c r="AH234" s="28"/>
      <c r="AI234" s="28"/>
      <c r="AJ234" s="28"/>
      <c r="AK234" s="28" t="s">
        <v>1721</v>
      </c>
      <c r="AL234" s="325"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5155</v>
      </c>
      <c r="R235" s="31" t="s">
        <v>52</v>
      </c>
      <c r="S235" s="31" t="s">
        <v>4110</v>
      </c>
      <c r="T235" s="31">
        <v>1</v>
      </c>
      <c r="U235" s="31" t="s">
        <v>1719</v>
      </c>
      <c r="V235" s="31" t="s">
        <v>6335</v>
      </c>
      <c r="W235" s="31" t="s">
        <v>6336</v>
      </c>
      <c r="X235" s="211">
        <v>45715.642361111109</v>
      </c>
      <c r="Y235" s="31"/>
      <c r="Z235" s="31">
        <v>0.4</v>
      </c>
      <c r="AA235" s="31"/>
      <c r="AB235" s="31" t="s">
        <v>1720</v>
      </c>
      <c r="AC235" s="32" t="s">
        <v>4119</v>
      </c>
      <c r="AD235" s="31" t="s">
        <v>1721</v>
      </c>
      <c r="AE235" s="31"/>
      <c r="AF235" s="31"/>
      <c r="AG235" s="31"/>
      <c r="AH235" s="31"/>
      <c r="AI235" s="31"/>
      <c r="AJ235" s="31"/>
      <c r="AK235" s="31" t="s">
        <v>1721</v>
      </c>
      <c r="AL235" s="325" t="e">
        <f t="shared" si="12"/>
        <v>#VALUE!</v>
      </c>
    </row>
    <row r="236" spans="1:38" ht="21.6" customHeight="1">
      <c r="A236" s="28">
        <v>1</v>
      </c>
      <c r="B236" s="28" t="s">
        <v>5033</v>
      </c>
      <c r="C236" s="28">
        <v>2025030001</v>
      </c>
      <c r="D236" s="28" t="s">
        <v>6337</v>
      </c>
      <c r="E236" s="28" t="s">
        <v>5035</v>
      </c>
      <c r="F236" s="28">
        <v>3380</v>
      </c>
      <c r="G236" s="28" t="s">
        <v>182</v>
      </c>
      <c r="H236" s="28" t="s">
        <v>1748</v>
      </c>
      <c r="I236" s="28" t="s">
        <v>6338</v>
      </c>
      <c r="J236" s="28" t="s">
        <v>5299</v>
      </c>
      <c r="K236" s="28" t="s">
        <v>5415</v>
      </c>
      <c r="L236" s="28" t="s">
        <v>5068</v>
      </c>
      <c r="M236" s="29" t="s">
        <v>1723</v>
      </c>
      <c r="N236" s="28">
        <v>2304</v>
      </c>
      <c r="O236" s="29" t="s">
        <v>5097</v>
      </c>
      <c r="P236" s="30" t="s">
        <v>6339</v>
      </c>
      <c r="Q236" s="28" t="s">
        <v>5410</v>
      </c>
      <c r="R236" s="28" t="s">
        <v>52</v>
      </c>
      <c r="S236" s="28" t="s">
        <v>16</v>
      </c>
      <c r="T236" s="28">
        <v>1</v>
      </c>
      <c r="U236" s="28" t="s">
        <v>1719</v>
      </c>
      <c r="V236" s="28" t="s">
        <v>6340</v>
      </c>
      <c r="W236" s="28" t="s">
        <v>6341</v>
      </c>
      <c r="X236" s="135">
        <v>45719.4375</v>
      </c>
      <c r="Y236" s="28" t="s">
        <v>6342</v>
      </c>
      <c r="Z236" s="28">
        <v>1</v>
      </c>
      <c r="AA236" s="28"/>
      <c r="AB236" s="28" t="s">
        <v>1720</v>
      </c>
      <c r="AC236" s="30" t="s">
        <v>6343</v>
      </c>
      <c r="AD236" s="28"/>
      <c r="AE236" s="28"/>
      <c r="AF236" s="28"/>
      <c r="AG236" s="28"/>
      <c r="AH236" s="28"/>
      <c r="AI236" s="28"/>
      <c r="AJ236" s="28"/>
      <c r="AK236" s="28" t="s">
        <v>1721</v>
      </c>
      <c r="AL236" s="325">
        <f t="shared" si="12"/>
        <v>45716</v>
      </c>
    </row>
    <row r="237" spans="1:38" ht="21.6" customHeight="1">
      <c r="A237" s="31">
        <v>2</v>
      </c>
      <c r="B237" s="31" t="s">
        <v>5033</v>
      </c>
      <c r="C237" s="31">
        <v>2025030006</v>
      </c>
      <c r="D237" s="31" t="s">
        <v>6344</v>
      </c>
      <c r="E237" s="31" t="s">
        <v>5035</v>
      </c>
      <c r="F237" s="31">
        <v>3601</v>
      </c>
      <c r="G237" s="31" t="s">
        <v>203</v>
      </c>
      <c r="H237" s="31" t="s">
        <v>1747</v>
      </c>
      <c r="I237" s="31" t="s">
        <v>6345</v>
      </c>
      <c r="J237" s="31" t="s">
        <v>5575</v>
      </c>
      <c r="K237" s="31" t="s">
        <v>5415</v>
      </c>
      <c r="L237" s="31" t="s">
        <v>5068</v>
      </c>
      <c r="M237" s="32" t="s">
        <v>1723</v>
      </c>
      <c r="N237" s="31">
        <v>2302</v>
      </c>
      <c r="O237" s="32" t="s">
        <v>5282</v>
      </c>
      <c r="P237" s="33" t="s">
        <v>6346</v>
      </c>
      <c r="Q237" s="31" t="s">
        <v>6347</v>
      </c>
      <c r="R237" s="31" t="s">
        <v>52</v>
      </c>
      <c r="S237" s="31" t="s">
        <v>4110</v>
      </c>
      <c r="T237" s="31">
        <v>1</v>
      </c>
      <c r="U237" s="31" t="s">
        <v>1719</v>
      </c>
      <c r="V237" s="31" t="s">
        <v>6348</v>
      </c>
      <c r="W237" s="31" t="s">
        <v>6349</v>
      </c>
      <c r="X237" s="211">
        <v>45719.421527777777</v>
      </c>
      <c r="Y237" s="31" t="s">
        <v>6342</v>
      </c>
      <c r="Z237" s="31">
        <v>0.5</v>
      </c>
      <c r="AA237" s="31"/>
      <c r="AB237" s="31" t="s">
        <v>1720</v>
      </c>
      <c r="AC237" s="33" t="s">
        <v>6350</v>
      </c>
      <c r="AD237" s="31"/>
      <c r="AE237" s="31"/>
      <c r="AF237" s="31"/>
      <c r="AG237" s="31"/>
      <c r="AH237" s="31"/>
      <c r="AI237" s="31"/>
      <c r="AJ237" s="31"/>
      <c r="AK237" s="31" t="s">
        <v>1721</v>
      </c>
      <c r="AL237" s="325">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6347</v>
      </c>
      <c r="R238" s="28" t="s">
        <v>52</v>
      </c>
      <c r="S238" s="28" t="s">
        <v>4110</v>
      </c>
      <c r="T238" s="28">
        <v>1</v>
      </c>
      <c r="U238" s="28" t="s">
        <v>1719</v>
      </c>
      <c r="V238" s="28" t="s">
        <v>6351</v>
      </c>
      <c r="W238" s="28" t="s">
        <v>6352</v>
      </c>
      <c r="X238" s="135">
        <v>45719.445833333331</v>
      </c>
      <c r="Y238" s="28"/>
      <c r="Z238" s="28">
        <v>0.4</v>
      </c>
      <c r="AA238" s="28"/>
      <c r="AB238" s="28" t="s">
        <v>1720</v>
      </c>
      <c r="AC238" s="30" t="s">
        <v>4119</v>
      </c>
      <c r="AD238" s="28" t="s">
        <v>1721</v>
      </c>
      <c r="AE238" s="28"/>
      <c r="AF238" s="28"/>
      <c r="AG238" s="28"/>
      <c r="AH238" s="28"/>
      <c r="AI238" s="28"/>
      <c r="AJ238" s="28"/>
      <c r="AK238" s="28" t="s">
        <v>1721</v>
      </c>
      <c r="AL238" s="325"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6353</v>
      </c>
      <c r="R239" s="31" t="s">
        <v>52</v>
      </c>
      <c r="S239" s="31" t="s">
        <v>4110</v>
      </c>
      <c r="T239" s="31">
        <v>1</v>
      </c>
      <c r="U239" s="31" t="s">
        <v>1719</v>
      </c>
      <c r="V239" s="31" t="s">
        <v>6354</v>
      </c>
      <c r="W239" s="31" t="s">
        <v>6355</v>
      </c>
      <c r="X239" s="211">
        <v>45719.486805555556</v>
      </c>
      <c r="Y239" s="31"/>
      <c r="Z239" s="31">
        <v>0.4</v>
      </c>
      <c r="AA239" s="31"/>
      <c r="AB239" s="31" t="s">
        <v>1720</v>
      </c>
      <c r="AC239" s="33" t="s">
        <v>4119</v>
      </c>
      <c r="AD239" s="31" t="s">
        <v>1721</v>
      </c>
      <c r="AE239" s="31"/>
      <c r="AF239" s="31"/>
      <c r="AG239" s="31"/>
      <c r="AH239" s="31"/>
      <c r="AI239" s="31"/>
      <c r="AJ239" s="31"/>
      <c r="AK239" s="31" t="s">
        <v>1721</v>
      </c>
      <c r="AL239" s="325"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6177</v>
      </c>
      <c r="R240" s="28" t="s">
        <v>52</v>
      </c>
      <c r="S240" s="28" t="s">
        <v>4110</v>
      </c>
      <c r="T240" s="28">
        <v>1</v>
      </c>
      <c r="U240" s="28" t="s">
        <v>1719</v>
      </c>
      <c r="V240" s="28" t="s">
        <v>6356</v>
      </c>
      <c r="W240" s="28" t="s">
        <v>6357</v>
      </c>
      <c r="X240" s="135">
        <v>45719.584027777775</v>
      </c>
      <c r="Y240" s="28"/>
      <c r="Z240" s="28">
        <v>0.4</v>
      </c>
      <c r="AA240" s="28"/>
      <c r="AB240" s="28" t="s">
        <v>1720</v>
      </c>
      <c r="AC240" s="30" t="s">
        <v>4119</v>
      </c>
      <c r="AD240" s="28" t="s">
        <v>1721</v>
      </c>
      <c r="AE240" s="28"/>
      <c r="AF240" s="28"/>
      <c r="AG240" s="28"/>
      <c r="AH240" s="28"/>
      <c r="AI240" s="28"/>
      <c r="AJ240" s="28"/>
      <c r="AK240" s="28" t="s">
        <v>1721</v>
      </c>
      <c r="AL240" s="325"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5058</v>
      </c>
      <c r="R241" s="31" t="s">
        <v>52</v>
      </c>
      <c r="S241" s="31" t="s">
        <v>4110</v>
      </c>
      <c r="T241" s="31">
        <v>1</v>
      </c>
      <c r="U241" s="31" t="s">
        <v>1719</v>
      </c>
      <c r="V241" s="31" t="s">
        <v>6358</v>
      </c>
      <c r="W241" s="31" t="s">
        <v>6359</v>
      </c>
      <c r="X241" s="211">
        <v>45719.606944444444</v>
      </c>
      <c r="Y241" s="31"/>
      <c r="Z241" s="31">
        <v>0.3</v>
      </c>
      <c r="AA241" s="31"/>
      <c r="AB241" s="31" t="s">
        <v>1720</v>
      </c>
      <c r="AC241" s="33" t="s">
        <v>4119</v>
      </c>
      <c r="AD241" s="31" t="s">
        <v>1721</v>
      </c>
      <c r="AE241" s="31"/>
      <c r="AF241" s="31"/>
      <c r="AG241" s="31"/>
      <c r="AH241" s="31"/>
      <c r="AI241" s="31"/>
      <c r="AJ241" s="31"/>
      <c r="AK241" s="31" t="s">
        <v>1721</v>
      </c>
      <c r="AL241" s="325"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6360</v>
      </c>
      <c r="R242" s="28" t="s">
        <v>52</v>
      </c>
      <c r="S242" s="28" t="s">
        <v>4110</v>
      </c>
      <c r="T242" s="28">
        <v>1</v>
      </c>
      <c r="U242" s="28" t="s">
        <v>1719</v>
      </c>
      <c r="V242" s="28" t="s">
        <v>6361</v>
      </c>
      <c r="W242" s="28" t="s">
        <v>6362</v>
      </c>
      <c r="X242" s="135">
        <v>45719.634722222225</v>
      </c>
      <c r="Y242" s="28"/>
      <c r="Z242" s="28">
        <v>0.3</v>
      </c>
      <c r="AA242" s="28"/>
      <c r="AB242" s="28" t="s">
        <v>1720</v>
      </c>
      <c r="AC242" s="30" t="s">
        <v>4119</v>
      </c>
      <c r="AD242" s="28" t="s">
        <v>1721</v>
      </c>
      <c r="AE242" s="28"/>
      <c r="AF242" s="28"/>
      <c r="AG242" s="28"/>
      <c r="AH242" s="28"/>
      <c r="AI242" s="28"/>
      <c r="AJ242" s="28"/>
      <c r="AK242" s="28" t="s">
        <v>1721</v>
      </c>
      <c r="AL242" s="325"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6363</v>
      </c>
      <c r="R243" s="31" t="s">
        <v>52</v>
      </c>
      <c r="S243" s="31" t="s">
        <v>4110</v>
      </c>
      <c r="T243" s="31">
        <v>1</v>
      </c>
      <c r="U243" s="31" t="s">
        <v>1719</v>
      </c>
      <c r="V243" s="31" t="s">
        <v>6364</v>
      </c>
      <c r="W243" s="31" t="s">
        <v>6365</v>
      </c>
      <c r="X243" s="211">
        <v>45719.661805555559</v>
      </c>
      <c r="Y243" s="31"/>
      <c r="Z243" s="31">
        <v>0.4</v>
      </c>
      <c r="AA243" s="31"/>
      <c r="AB243" s="31" t="s">
        <v>1720</v>
      </c>
      <c r="AC243" s="33" t="s">
        <v>4119</v>
      </c>
      <c r="AD243" s="31" t="s">
        <v>1721</v>
      </c>
      <c r="AE243" s="31"/>
      <c r="AF243" s="31"/>
      <c r="AG243" s="31"/>
      <c r="AH243" s="31"/>
      <c r="AI243" s="31"/>
      <c r="AJ243" s="31"/>
      <c r="AK243" s="31" t="s">
        <v>1721</v>
      </c>
      <c r="AL243" s="325"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6366</v>
      </c>
      <c r="R244" s="28" t="s">
        <v>52</v>
      </c>
      <c r="S244" s="28" t="s">
        <v>4110</v>
      </c>
      <c r="T244" s="28">
        <v>1</v>
      </c>
      <c r="U244" s="28" t="s">
        <v>1719</v>
      </c>
      <c r="V244" s="28" t="s">
        <v>6367</v>
      </c>
      <c r="W244" s="28" t="s">
        <v>6368</v>
      </c>
      <c r="X244" s="135">
        <v>45719.701388888891</v>
      </c>
      <c r="Y244" s="28"/>
      <c r="Z244" s="28">
        <v>12.3</v>
      </c>
      <c r="AA244" s="28"/>
      <c r="AB244" s="28" t="s">
        <v>1720</v>
      </c>
      <c r="AC244" s="30" t="s">
        <v>4119</v>
      </c>
      <c r="AD244" s="28" t="s">
        <v>1721</v>
      </c>
      <c r="AE244" s="28"/>
      <c r="AF244" s="28"/>
      <c r="AG244" s="28"/>
      <c r="AH244" s="28"/>
      <c r="AI244" s="28"/>
      <c r="AJ244" s="28"/>
      <c r="AK244" s="28" t="s">
        <v>1721</v>
      </c>
      <c r="AL244" s="325" t="e">
        <f t="shared" si="12"/>
        <v>#VALUE!</v>
      </c>
    </row>
    <row r="245" spans="1:38" ht="21.6" customHeight="1">
      <c r="A245" s="31">
        <v>10</v>
      </c>
      <c r="B245" s="31" t="s">
        <v>5033</v>
      </c>
      <c r="C245" s="31">
        <v>2025030330</v>
      </c>
      <c r="D245" s="31" t="s">
        <v>6369</v>
      </c>
      <c r="E245" s="31" t="s">
        <v>5503</v>
      </c>
      <c r="F245" s="31">
        <v>2691</v>
      </c>
      <c r="G245" s="31" t="s">
        <v>4106</v>
      </c>
      <c r="H245" s="31" t="s">
        <v>3317</v>
      </c>
      <c r="I245" s="31" t="s">
        <v>6370</v>
      </c>
      <c r="J245" s="31" t="s">
        <v>5252</v>
      </c>
      <c r="K245" s="31" t="s">
        <v>5067</v>
      </c>
      <c r="L245" s="31" t="s">
        <v>5505</v>
      </c>
      <c r="M245" s="32" t="s">
        <v>5506</v>
      </c>
      <c r="N245" s="31">
        <v>2401</v>
      </c>
      <c r="O245" s="32" t="s">
        <v>5507</v>
      </c>
      <c r="P245" s="33" t="s">
        <v>6371</v>
      </c>
      <c r="Q245" s="31" t="s">
        <v>5633</v>
      </c>
      <c r="R245" s="31" t="s">
        <v>52</v>
      </c>
      <c r="S245" s="31" t="s">
        <v>16</v>
      </c>
      <c r="T245" s="31">
        <v>1</v>
      </c>
      <c r="U245" s="31" t="s">
        <v>1719</v>
      </c>
      <c r="V245" s="31" t="s">
        <v>6372</v>
      </c>
      <c r="W245" s="31" t="s">
        <v>6373</v>
      </c>
      <c r="X245" s="211">
        <v>45720.423611111109</v>
      </c>
      <c r="Y245" s="31" t="s">
        <v>6374</v>
      </c>
      <c r="Z245" s="31">
        <v>0.5</v>
      </c>
      <c r="AA245" s="31"/>
      <c r="AB245" s="31" t="s">
        <v>1720</v>
      </c>
      <c r="AC245" s="33" t="s">
        <v>6375</v>
      </c>
      <c r="AD245" s="31"/>
      <c r="AE245" s="31"/>
      <c r="AF245" s="31"/>
      <c r="AG245" s="31"/>
      <c r="AH245" s="31"/>
      <c r="AI245" s="31"/>
      <c r="AJ245" s="31"/>
      <c r="AK245" s="31" t="s">
        <v>1721</v>
      </c>
      <c r="AL245" s="325">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6376</v>
      </c>
      <c r="R246" s="28" t="s">
        <v>52</v>
      </c>
      <c r="S246" s="28" t="s">
        <v>4110</v>
      </c>
      <c r="T246" s="28">
        <v>1</v>
      </c>
      <c r="U246" s="28" t="s">
        <v>1719</v>
      </c>
      <c r="V246" s="28" t="s">
        <v>6377</v>
      </c>
      <c r="W246" s="28" t="s">
        <v>6378</v>
      </c>
      <c r="X246" s="135">
        <v>45720.458333333336</v>
      </c>
      <c r="Y246" s="28"/>
      <c r="Z246" s="28">
        <v>0.3</v>
      </c>
      <c r="AA246" s="28"/>
      <c r="AB246" s="28" t="s">
        <v>1720</v>
      </c>
      <c r="AC246" s="30" t="s">
        <v>4119</v>
      </c>
      <c r="AD246" s="28" t="s">
        <v>1721</v>
      </c>
      <c r="AE246" s="28"/>
      <c r="AF246" s="28"/>
      <c r="AG246" s="28"/>
      <c r="AH246" s="28"/>
      <c r="AI246" s="28"/>
      <c r="AJ246" s="28"/>
      <c r="AK246" s="28" t="s">
        <v>1721</v>
      </c>
      <c r="AL246" s="325"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6379</v>
      </c>
      <c r="R247" s="31" t="s">
        <v>52</v>
      </c>
      <c r="S247" s="31" t="s">
        <v>4110</v>
      </c>
      <c r="T247" s="31">
        <v>1</v>
      </c>
      <c r="U247" s="31" t="s">
        <v>1719</v>
      </c>
      <c r="V247" s="31" t="s">
        <v>6380</v>
      </c>
      <c r="W247" s="31" t="s">
        <v>6381</v>
      </c>
      <c r="X247" s="211">
        <v>45720.493055555555</v>
      </c>
      <c r="Y247" s="31"/>
      <c r="Z247" s="31">
        <v>0.3</v>
      </c>
      <c r="AA247" s="31"/>
      <c r="AB247" s="31" t="s">
        <v>1720</v>
      </c>
      <c r="AC247" s="33" t="s">
        <v>4119</v>
      </c>
      <c r="AD247" s="31" t="s">
        <v>1721</v>
      </c>
      <c r="AE247" s="31"/>
      <c r="AF247" s="31"/>
      <c r="AG247" s="31"/>
      <c r="AH247" s="31"/>
      <c r="AI247" s="31"/>
      <c r="AJ247" s="31"/>
      <c r="AK247" s="31" t="s">
        <v>1721</v>
      </c>
      <c r="AL247" s="325"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6293</v>
      </c>
      <c r="R248" s="28" t="s">
        <v>52</v>
      </c>
      <c r="S248" s="28" t="s">
        <v>4110</v>
      </c>
      <c r="T248" s="28">
        <v>1</v>
      </c>
      <c r="U248" s="28" t="s">
        <v>1719</v>
      </c>
      <c r="V248" s="28" t="s">
        <v>6382</v>
      </c>
      <c r="W248" s="28" t="s">
        <v>6383</v>
      </c>
      <c r="X248" s="135">
        <v>45720.579861111109</v>
      </c>
      <c r="Y248" s="28"/>
      <c r="Z248" s="28">
        <v>0.4</v>
      </c>
      <c r="AA248" s="28"/>
      <c r="AB248" s="28" t="s">
        <v>1720</v>
      </c>
      <c r="AC248" s="30" t="s">
        <v>4119</v>
      </c>
      <c r="AD248" s="28" t="s">
        <v>1721</v>
      </c>
      <c r="AE248" s="28"/>
      <c r="AF248" s="28"/>
      <c r="AG248" s="28"/>
      <c r="AH248" s="28"/>
      <c r="AI248" s="28"/>
      <c r="AJ248" s="28"/>
      <c r="AK248" s="28" t="s">
        <v>1721</v>
      </c>
      <c r="AL248" s="325"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6384</v>
      </c>
      <c r="R249" s="31" t="s">
        <v>52</v>
      </c>
      <c r="S249" s="31" t="s">
        <v>4110</v>
      </c>
      <c r="T249" s="31">
        <v>1</v>
      </c>
      <c r="U249" s="31" t="s">
        <v>1719</v>
      </c>
      <c r="V249" s="31" t="s">
        <v>6385</v>
      </c>
      <c r="W249" s="31" t="s">
        <v>6386</v>
      </c>
      <c r="X249" s="211">
        <v>45720.59375</v>
      </c>
      <c r="Y249" s="31"/>
      <c r="Z249" s="31">
        <v>0.3</v>
      </c>
      <c r="AA249" s="31"/>
      <c r="AB249" s="31" t="s">
        <v>1720</v>
      </c>
      <c r="AC249" s="33" t="s">
        <v>4119</v>
      </c>
      <c r="AD249" s="31" t="s">
        <v>1721</v>
      </c>
      <c r="AE249" s="31"/>
      <c r="AF249" s="31"/>
      <c r="AG249" s="31"/>
      <c r="AH249" s="31"/>
      <c r="AI249" s="31"/>
      <c r="AJ249" s="31"/>
      <c r="AK249" s="31" t="s">
        <v>1721</v>
      </c>
      <c r="AL249" s="325"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6387</v>
      </c>
      <c r="R250" s="28" t="s">
        <v>52</v>
      </c>
      <c r="S250" s="28" t="s">
        <v>4110</v>
      </c>
      <c r="T250" s="28">
        <v>1</v>
      </c>
      <c r="U250" s="28" t="s">
        <v>1719</v>
      </c>
      <c r="V250" s="28" t="s">
        <v>6388</v>
      </c>
      <c r="W250" s="28" t="s">
        <v>6389</v>
      </c>
      <c r="X250" s="135">
        <v>45720.618055555555</v>
      </c>
      <c r="Y250" s="28"/>
      <c r="Z250" s="28">
        <v>0.3</v>
      </c>
      <c r="AA250" s="28"/>
      <c r="AB250" s="28" t="s">
        <v>1720</v>
      </c>
      <c r="AC250" s="30" t="s">
        <v>4119</v>
      </c>
      <c r="AD250" s="28" t="s">
        <v>1721</v>
      </c>
      <c r="AE250" s="28"/>
      <c r="AF250" s="28"/>
      <c r="AG250" s="28"/>
      <c r="AH250" s="28"/>
      <c r="AI250" s="28"/>
      <c r="AJ250" s="28"/>
      <c r="AK250" s="28" t="s">
        <v>1721</v>
      </c>
      <c r="AL250" s="325"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6390</v>
      </c>
      <c r="R251" s="31" t="s">
        <v>52</v>
      </c>
      <c r="S251" s="31" t="s">
        <v>4110</v>
      </c>
      <c r="T251" s="31">
        <v>1</v>
      </c>
      <c r="U251" s="31" t="s">
        <v>1719</v>
      </c>
      <c r="V251" s="31" t="s">
        <v>6391</v>
      </c>
      <c r="W251" s="31" t="s">
        <v>6392</v>
      </c>
      <c r="X251" s="211">
        <v>45720.640972222223</v>
      </c>
      <c r="Y251" s="31"/>
      <c r="Z251" s="31">
        <v>0.4</v>
      </c>
      <c r="AA251" s="31"/>
      <c r="AB251" s="31" t="s">
        <v>1720</v>
      </c>
      <c r="AC251" s="33" t="s">
        <v>4119</v>
      </c>
      <c r="AD251" s="31" t="s">
        <v>1721</v>
      </c>
      <c r="AE251" s="31"/>
      <c r="AF251" s="31"/>
      <c r="AG251" s="31"/>
      <c r="AH251" s="31"/>
      <c r="AI251" s="31"/>
      <c r="AJ251" s="31"/>
      <c r="AK251" s="31" t="s">
        <v>1721</v>
      </c>
      <c r="AL251" s="325"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6393</v>
      </c>
      <c r="R252" s="28" t="s">
        <v>52</v>
      </c>
      <c r="S252" s="28" t="s">
        <v>4110</v>
      </c>
      <c r="T252" s="28">
        <v>1</v>
      </c>
      <c r="U252" s="28" t="s">
        <v>1719</v>
      </c>
      <c r="V252" s="28" t="s">
        <v>6394</v>
      </c>
      <c r="W252" s="28" t="s">
        <v>6395</v>
      </c>
      <c r="X252" s="135">
        <v>45720.671527777777</v>
      </c>
      <c r="Y252" s="28"/>
      <c r="Z252" s="28">
        <v>0.3</v>
      </c>
      <c r="AA252" s="28"/>
      <c r="AB252" s="28" t="s">
        <v>1720</v>
      </c>
      <c r="AC252" s="30" t="s">
        <v>4119</v>
      </c>
      <c r="AD252" s="28" t="s">
        <v>1721</v>
      </c>
      <c r="AE252" s="28"/>
      <c r="AF252" s="28"/>
      <c r="AG252" s="28"/>
      <c r="AH252" s="28"/>
      <c r="AI252" s="28"/>
      <c r="AJ252" s="28"/>
      <c r="AK252" s="28" t="s">
        <v>1721</v>
      </c>
      <c r="AL252" s="325"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5152</v>
      </c>
      <c r="R253" s="31" t="s">
        <v>52</v>
      </c>
      <c r="S253" s="31" t="s">
        <v>4110</v>
      </c>
      <c r="T253" s="31">
        <v>1</v>
      </c>
      <c r="U253" s="31" t="s">
        <v>1719</v>
      </c>
      <c r="V253" s="31" t="s">
        <v>6396</v>
      </c>
      <c r="W253" s="31" t="s">
        <v>6397</v>
      </c>
      <c r="X253" s="211">
        <v>45721.49722222222</v>
      </c>
      <c r="Y253" s="31"/>
      <c r="Z253" s="31">
        <v>0.4</v>
      </c>
      <c r="AA253" s="31"/>
      <c r="AB253" s="31" t="s">
        <v>1720</v>
      </c>
      <c r="AC253" s="33" t="s">
        <v>4119</v>
      </c>
      <c r="AD253" s="31" t="s">
        <v>1721</v>
      </c>
      <c r="AE253" s="31"/>
      <c r="AF253" s="31"/>
      <c r="AG253" s="31"/>
      <c r="AH253" s="31"/>
      <c r="AI253" s="31"/>
      <c r="AJ253" s="31"/>
      <c r="AK253" s="31" t="s">
        <v>1721</v>
      </c>
      <c r="AL253" s="325" t="e">
        <f t="shared" si="12"/>
        <v>#VALUE!</v>
      </c>
    </row>
    <row r="254" spans="1:38" ht="21.6" customHeight="1">
      <c r="A254" s="28">
        <v>19</v>
      </c>
      <c r="B254" s="28" t="s">
        <v>5033</v>
      </c>
      <c r="C254" s="28">
        <v>2025030556</v>
      </c>
      <c r="D254" s="28" t="s">
        <v>6398</v>
      </c>
      <c r="E254" s="28" t="s">
        <v>5035</v>
      </c>
      <c r="F254" s="28">
        <v>2069</v>
      </c>
      <c r="G254" s="28" t="s">
        <v>4112</v>
      </c>
      <c r="H254" s="28" t="s">
        <v>1722</v>
      </c>
      <c r="I254" s="28" t="s">
        <v>6399</v>
      </c>
      <c r="J254" s="28" t="s">
        <v>5066</v>
      </c>
      <c r="K254" s="28" t="s">
        <v>5039</v>
      </c>
      <c r="L254" s="28" t="s">
        <v>5368</v>
      </c>
      <c r="M254" s="29" t="s">
        <v>5369</v>
      </c>
      <c r="N254" s="28">
        <v>2705</v>
      </c>
      <c r="O254" s="29" t="s">
        <v>5828</v>
      </c>
      <c r="P254" s="30" t="s">
        <v>6400</v>
      </c>
      <c r="Q254" s="28" t="s">
        <v>6316</v>
      </c>
      <c r="R254" s="28" t="s">
        <v>52</v>
      </c>
      <c r="S254" s="28" t="s">
        <v>1157</v>
      </c>
      <c r="T254" s="28">
        <v>1</v>
      </c>
      <c r="U254" s="28" t="s">
        <v>1719</v>
      </c>
      <c r="V254" s="28" t="s">
        <v>6401</v>
      </c>
      <c r="W254" s="28" t="s">
        <v>6402</v>
      </c>
      <c r="X254" s="135">
        <v>45722.62222222222</v>
      </c>
      <c r="Y254" s="28" t="s">
        <v>6403</v>
      </c>
      <c r="Z254" s="28">
        <v>0.4</v>
      </c>
      <c r="AA254" s="28"/>
      <c r="AB254" s="28" t="s">
        <v>1720</v>
      </c>
      <c r="AC254" s="30" t="s">
        <v>6404</v>
      </c>
      <c r="AD254" s="28"/>
      <c r="AE254" s="28"/>
      <c r="AF254" s="28"/>
      <c r="AG254" s="28"/>
      <c r="AH254" s="28"/>
      <c r="AI254" s="28"/>
      <c r="AJ254" s="28"/>
      <c r="AK254" s="28" t="s">
        <v>1721</v>
      </c>
      <c r="AL254" s="325">
        <f t="shared" si="12"/>
        <v>45721</v>
      </c>
    </row>
    <row r="255" spans="1:38" ht="21.6" customHeight="1">
      <c r="A255" s="31">
        <v>20</v>
      </c>
      <c r="B255" s="31" t="s">
        <v>5033</v>
      </c>
      <c r="C255" s="31">
        <v>2025030562</v>
      </c>
      <c r="D255" s="31"/>
      <c r="E255" s="31"/>
      <c r="F255" s="31">
        <v>3892</v>
      </c>
      <c r="G255" s="31" t="s">
        <v>254</v>
      </c>
      <c r="H255" s="31" t="s">
        <v>1725</v>
      </c>
      <c r="I255" s="31"/>
      <c r="J255" s="31"/>
      <c r="K255" s="31"/>
      <c r="L255" s="31">
        <v>2</v>
      </c>
      <c r="M255" s="32" t="s">
        <v>6405</v>
      </c>
      <c r="N255" s="31" t="s">
        <v>6406</v>
      </c>
      <c r="O255" s="32" t="s">
        <v>6407</v>
      </c>
      <c r="P255" s="33"/>
      <c r="Q255" s="31" t="s">
        <v>6228</v>
      </c>
      <c r="R255" s="31" t="s">
        <v>52</v>
      </c>
      <c r="S255" s="31" t="s">
        <v>4110</v>
      </c>
      <c r="T255" s="31">
        <v>1</v>
      </c>
      <c r="U255" s="31" t="s">
        <v>1719</v>
      </c>
      <c r="V255" s="31" t="s">
        <v>6408</v>
      </c>
      <c r="W255" s="31" t="s">
        <v>6409</v>
      </c>
      <c r="X255" s="211">
        <v>45721.541666666664</v>
      </c>
      <c r="Y255" s="31"/>
      <c r="Z255" s="31">
        <v>1</v>
      </c>
      <c r="AA255" s="31"/>
      <c r="AB255" s="31" t="s">
        <v>1720</v>
      </c>
      <c r="AC255" s="33" t="s">
        <v>6410</v>
      </c>
      <c r="AD255" s="31"/>
      <c r="AE255" s="31"/>
      <c r="AF255" s="31"/>
      <c r="AG255" s="31"/>
      <c r="AH255" s="31"/>
      <c r="AI255" s="31"/>
      <c r="AJ255" s="31"/>
      <c r="AK255" s="31" t="s">
        <v>1721</v>
      </c>
      <c r="AL255" s="325" t="e">
        <f t="shared" si="12"/>
        <v>#VALUE!</v>
      </c>
    </row>
    <row r="256" spans="1:38" ht="21.6" customHeight="1">
      <c r="A256" s="28">
        <v>21</v>
      </c>
      <c r="B256" s="28" t="s">
        <v>5033</v>
      </c>
      <c r="C256" s="28">
        <v>2025030585</v>
      </c>
      <c r="D256" s="28" t="s">
        <v>6411</v>
      </c>
      <c r="E256" s="28" t="s">
        <v>5035</v>
      </c>
      <c r="F256" s="28" t="s">
        <v>42</v>
      </c>
      <c r="G256" s="28" t="s">
        <v>1478</v>
      </c>
      <c r="H256" s="28" t="s">
        <v>3321</v>
      </c>
      <c r="I256" s="28" t="s">
        <v>6412</v>
      </c>
      <c r="J256" s="28" t="s">
        <v>5066</v>
      </c>
      <c r="K256" s="28" t="s">
        <v>5039</v>
      </c>
      <c r="L256" s="28" t="s">
        <v>5068</v>
      </c>
      <c r="M256" s="29" t="s">
        <v>1723</v>
      </c>
      <c r="N256" s="28">
        <v>2307</v>
      </c>
      <c r="O256" s="29" t="s">
        <v>5383</v>
      </c>
      <c r="P256" s="30" t="s">
        <v>6413</v>
      </c>
      <c r="Q256" s="28" t="s">
        <v>5110</v>
      </c>
      <c r="R256" s="28" t="s">
        <v>52</v>
      </c>
      <c r="S256" s="28" t="s">
        <v>4110</v>
      </c>
      <c r="T256" s="28">
        <v>1</v>
      </c>
      <c r="U256" s="28" t="s">
        <v>1719</v>
      </c>
      <c r="V256" s="28" t="s">
        <v>6414</v>
      </c>
      <c r="W256" s="28" t="s">
        <v>6415</v>
      </c>
      <c r="X256" s="135">
        <v>45722.486111111109</v>
      </c>
      <c r="Y256" s="28" t="s">
        <v>6416</v>
      </c>
      <c r="Z256" s="28">
        <v>0.8</v>
      </c>
      <c r="AA256" s="28"/>
      <c r="AB256" s="28" t="s">
        <v>1720</v>
      </c>
      <c r="AC256" s="30" t="s">
        <v>6417</v>
      </c>
      <c r="AD256" s="28"/>
      <c r="AE256" s="28"/>
      <c r="AF256" s="28"/>
      <c r="AG256" s="28"/>
      <c r="AH256" s="28"/>
      <c r="AI256" s="28"/>
      <c r="AJ256" s="28"/>
      <c r="AK256" s="28" t="s">
        <v>1721</v>
      </c>
      <c r="AL256" s="325">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5794</v>
      </c>
      <c r="R257" s="31" t="s">
        <v>52</v>
      </c>
      <c r="S257" s="31" t="s">
        <v>4110</v>
      </c>
      <c r="T257" s="31">
        <v>1</v>
      </c>
      <c r="U257" s="31" t="s">
        <v>1719</v>
      </c>
      <c r="V257" s="31" t="s">
        <v>6418</v>
      </c>
      <c r="W257" s="31" t="s">
        <v>6419</v>
      </c>
      <c r="X257" s="211">
        <v>45721.678472222222</v>
      </c>
      <c r="Y257" s="31"/>
      <c r="Z257" s="31">
        <v>0.3</v>
      </c>
      <c r="AA257" s="31"/>
      <c r="AB257" s="31" t="s">
        <v>1720</v>
      </c>
      <c r="AC257" s="33" t="s">
        <v>4119</v>
      </c>
      <c r="AD257" s="31" t="s">
        <v>1721</v>
      </c>
      <c r="AE257" s="31"/>
      <c r="AF257" s="31"/>
      <c r="AG257" s="31"/>
      <c r="AH257" s="31"/>
      <c r="AI257" s="31"/>
      <c r="AJ257" s="31"/>
      <c r="AK257" s="31" t="s">
        <v>1721</v>
      </c>
      <c r="AL257" s="325"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5762</v>
      </c>
      <c r="R258" s="28" t="s">
        <v>52</v>
      </c>
      <c r="S258" s="28" t="s">
        <v>4110</v>
      </c>
      <c r="T258" s="28">
        <v>1</v>
      </c>
      <c r="U258" s="28" t="s">
        <v>1719</v>
      </c>
      <c r="V258" s="28" t="s">
        <v>6420</v>
      </c>
      <c r="W258" s="28" t="s">
        <v>6421</v>
      </c>
      <c r="X258" s="135">
        <v>45721.706944444442</v>
      </c>
      <c r="Y258" s="28"/>
      <c r="Z258" s="28">
        <v>0.5</v>
      </c>
      <c r="AA258" s="28"/>
      <c r="AB258" s="28" t="s">
        <v>1720</v>
      </c>
      <c r="AC258" s="30" t="s">
        <v>4119</v>
      </c>
      <c r="AD258" s="28" t="s">
        <v>1721</v>
      </c>
      <c r="AE258" s="28"/>
      <c r="AF258" s="28"/>
      <c r="AG258" s="28"/>
      <c r="AH258" s="28"/>
      <c r="AI258" s="28"/>
      <c r="AJ258" s="28"/>
      <c r="AK258" s="28" t="s">
        <v>1721</v>
      </c>
      <c r="AL258" s="325" t="e">
        <f t="shared" ref="AL258:AL321" si="13">DATEVALUE(TEXT(I258, "yyyy/mm/dd"))</f>
        <v>#VALUE!</v>
      </c>
    </row>
    <row r="259" spans="1:38" ht="21.6" customHeight="1">
      <c r="A259" s="31">
        <v>24</v>
      </c>
      <c r="B259" s="31" t="s">
        <v>1724</v>
      </c>
      <c r="C259" s="31">
        <v>2025030890</v>
      </c>
      <c r="D259" s="31"/>
      <c r="E259" s="31"/>
      <c r="F259" s="31">
        <v>5291</v>
      </c>
      <c r="G259" s="31" t="s">
        <v>5036</v>
      </c>
      <c r="H259" s="31" t="s">
        <v>1748</v>
      </c>
      <c r="I259" s="31"/>
      <c r="J259" s="31"/>
      <c r="K259" s="31"/>
      <c r="L259" s="31"/>
      <c r="M259" s="32"/>
      <c r="N259" s="31"/>
      <c r="O259" s="32"/>
      <c r="P259" s="33"/>
      <c r="Q259" s="31" t="s">
        <v>5043</v>
      </c>
      <c r="R259" s="31" t="s">
        <v>52</v>
      </c>
      <c r="S259" s="31" t="s">
        <v>16</v>
      </c>
      <c r="T259" s="31">
        <v>1</v>
      </c>
      <c r="U259" s="31" t="s">
        <v>1719</v>
      </c>
      <c r="V259" s="31" t="s">
        <v>6422</v>
      </c>
      <c r="W259" s="31" t="s">
        <v>6423</v>
      </c>
      <c r="X259" s="211">
        <v>45722.666666666664</v>
      </c>
      <c r="Y259" s="31"/>
      <c r="Z259" s="31">
        <v>7</v>
      </c>
      <c r="AA259" s="31"/>
      <c r="AB259" s="31" t="s">
        <v>1720</v>
      </c>
      <c r="AC259" s="33"/>
      <c r="AD259" s="31"/>
      <c r="AE259" s="31" t="s">
        <v>1721</v>
      </c>
      <c r="AF259" s="31"/>
      <c r="AG259" s="31"/>
      <c r="AH259" s="31"/>
      <c r="AI259" s="31"/>
      <c r="AJ259" s="31"/>
      <c r="AK259" s="31" t="s">
        <v>1721</v>
      </c>
      <c r="AL259" s="325" t="e">
        <f t="shared" si="13"/>
        <v>#VALUE!</v>
      </c>
    </row>
    <row r="260" spans="1:38" ht="21.6" customHeight="1">
      <c r="A260" s="28">
        <v>25</v>
      </c>
      <c r="B260" s="28" t="s">
        <v>5033</v>
      </c>
      <c r="C260" s="28">
        <v>2025030892</v>
      </c>
      <c r="D260" s="28" t="s">
        <v>6424</v>
      </c>
      <c r="E260" s="28" t="s">
        <v>5035</v>
      </c>
      <c r="F260" s="28">
        <v>3770</v>
      </c>
      <c r="G260" s="28" t="s">
        <v>235</v>
      </c>
      <c r="H260" s="28" t="s">
        <v>3317</v>
      </c>
      <c r="I260" s="28" t="s">
        <v>6425</v>
      </c>
      <c r="J260" s="28" t="s">
        <v>5096</v>
      </c>
      <c r="K260" s="28" t="s">
        <v>5039</v>
      </c>
      <c r="L260" s="28" t="s">
        <v>5068</v>
      </c>
      <c r="M260" s="29" t="s">
        <v>1723</v>
      </c>
      <c r="N260" s="28">
        <v>2302</v>
      </c>
      <c r="O260" s="29" t="s">
        <v>5282</v>
      </c>
      <c r="P260" s="30" t="s">
        <v>6426</v>
      </c>
      <c r="Q260" s="28" t="s">
        <v>5647</v>
      </c>
      <c r="R260" s="28" t="s">
        <v>52</v>
      </c>
      <c r="S260" s="28" t="s">
        <v>16</v>
      </c>
      <c r="T260" s="28">
        <v>1</v>
      </c>
      <c r="U260" s="28" t="s">
        <v>1719</v>
      </c>
      <c r="V260" s="28" t="s">
        <v>6427</v>
      </c>
      <c r="W260" s="28" t="s">
        <v>6428</v>
      </c>
      <c r="X260" s="135">
        <v>45723.5</v>
      </c>
      <c r="Y260" s="28" t="s">
        <v>6429</v>
      </c>
      <c r="Z260" s="28">
        <v>1</v>
      </c>
      <c r="AA260" s="28"/>
      <c r="AB260" s="28" t="s">
        <v>1720</v>
      </c>
      <c r="AC260" s="30" t="s">
        <v>6430</v>
      </c>
      <c r="AD260" s="28"/>
      <c r="AE260" s="28"/>
      <c r="AF260" s="28"/>
      <c r="AG260" s="28"/>
      <c r="AH260" s="28"/>
      <c r="AI260" s="28"/>
      <c r="AJ260" s="28"/>
      <c r="AK260" s="28" t="s">
        <v>1721</v>
      </c>
      <c r="AL260" s="325">
        <f t="shared" si="13"/>
        <v>45722</v>
      </c>
    </row>
    <row r="261" spans="1:38" ht="21.6" customHeight="1">
      <c r="A261" s="31">
        <v>26</v>
      </c>
      <c r="B261" s="31" t="s">
        <v>1724</v>
      </c>
      <c r="C261" s="31">
        <v>2025030893</v>
      </c>
      <c r="D261" s="31"/>
      <c r="E261" s="31"/>
      <c r="F261" s="31">
        <v>5291</v>
      </c>
      <c r="G261" s="31" t="s">
        <v>5036</v>
      </c>
      <c r="H261" s="31" t="s">
        <v>1748</v>
      </c>
      <c r="I261" s="31"/>
      <c r="J261" s="31"/>
      <c r="K261" s="31"/>
      <c r="L261" s="31"/>
      <c r="M261" s="32"/>
      <c r="N261" s="31"/>
      <c r="O261" s="32"/>
      <c r="P261" s="33"/>
      <c r="Q261" s="31" t="s">
        <v>5043</v>
      </c>
      <c r="R261" s="31" t="s">
        <v>52</v>
      </c>
      <c r="S261" s="31" t="s">
        <v>16</v>
      </c>
      <c r="T261" s="31">
        <v>1</v>
      </c>
      <c r="U261" s="31" t="s">
        <v>1719</v>
      </c>
      <c r="V261" s="31" t="s">
        <v>6431</v>
      </c>
      <c r="W261" s="31" t="s">
        <v>6423</v>
      </c>
      <c r="X261" s="211">
        <v>45722.666666666664</v>
      </c>
      <c r="Y261" s="31"/>
      <c r="Z261" s="31">
        <v>7</v>
      </c>
      <c r="AA261" s="31"/>
      <c r="AB261" s="31" t="s">
        <v>1720</v>
      </c>
      <c r="AC261" s="33" t="s">
        <v>6432</v>
      </c>
      <c r="AD261" s="31"/>
      <c r="AE261" s="31" t="s">
        <v>1721</v>
      </c>
      <c r="AF261" s="31"/>
      <c r="AG261" s="31"/>
      <c r="AH261" s="31"/>
      <c r="AI261" s="31"/>
      <c r="AJ261" s="31"/>
      <c r="AK261" s="31" t="s">
        <v>1721</v>
      </c>
      <c r="AL261" s="325" t="e">
        <f t="shared" si="13"/>
        <v>#VALUE!</v>
      </c>
    </row>
    <row r="262" spans="1:38" ht="21.6" customHeight="1">
      <c r="A262" s="28">
        <v>27</v>
      </c>
      <c r="B262" s="28" t="s">
        <v>5033</v>
      </c>
      <c r="C262" s="28">
        <v>2025030920</v>
      </c>
      <c r="D262" s="28" t="s">
        <v>6433</v>
      </c>
      <c r="E262" s="28" t="s">
        <v>5035</v>
      </c>
      <c r="F262" s="28" t="s">
        <v>29</v>
      </c>
      <c r="G262" s="28" t="s">
        <v>636</v>
      </c>
      <c r="H262" s="28" t="s">
        <v>1722</v>
      </c>
      <c r="I262" s="28" t="s">
        <v>6434</v>
      </c>
      <c r="J262" s="28" t="s">
        <v>5096</v>
      </c>
      <c r="K262" s="28" t="s">
        <v>5039</v>
      </c>
      <c r="L262" s="28" t="s">
        <v>5068</v>
      </c>
      <c r="M262" s="29" t="s">
        <v>1723</v>
      </c>
      <c r="N262" s="28">
        <v>2301</v>
      </c>
      <c r="O262" s="29" t="s">
        <v>6435</v>
      </c>
      <c r="P262" s="30" t="s">
        <v>6436</v>
      </c>
      <c r="Q262" s="28" t="s">
        <v>5086</v>
      </c>
      <c r="R262" s="28" t="s">
        <v>52</v>
      </c>
      <c r="S262" s="28" t="s">
        <v>1157</v>
      </c>
      <c r="T262" s="28">
        <v>1</v>
      </c>
      <c r="U262" s="28" t="s">
        <v>1719</v>
      </c>
      <c r="V262" s="28" t="s">
        <v>6437</v>
      </c>
      <c r="W262" s="28" t="s">
        <v>6438</v>
      </c>
      <c r="X262" s="135">
        <v>45723.600694444445</v>
      </c>
      <c r="Y262" s="28" t="s">
        <v>6439</v>
      </c>
      <c r="Z262" s="28">
        <v>0.4</v>
      </c>
      <c r="AA262" s="28"/>
      <c r="AB262" s="28" t="s">
        <v>1720</v>
      </c>
      <c r="AC262" s="30" t="s">
        <v>6440</v>
      </c>
      <c r="AD262" s="28"/>
      <c r="AE262" s="28"/>
      <c r="AF262" s="28"/>
      <c r="AG262" s="28"/>
      <c r="AH262" s="28"/>
      <c r="AI262" s="28"/>
      <c r="AJ262" s="28"/>
      <c r="AK262" s="28" t="s">
        <v>1721</v>
      </c>
      <c r="AL262" s="325">
        <f t="shared" si="13"/>
        <v>45722</v>
      </c>
    </row>
    <row r="263" spans="1:38" ht="21.6" customHeight="1">
      <c r="A263" s="31">
        <v>28</v>
      </c>
      <c r="B263" s="31" t="s">
        <v>5033</v>
      </c>
      <c r="C263" s="31">
        <v>2025030951</v>
      </c>
      <c r="D263" s="31" t="s">
        <v>6441</v>
      </c>
      <c r="E263" s="31" t="s">
        <v>5035</v>
      </c>
      <c r="F263" s="31">
        <v>3892</v>
      </c>
      <c r="G263" s="31" t="s">
        <v>254</v>
      </c>
      <c r="H263" s="31" t="s">
        <v>1725</v>
      </c>
      <c r="I263" s="31" t="s">
        <v>6442</v>
      </c>
      <c r="J263" s="31" t="s">
        <v>5299</v>
      </c>
      <c r="K263" s="31" t="s">
        <v>5067</v>
      </c>
      <c r="L263" s="31" t="s">
        <v>5040</v>
      </c>
      <c r="M263" s="32" t="s">
        <v>4057</v>
      </c>
      <c r="N263" s="31">
        <v>2501</v>
      </c>
      <c r="O263" s="32" t="s">
        <v>5041</v>
      </c>
      <c r="P263" s="33" t="s">
        <v>6443</v>
      </c>
      <c r="Q263" s="31" t="s">
        <v>6228</v>
      </c>
      <c r="R263" s="31" t="s">
        <v>52</v>
      </c>
      <c r="S263" s="31" t="s">
        <v>4110</v>
      </c>
      <c r="T263" s="31">
        <v>1</v>
      </c>
      <c r="U263" s="31" t="s">
        <v>1719</v>
      </c>
      <c r="V263" s="31" t="s">
        <v>6444</v>
      </c>
      <c r="W263" s="31" t="s">
        <v>6445</v>
      </c>
      <c r="X263" s="211">
        <v>45723.461805555555</v>
      </c>
      <c r="Y263" s="31" t="s">
        <v>6446</v>
      </c>
      <c r="Z263" s="31">
        <v>0.5</v>
      </c>
      <c r="AA263" s="31"/>
      <c r="AB263" s="31" t="s">
        <v>1720</v>
      </c>
      <c r="AC263" s="33" t="s">
        <v>6447</v>
      </c>
      <c r="AD263" s="31"/>
      <c r="AE263" s="31"/>
      <c r="AF263" s="31"/>
      <c r="AG263" s="31"/>
      <c r="AH263" s="31"/>
      <c r="AI263" s="31"/>
      <c r="AJ263" s="31"/>
      <c r="AK263" s="31" t="s">
        <v>1721</v>
      </c>
      <c r="AL263" s="325">
        <f t="shared" si="13"/>
        <v>45723</v>
      </c>
    </row>
    <row r="264" spans="1:38" ht="21.6" customHeight="1">
      <c r="A264" s="28">
        <v>29</v>
      </c>
      <c r="B264" s="28" t="s">
        <v>5033</v>
      </c>
      <c r="C264" s="28">
        <v>2025031003</v>
      </c>
      <c r="D264" s="28" t="s">
        <v>6448</v>
      </c>
      <c r="E264" s="28" t="s">
        <v>5035</v>
      </c>
      <c r="F264" s="28" t="s">
        <v>29</v>
      </c>
      <c r="G264" s="28" t="s">
        <v>636</v>
      </c>
      <c r="H264" s="28" t="s">
        <v>1722</v>
      </c>
      <c r="I264" s="28" t="s">
        <v>6449</v>
      </c>
      <c r="J264" s="28" t="s">
        <v>5299</v>
      </c>
      <c r="K264" s="28" t="s">
        <v>5039</v>
      </c>
      <c r="L264" s="28" t="s">
        <v>6030</v>
      </c>
      <c r="M264" s="29" t="s">
        <v>6031</v>
      </c>
      <c r="N264" s="28">
        <v>6003</v>
      </c>
      <c r="O264" s="29" t="s">
        <v>5751</v>
      </c>
      <c r="P264" s="30" t="s">
        <v>6450</v>
      </c>
      <c r="Q264" s="28" t="s">
        <v>5086</v>
      </c>
      <c r="R264" s="28" t="s">
        <v>52</v>
      </c>
      <c r="S264" s="28" t="s">
        <v>1157</v>
      </c>
      <c r="T264" s="28">
        <v>1</v>
      </c>
      <c r="U264" s="28" t="s">
        <v>1719</v>
      </c>
      <c r="V264" s="28" t="s">
        <v>6451</v>
      </c>
      <c r="W264" s="28" t="s">
        <v>6438</v>
      </c>
      <c r="X264" s="135">
        <v>45723.600694444445</v>
      </c>
      <c r="Y264" s="28" t="s">
        <v>6452</v>
      </c>
      <c r="Z264" s="28">
        <v>0.4</v>
      </c>
      <c r="AA264" s="28"/>
      <c r="AB264" s="28" t="s">
        <v>1720</v>
      </c>
      <c r="AC264" s="30" t="s">
        <v>6453</v>
      </c>
      <c r="AD264" s="28"/>
      <c r="AE264" s="28"/>
      <c r="AF264" s="28"/>
      <c r="AG264" s="28"/>
      <c r="AH264" s="28"/>
      <c r="AI264" s="28"/>
      <c r="AJ264" s="28"/>
      <c r="AK264" s="28" t="s">
        <v>1721</v>
      </c>
      <c r="AL264" s="325">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6454</v>
      </c>
      <c r="R265" s="31" t="s">
        <v>52</v>
      </c>
      <c r="S265" s="31" t="s">
        <v>4110</v>
      </c>
      <c r="T265" s="31">
        <v>1</v>
      </c>
      <c r="U265" s="31" t="s">
        <v>1719</v>
      </c>
      <c r="V265" s="31" t="s">
        <v>6455</v>
      </c>
      <c r="W265" s="31" t="s">
        <v>6456</v>
      </c>
      <c r="X265" s="211">
        <v>45723.629861111112</v>
      </c>
      <c r="Y265" s="31"/>
      <c r="Z265" s="31">
        <v>0.3</v>
      </c>
      <c r="AA265" s="31"/>
      <c r="AB265" s="31" t="s">
        <v>1720</v>
      </c>
      <c r="AC265" s="33" t="s">
        <v>4119</v>
      </c>
      <c r="AD265" s="31" t="s">
        <v>1721</v>
      </c>
      <c r="AE265" s="31"/>
      <c r="AF265" s="31"/>
      <c r="AG265" s="31"/>
      <c r="AH265" s="31"/>
      <c r="AI265" s="31"/>
      <c r="AJ265" s="31"/>
      <c r="AK265" s="31" t="s">
        <v>1721</v>
      </c>
      <c r="AL265" s="325"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5086</v>
      </c>
      <c r="R266" s="28" t="s">
        <v>52</v>
      </c>
      <c r="S266" s="28" t="s">
        <v>1157</v>
      </c>
      <c r="T266" s="28">
        <v>1</v>
      </c>
      <c r="U266" s="28" t="s">
        <v>1719</v>
      </c>
      <c r="V266" s="28" t="s">
        <v>6457</v>
      </c>
      <c r="W266" s="28" t="s">
        <v>6458</v>
      </c>
      <c r="X266" s="135">
        <v>45723.647222222222</v>
      </c>
      <c r="Y266" s="28"/>
      <c r="Z266" s="28">
        <v>0.3</v>
      </c>
      <c r="AA266" s="28"/>
      <c r="AB266" s="28" t="s">
        <v>1720</v>
      </c>
      <c r="AC266" s="30" t="s">
        <v>4119</v>
      </c>
      <c r="AD266" s="28" t="s">
        <v>1721</v>
      </c>
      <c r="AE266" s="28"/>
      <c r="AF266" s="28"/>
      <c r="AG266" s="28"/>
      <c r="AH266" s="28"/>
      <c r="AI266" s="28"/>
      <c r="AJ266" s="28"/>
      <c r="AK266" s="28" t="s">
        <v>1721</v>
      </c>
      <c r="AL266" s="325"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6459</v>
      </c>
      <c r="R267" s="31" t="s">
        <v>52</v>
      </c>
      <c r="S267" s="31" t="s">
        <v>4110</v>
      </c>
      <c r="T267" s="31">
        <v>1</v>
      </c>
      <c r="U267" s="31" t="s">
        <v>1719</v>
      </c>
      <c r="V267" s="31" t="s">
        <v>6460</v>
      </c>
      <c r="W267" s="31" t="s">
        <v>6461</v>
      </c>
      <c r="X267" s="211">
        <v>45723.651388888888</v>
      </c>
      <c r="Y267" s="31"/>
      <c r="Z267" s="31">
        <v>0.3</v>
      </c>
      <c r="AA267" s="31"/>
      <c r="AB267" s="31" t="s">
        <v>1720</v>
      </c>
      <c r="AC267" s="33" t="s">
        <v>4119</v>
      </c>
      <c r="AD267" s="31" t="s">
        <v>1721</v>
      </c>
      <c r="AE267" s="31"/>
      <c r="AF267" s="31"/>
      <c r="AG267" s="31"/>
      <c r="AH267" s="31"/>
      <c r="AI267" s="31"/>
      <c r="AJ267" s="31"/>
      <c r="AK267" s="31" t="s">
        <v>1721</v>
      </c>
      <c r="AL267" s="325" t="e">
        <f t="shared" si="13"/>
        <v>#VALUE!</v>
      </c>
    </row>
    <row r="268" spans="1:38" ht="21.6" customHeight="1">
      <c r="A268" s="28">
        <v>33</v>
      </c>
      <c r="B268" s="28" t="s">
        <v>5033</v>
      </c>
      <c r="C268" s="28">
        <v>2025031088</v>
      </c>
      <c r="D268" s="28" t="s">
        <v>6462</v>
      </c>
      <c r="E268" s="28" t="s">
        <v>5035</v>
      </c>
      <c r="F268" s="28">
        <v>3811</v>
      </c>
      <c r="G268" s="28" t="s">
        <v>4082</v>
      </c>
      <c r="H268" s="28" t="s">
        <v>1747</v>
      </c>
      <c r="I268" s="28" t="s">
        <v>6463</v>
      </c>
      <c r="J268" s="28" t="s">
        <v>5299</v>
      </c>
      <c r="K268" s="28" t="s">
        <v>5039</v>
      </c>
      <c r="L268" s="28" t="s">
        <v>6030</v>
      </c>
      <c r="M268" s="29" t="s">
        <v>6031</v>
      </c>
      <c r="N268" s="28">
        <v>6004</v>
      </c>
      <c r="O268" s="29" t="s">
        <v>5541</v>
      </c>
      <c r="P268" s="30" t="s">
        <v>6464</v>
      </c>
      <c r="Q268" s="28" t="s">
        <v>6293</v>
      </c>
      <c r="R268" s="28" t="s">
        <v>52</v>
      </c>
      <c r="S268" s="28" t="s">
        <v>4110</v>
      </c>
      <c r="T268" s="28">
        <v>1</v>
      </c>
      <c r="U268" s="28" t="s">
        <v>1719</v>
      </c>
      <c r="V268" s="28" t="s">
        <v>6465</v>
      </c>
      <c r="W268" s="28" t="s">
        <v>6466</v>
      </c>
      <c r="X268" s="135">
        <v>45726.561111111114</v>
      </c>
      <c r="Y268" s="28" t="s">
        <v>6467</v>
      </c>
      <c r="Z268" s="28">
        <v>0.5</v>
      </c>
      <c r="AA268" s="28"/>
      <c r="AB268" s="28" t="s">
        <v>1720</v>
      </c>
      <c r="AC268" s="30" t="s">
        <v>6468</v>
      </c>
      <c r="AD268" s="28"/>
      <c r="AE268" s="28"/>
      <c r="AF268" s="28"/>
      <c r="AG268" s="28"/>
      <c r="AH268" s="28"/>
      <c r="AI268" s="28"/>
      <c r="AJ268" s="28"/>
      <c r="AK268" s="28" t="s">
        <v>1721</v>
      </c>
      <c r="AL268" s="325">
        <f t="shared" si="13"/>
        <v>45723</v>
      </c>
    </row>
    <row r="269" spans="1:38" ht="21.6" customHeight="1">
      <c r="A269" s="31">
        <v>34</v>
      </c>
      <c r="B269" s="31" t="s">
        <v>5033</v>
      </c>
      <c r="C269" s="31">
        <v>2025031168</v>
      </c>
      <c r="D269" s="31" t="s">
        <v>6469</v>
      </c>
      <c r="E269" s="31" t="s">
        <v>5035</v>
      </c>
      <c r="F269" s="31">
        <v>4084</v>
      </c>
      <c r="G269" s="31" t="s">
        <v>305</v>
      </c>
      <c r="H269" s="31" t="s">
        <v>1747</v>
      </c>
      <c r="I269" s="31" t="s">
        <v>6470</v>
      </c>
      <c r="J269" s="31" t="s">
        <v>5299</v>
      </c>
      <c r="K269" s="31" t="s">
        <v>5415</v>
      </c>
      <c r="L269" s="31" t="s">
        <v>5068</v>
      </c>
      <c r="M269" s="32" t="s">
        <v>1723</v>
      </c>
      <c r="N269" s="31">
        <v>2304</v>
      </c>
      <c r="O269" s="32" t="s">
        <v>5097</v>
      </c>
      <c r="P269" s="33" t="s">
        <v>6471</v>
      </c>
      <c r="Q269" s="31" t="s">
        <v>5075</v>
      </c>
      <c r="R269" s="31" t="s">
        <v>52</v>
      </c>
      <c r="S269" s="31" t="s">
        <v>4110</v>
      </c>
      <c r="T269" s="31">
        <v>1</v>
      </c>
      <c r="U269" s="31" t="s">
        <v>1719</v>
      </c>
      <c r="V269" s="31" t="s">
        <v>6472</v>
      </c>
      <c r="W269" s="31" t="s">
        <v>6473</v>
      </c>
      <c r="X269" s="211">
        <v>45726.540972222225</v>
      </c>
      <c r="Y269" s="31" t="s">
        <v>6474</v>
      </c>
      <c r="Z269" s="31">
        <v>0.5</v>
      </c>
      <c r="AA269" s="31"/>
      <c r="AB269" s="31" t="s">
        <v>1720</v>
      </c>
      <c r="AC269" s="33" t="s">
        <v>6475</v>
      </c>
      <c r="AD269" s="31"/>
      <c r="AE269" s="31"/>
      <c r="AF269" s="31"/>
      <c r="AG269" s="31"/>
      <c r="AH269" s="31"/>
      <c r="AI269" s="31"/>
      <c r="AJ269" s="31"/>
      <c r="AK269" s="31" t="s">
        <v>1721</v>
      </c>
      <c r="AL269" s="325">
        <f t="shared" si="13"/>
        <v>45723</v>
      </c>
    </row>
    <row r="270" spans="1:38" ht="21.6" customHeight="1">
      <c r="A270" s="28">
        <v>35</v>
      </c>
      <c r="B270" s="28" t="s">
        <v>5033</v>
      </c>
      <c r="C270" s="28">
        <v>2025031174</v>
      </c>
      <c r="D270" s="28" t="s">
        <v>6476</v>
      </c>
      <c r="E270" s="28" t="s">
        <v>5035</v>
      </c>
      <c r="F270" s="28">
        <v>3770</v>
      </c>
      <c r="G270" s="28" t="s">
        <v>235</v>
      </c>
      <c r="H270" s="28" t="s">
        <v>3317</v>
      </c>
      <c r="I270" s="28" t="s">
        <v>6477</v>
      </c>
      <c r="J270" s="28" t="s">
        <v>5575</v>
      </c>
      <c r="K270" s="28" t="s">
        <v>5039</v>
      </c>
      <c r="L270" s="28" t="s">
        <v>5068</v>
      </c>
      <c r="M270" s="29" t="s">
        <v>1723</v>
      </c>
      <c r="N270" s="28">
        <v>2307</v>
      </c>
      <c r="O270" s="29" t="s">
        <v>5383</v>
      </c>
      <c r="P270" s="30" t="s">
        <v>6478</v>
      </c>
      <c r="Q270" s="28" t="s">
        <v>5647</v>
      </c>
      <c r="R270" s="28" t="s">
        <v>52</v>
      </c>
      <c r="S270" s="28" t="s">
        <v>16</v>
      </c>
      <c r="T270" s="28">
        <v>1</v>
      </c>
      <c r="U270" s="28" t="s">
        <v>1719</v>
      </c>
      <c r="V270" s="28" t="s">
        <v>6479</v>
      </c>
      <c r="W270" s="28" t="s">
        <v>6480</v>
      </c>
      <c r="X270" s="135">
        <v>45726.493055555555</v>
      </c>
      <c r="Y270" s="28" t="s">
        <v>6481</v>
      </c>
      <c r="Z270" s="28">
        <v>0.5</v>
      </c>
      <c r="AA270" s="28"/>
      <c r="AB270" s="28" t="s">
        <v>1720</v>
      </c>
      <c r="AC270" s="30" t="s">
        <v>6482</v>
      </c>
      <c r="AD270" s="28"/>
      <c r="AE270" s="28"/>
      <c r="AF270" s="28"/>
      <c r="AG270" s="28"/>
      <c r="AH270" s="28"/>
      <c r="AI270" s="28"/>
      <c r="AJ270" s="28"/>
      <c r="AK270" s="28" t="s">
        <v>1721</v>
      </c>
      <c r="AL270" s="325">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6483</v>
      </c>
      <c r="AD271" s="31"/>
      <c r="AE271" s="31"/>
      <c r="AF271" s="31"/>
      <c r="AG271" s="31"/>
      <c r="AH271" s="31"/>
      <c r="AI271" s="31"/>
      <c r="AJ271" s="31" t="s">
        <v>1721</v>
      </c>
      <c r="AK271" s="31" t="s">
        <v>1721</v>
      </c>
      <c r="AL271" s="325" t="e">
        <f t="shared" si="13"/>
        <v>#VALUE!</v>
      </c>
    </row>
    <row r="272" spans="1:38" ht="21.6" customHeight="1">
      <c r="A272" s="28">
        <v>37</v>
      </c>
      <c r="B272" s="28" t="s">
        <v>5033</v>
      </c>
      <c r="C272" s="28">
        <v>2025031254</v>
      </c>
      <c r="D272" s="28" t="s">
        <v>6484</v>
      </c>
      <c r="E272" s="28" t="s">
        <v>5035</v>
      </c>
      <c r="F272" s="28">
        <v>3452</v>
      </c>
      <c r="G272" s="28" t="s">
        <v>188</v>
      </c>
      <c r="H272" s="28" t="s">
        <v>1725</v>
      </c>
      <c r="I272" s="28" t="s">
        <v>6485</v>
      </c>
      <c r="J272" s="28" t="s">
        <v>5038</v>
      </c>
      <c r="K272" s="28" t="s">
        <v>5039</v>
      </c>
      <c r="L272" s="28" t="s">
        <v>5068</v>
      </c>
      <c r="M272" s="29" t="s">
        <v>1723</v>
      </c>
      <c r="N272" s="28">
        <v>2305</v>
      </c>
      <c r="O272" s="29" t="s">
        <v>5069</v>
      </c>
      <c r="P272" s="30" t="s">
        <v>6486</v>
      </c>
      <c r="Q272" s="28" t="s">
        <v>6393</v>
      </c>
      <c r="R272" s="28" t="s">
        <v>52</v>
      </c>
      <c r="S272" s="28" t="s">
        <v>4110</v>
      </c>
      <c r="T272" s="28">
        <v>1</v>
      </c>
      <c r="U272" s="28" t="s">
        <v>1719</v>
      </c>
      <c r="V272" s="28" t="s">
        <v>6487</v>
      </c>
      <c r="W272" s="28" t="s">
        <v>6488</v>
      </c>
      <c r="X272" s="135">
        <v>45727.447222222225</v>
      </c>
      <c r="Y272" s="28" t="s">
        <v>6489</v>
      </c>
      <c r="Z272" s="28">
        <v>0.5</v>
      </c>
      <c r="AA272" s="28"/>
      <c r="AB272" s="28" t="s">
        <v>1720</v>
      </c>
      <c r="AC272" s="30" t="s">
        <v>6490</v>
      </c>
      <c r="AD272" s="28"/>
      <c r="AE272" s="28"/>
      <c r="AF272" s="28"/>
      <c r="AG272" s="28"/>
      <c r="AH272" s="28"/>
      <c r="AI272" s="28"/>
      <c r="AJ272" s="28"/>
      <c r="AK272" s="28" t="s">
        <v>1721</v>
      </c>
      <c r="AL272" s="325">
        <f t="shared" si="13"/>
        <v>45726</v>
      </c>
    </row>
    <row r="273" spans="1:38" ht="21.6" customHeight="1">
      <c r="A273" s="31">
        <v>38</v>
      </c>
      <c r="B273" s="31" t="s">
        <v>5033</v>
      </c>
      <c r="C273" s="31">
        <v>2025031271</v>
      </c>
      <c r="D273" s="31" t="s">
        <v>6491</v>
      </c>
      <c r="E273" s="31" t="s">
        <v>5035</v>
      </c>
      <c r="F273" s="31">
        <v>3965</v>
      </c>
      <c r="G273" s="31" t="s">
        <v>275</v>
      </c>
      <c r="H273" s="31" t="s">
        <v>1722</v>
      </c>
      <c r="I273" s="31" t="s">
        <v>6492</v>
      </c>
      <c r="J273" s="31" t="s">
        <v>5038</v>
      </c>
      <c r="K273" s="31" t="s">
        <v>5039</v>
      </c>
      <c r="L273" s="31" t="s">
        <v>6030</v>
      </c>
      <c r="M273" s="32" t="s">
        <v>6031</v>
      </c>
      <c r="N273" s="31">
        <v>6003</v>
      </c>
      <c r="O273" s="32" t="s">
        <v>5751</v>
      </c>
      <c r="P273" s="33" t="s">
        <v>6493</v>
      </c>
      <c r="Q273" s="31" t="s">
        <v>6494</v>
      </c>
      <c r="R273" s="31" t="s">
        <v>52</v>
      </c>
      <c r="S273" s="31" t="s">
        <v>1157</v>
      </c>
      <c r="T273" s="31">
        <v>1</v>
      </c>
      <c r="U273" s="31" t="s">
        <v>1719</v>
      </c>
      <c r="V273" s="31" t="s">
        <v>6495</v>
      </c>
      <c r="W273" s="31" t="s">
        <v>6496</v>
      </c>
      <c r="X273" s="211">
        <v>45727.474999999999</v>
      </c>
      <c r="Y273" s="31" t="s">
        <v>6497</v>
      </c>
      <c r="Z273" s="31">
        <v>0.6</v>
      </c>
      <c r="AA273" s="31"/>
      <c r="AB273" s="31" t="s">
        <v>1720</v>
      </c>
      <c r="AC273" s="33" t="s">
        <v>6498</v>
      </c>
      <c r="AD273" s="31"/>
      <c r="AE273" s="31"/>
      <c r="AF273" s="31"/>
      <c r="AG273" s="31"/>
      <c r="AH273" s="31"/>
      <c r="AI273" s="31"/>
      <c r="AJ273" s="31"/>
      <c r="AK273" s="31" t="s">
        <v>1721</v>
      </c>
      <c r="AL273" s="325">
        <f t="shared" si="13"/>
        <v>45726</v>
      </c>
    </row>
    <row r="274" spans="1:38" ht="21.6" customHeight="1">
      <c r="A274" s="28">
        <v>39</v>
      </c>
      <c r="B274" s="28" t="s">
        <v>5033</v>
      </c>
      <c r="C274" s="28">
        <v>2025031339</v>
      </c>
      <c r="D274" s="28" t="s">
        <v>6499</v>
      </c>
      <c r="E274" s="28" t="s">
        <v>5035</v>
      </c>
      <c r="F274" s="28">
        <v>2390</v>
      </c>
      <c r="G274" s="28" t="s">
        <v>4097</v>
      </c>
      <c r="H274" s="28" t="s">
        <v>3317</v>
      </c>
      <c r="I274" s="28" t="s">
        <v>6500</v>
      </c>
      <c r="J274" s="28" t="s">
        <v>5252</v>
      </c>
      <c r="K274" s="28" t="s">
        <v>5067</v>
      </c>
      <c r="L274" s="28" t="s">
        <v>5227</v>
      </c>
      <c r="M274" s="29" t="s">
        <v>5228</v>
      </c>
      <c r="N274" s="28" t="s">
        <v>5718</v>
      </c>
      <c r="O274" s="29" t="s">
        <v>5719</v>
      </c>
      <c r="P274" s="30" t="s">
        <v>6501</v>
      </c>
      <c r="Q274" s="28" t="s">
        <v>5636</v>
      </c>
      <c r="R274" s="28" t="s">
        <v>52</v>
      </c>
      <c r="S274" s="28" t="s">
        <v>16</v>
      </c>
      <c r="T274" s="28">
        <v>1</v>
      </c>
      <c r="U274" s="28" t="s">
        <v>1719</v>
      </c>
      <c r="V274" s="28" t="s">
        <v>6502</v>
      </c>
      <c r="W274" s="28" t="s">
        <v>6503</v>
      </c>
      <c r="X274" s="135">
        <v>45727.472222222219</v>
      </c>
      <c r="Y274" s="28" t="s">
        <v>6504</v>
      </c>
      <c r="Z274" s="28">
        <v>0.2</v>
      </c>
      <c r="AA274" s="28"/>
      <c r="AB274" s="28" t="s">
        <v>1720</v>
      </c>
      <c r="AC274" s="30" t="s">
        <v>6505</v>
      </c>
      <c r="AD274" s="28"/>
      <c r="AE274" s="28"/>
      <c r="AF274" s="28"/>
      <c r="AG274" s="28"/>
      <c r="AH274" s="28"/>
      <c r="AI274" s="28"/>
      <c r="AJ274" s="28"/>
      <c r="AK274" s="28" t="s">
        <v>1721</v>
      </c>
      <c r="AL274" s="325">
        <f t="shared" si="13"/>
        <v>45727</v>
      </c>
    </row>
    <row r="275" spans="1:38" ht="21.6" customHeight="1">
      <c r="A275" s="31">
        <v>40</v>
      </c>
      <c r="B275" s="31" t="s">
        <v>5033</v>
      </c>
      <c r="C275" s="31">
        <v>2025031342</v>
      </c>
      <c r="D275" s="31" t="s">
        <v>6506</v>
      </c>
      <c r="E275" s="31" t="s">
        <v>5035</v>
      </c>
      <c r="F275" s="31">
        <v>2390</v>
      </c>
      <c r="G275" s="31" t="s">
        <v>4097</v>
      </c>
      <c r="H275" s="31" t="s">
        <v>3317</v>
      </c>
      <c r="I275" s="31" t="s">
        <v>6507</v>
      </c>
      <c r="J275" s="31" t="s">
        <v>5252</v>
      </c>
      <c r="K275" s="31" t="s">
        <v>5067</v>
      </c>
      <c r="L275" s="31" t="s">
        <v>5068</v>
      </c>
      <c r="M275" s="32" t="s">
        <v>1723</v>
      </c>
      <c r="N275" s="31">
        <v>2307</v>
      </c>
      <c r="O275" s="32" t="s">
        <v>5383</v>
      </c>
      <c r="P275" s="33" t="s">
        <v>6508</v>
      </c>
      <c r="Q275" s="31" t="s">
        <v>5636</v>
      </c>
      <c r="R275" s="31" t="s">
        <v>52</v>
      </c>
      <c r="S275" s="31" t="s">
        <v>16</v>
      </c>
      <c r="T275" s="31">
        <v>1</v>
      </c>
      <c r="U275" s="31" t="s">
        <v>1719</v>
      </c>
      <c r="V275" s="31" t="s">
        <v>6509</v>
      </c>
      <c r="W275" s="31" t="s">
        <v>6510</v>
      </c>
      <c r="X275" s="211">
        <v>45727.465277777781</v>
      </c>
      <c r="Y275" s="31" t="s">
        <v>6511</v>
      </c>
      <c r="Z275" s="31">
        <v>0.5</v>
      </c>
      <c r="AA275" s="31"/>
      <c r="AB275" s="31" t="s">
        <v>1720</v>
      </c>
      <c r="AC275" s="33" t="s">
        <v>6512</v>
      </c>
      <c r="AD275" s="31"/>
      <c r="AE275" s="31"/>
      <c r="AF275" s="31"/>
      <c r="AG275" s="31"/>
      <c r="AH275" s="31"/>
      <c r="AI275" s="31"/>
      <c r="AJ275" s="31"/>
      <c r="AK275" s="31" t="s">
        <v>1721</v>
      </c>
      <c r="AL275" s="325">
        <f t="shared" si="13"/>
        <v>45727</v>
      </c>
    </row>
    <row r="276" spans="1:38" ht="21.6" customHeight="1">
      <c r="A276" s="28">
        <v>41</v>
      </c>
      <c r="B276" s="28" t="s">
        <v>5033</v>
      </c>
      <c r="C276" s="28">
        <v>2025031343</v>
      </c>
      <c r="D276" s="28" t="s">
        <v>6513</v>
      </c>
      <c r="E276" s="28" t="s">
        <v>5035</v>
      </c>
      <c r="F276" s="28">
        <v>5291</v>
      </c>
      <c r="G276" s="28" t="s">
        <v>5036</v>
      </c>
      <c r="H276" s="28" t="s">
        <v>1748</v>
      </c>
      <c r="I276" s="28" t="s">
        <v>6514</v>
      </c>
      <c r="J276" s="28" t="s">
        <v>5252</v>
      </c>
      <c r="K276" s="28" t="s">
        <v>5067</v>
      </c>
      <c r="L276" s="28" t="s">
        <v>5040</v>
      </c>
      <c r="M276" s="29" t="s">
        <v>4057</v>
      </c>
      <c r="N276" s="28">
        <v>2501</v>
      </c>
      <c r="O276" s="29" t="s">
        <v>5041</v>
      </c>
      <c r="P276" s="30" t="s">
        <v>6515</v>
      </c>
      <c r="Q276" s="28" t="s">
        <v>5043</v>
      </c>
      <c r="R276" s="28" t="s">
        <v>52</v>
      </c>
      <c r="S276" s="28" t="s">
        <v>16</v>
      </c>
      <c r="T276" s="28">
        <v>1</v>
      </c>
      <c r="U276" s="28" t="s">
        <v>1719</v>
      </c>
      <c r="V276" s="28" t="s">
        <v>6516</v>
      </c>
      <c r="W276" s="28" t="s">
        <v>6517</v>
      </c>
      <c r="X276" s="135">
        <v>45727.635416666664</v>
      </c>
      <c r="Y276" s="28" t="s">
        <v>6518</v>
      </c>
      <c r="Z276" s="28">
        <v>1.3</v>
      </c>
      <c r="AA276" s="28"/>
      <c r="AB276" s="28" t="s">
        <v>1720</v>
      </c>
      <c r="AC276" s="30" t="s">
        <v>6519</v>
      </c>
      <c r="AD276" s="28"/>
      <c r="AE276" s="28"/>
      <c r="AF276" s="28"/>
      <c r="AG276" s="28"/>
      <c r="AH276" s="28"/>
      <c r="AI276" s="28"/>
      <c r="AJ276" s="28"/>
      <c r="AK276" s="28" t="s">
        <v>1721</v>
      </c>
      <c r="AL276" s="325">
        <f t="shared" si="13"/>
        <v>45727</v>
      </c>
    </row>
    <row r="277" spans="1:38" ht="21.6" customHeight="1">
      <c r="A277" s="31">
        <v>42</v>
      </c>
      <c r="B277" s="31" t="s">
        <v>5033</v>
      </c>
      <c r="C277" s="31">
        <v>2025031356</v>
      </c>
      <c r="D277" s="31" t="s">
        <v>6520</v>
      </c>
      <c r="E277" s="31" t="s">
        <v>5035</v>
      </c>
      <c r="F277" s="31">
        <v>4739</v>
      </c>
      <c r="G277" s="31" t="s">
        <v>502</v>
      </c>
      <c r="H277" s="31" t="s">
        <v>3321</v>
      </c>
      <c r="I277" s="31" t="s">
        <v>6521</v>
      </c>
      <c r="J277" s="31" t="s">
        <v>5252</v>
      </c>
      <c r="K277" s="31" t="s">
        <v>5067</v>
      </c>
      <c r="L277" s="31" t="s">
        <v>5271</v>
      </c>
      <c r="M277" s="32" t="s">
        <v>5272</v>
      </c>
      <c r="N277" s="31" t="s">
        <v>663</v>
      </c>
      <c r="O277" s="32" t="s">
        <v>5273</v>
      </c>
      <c r="P277" s="33" t="s">
        <v>6522</v>
      </c>
      <c r="Q277" s="31" t="s">
        <v>6523</v>
      </c>
      <c r="R277" s="31" t="s">
        <v>52</v>
      </c>
      <c r="S277" s="31" t="s">
        <v>4110</v>
      </c>
      <c r="T277" s="31">
        <v>1</v>
      </c>
      <c r="U277" s="31" t="s">
        <v>1719</v>
      </c>
      <c r="V277" s="31" t="s">
        <v>6524</v>
      </c>
      <c r="W277" s="31" t="s">
        <v>6525</v>
      </c>
      <c r="X277" s="211">
        <v>45727.609027777777</v>
      </c>
      <c r="Y277" s="31" t="s">
        <v>6526</v>
      </c>
      <c r="Z277" s="31">
        <v>0.7</v>
      </c>
      <c r="AA277" s="31"/>
      <c r="AB277" s="31" t="s">
        <v>1720</v>
      </c>
      <c r="AC277" s="33" t="s">
        <v>6527</v>
      </c>
      <c r="AD277" s="31"/>
      <c r="AE277" s="31"/>
      <c r="AF277" s="31"/>
      <c r="AG277" s="31"/>
      <c r="AH277" s="31"/>
      <c r="AI277" s="31"/>
      <c r="AJ277" s="31"/>
      <c r="AK277" s="31" t="s">
        <v>1721</v>
      </c>
      <c r="AL277" s="325">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6494</v>
      </c>
      <c r="R278" s="28" t="s">
        <v>52</v>
      </c>
      <c r="S278" s="28" t="s">
        <v>1157</v>
      </c>
      <c r="T278" s="28">
        <v>1</v>
      </c>
      <c r="U278" s="28" t="s">
        <v>1719</v>
      </c>
      <c r="V278" s="28" t="s">
        <v>6528</v>
      </c>
      <c r="W278" s="28" t="s">
        <v>6496</v>
      </c>
      <c r="X278" s="135">
        <v>45727.474999999999</v>
      </c>
      <c r="Y278" s="28"/>
      <c r="Z278" s="28">
        <v>0.6</v>
      </c>
      <c r="AA278" s="28"/>
      <c r="AB278" s="28" t="s">
        <v>1720</v>
      </c>
      <c r="AC278" s="30" t="s">
        <v>4119</v>
      </c>
      <c r="AD278" s="28" t="s">
        <v>1721</v>
      </c>
      <c r="AE278" s="28"/>
      <c r="AF278" s="28"/>
      <c r="AG278" s="28"/>
      <c r="AH278" s="28"/>
      <c r="AI278" s="28"/>
      <c r="AJ278" s="28"/>
      <c r="AK278" s="28" t="s">
        <v>1721</v>
      </c>
      <c r="AL278" s="325"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6529</v>
      </c>
      <c r="R279" s="31" t="s">
        <v>52</v>
      </c>
      <c r="S279" s="31" t="s">
        <v>4110</v>
      </c>
      <c r="T279" s="31">
        <v>1</v>
      </c>
      <c r="U279" s="31" t="s">
        <v>1719</v>
      </c>
      <c r="V279" s="31" t="s">
        <v>6530</v>
      </c>
      <c r="W279" s="31" t="s">
        <v>6531</v>
      </c>
      <c r="X279" s="211">
        <v>45727.497916666667</v>
      </c>
      <c r="Y279" s="31"/>
      <c r="Z279" s="31">
        <v>0.5</v>
      </c>
      <c r="AA279" s="31"/>
      <c r="AB279" s="31" t="s">
        <v>1720</v>
      </c>
      <c r="AC279" s="33" t="s">
        <v>4119</v>
      </c>
      <c r="AD279" s="31" t="s">
        <v>1721</v>
      </c>
      <c r="AE279" s="31"/>
      <c r="AF279" s="31"/>
      <c r="AG279" s="31"/>
      <c r="AH279" s="31"/>
      <c r="AI279" s="31"/>
      <c r="AJ279" s="31"/>
      <c r="AK279" s="31" t="s">
        <v>1721</v>
      </c>
      <c r="AL279" s="325"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6523</v>
      </c>
      <c r="R280" s="28" t="s">
        <v>52</v>
      </c>
      <c r="S280" s="28" t="s">
        <v>4110</v>
      </c>
      <c r="T280" s="28">
        <v>1</v>
      </c>
      <c r="U280" s="28" t="s">
        <v>1719</v>
      </c>
      <c r="V280" s="28" t="s">
        <v>6532</v>
      </c>
      <c r="W280" s="28" t="s">
        <v>6525</v>
      </c>
      <c r="X280" s="135">
        <v>45727.611111111109</v>
      </c>
      <c r="Y280" s="28"/>
      <c r="Z280" s="28">
        <v>0.8</v>
      </c>
      <c r="AA280" s="28"/>
      <c r="AB280" s="28" t="s">
        <v>1720</v>
      </c>
      <c r="AC280" s="30" t="s">
        <v>4119</v>
      </c>
      <c r="AD280" s="28" t="s">
        <v>1721</v>
      </c>
      <c r="AE280" s="28"/>
      <c r="AF280" s="28"/>
      <c r="AG280" s="28"/>
      <c r="AH280" s="28"/>
      <c r="AI280" s="28"/>
      <c r="AJ280" s="28"/>
      <c r="AK280" s="28" t="s">
        <v>1721</v>
      </c>
      <c r="AL280" s="325"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5836</v>
      </c>
      <c r="R281" s="31" t="s">
        <v>52</v>
      </c>
      <c r="S281" s="31" t="s">
        <v>4110</v>
      </c>
      <c r="T281" s="31">
        <v>1</v>
      </c>
      <c r="U281" s="31" t="s">
        <v>1719</v>
      </c>
      <c r="V281" s="31" t="s">
        <v>6533</v>
      </c>
      <c r="W281" s="31" t="s">
        <v>6534</v>
      </c>
      <c r="X281" s="211">
        <v>45727.629166666666</v>
      </c>
      <c r="Y281" s="31"/>
      <c r="Z281" s="31">
        <v>0.4</v>
      </c>
      <c r="AA281" s="31"/>
      <c r="AB281" s="31" t="s">
        <v>1720</v>
      </c>
      <c r="AC281" s="33" t="s">
        <v>4119</v>
      </c>
      <c r="AD281" s="31" t="s">
        <v>1721</v>
      </c>
      <c r="AE281" s="31"/>
      <c r="AF281" s="31"/>
      <c r="AG281" s="31"/>
      <c r="AH281" s="31"/>
      <c r="AI281" s="31"/>
      <c r="AJ281" s="31"/>
      <c r="AK281" s="31" t="s">
        <v>1721</v>
      </c>
      <c r="AL281" s="325"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5836</v>
      </c>
      <c r="R282" s="28" t="s">
        <v>52</v>
      </c>
      <c r="S282" s="28" t="s">
        <v>4110</v>
      </c>
      <c r="T282" s="28">
        <v>1</v>
      </c>
      <c r="U282" s="28" t="s">
        <v>1719</v>
      </c>
      <c r="V282" s="28" t="s">
        <v>6535</v>
      </c>
      <c r="W282" s="28" t="s">
        <v>6534</v>
      </c>
      <c r="X282" s="135">
        <v>45727.629166666666</v>
      </c>
      <c r="Y282" s="28"/>
      <c r="Z282" s="28">
        <v>0.4</v>
      </c>
      <c r="AA282" s="28"/>
      <c r="AB282" s="28" t="s">
        <v>1720</v>
      </c>
      <c r="AC282" s="30" t="s">
        <v>4119</v>
      </c>
      <c r="AD282" s="28" t="s">
        <v>1721</v>
      </c>
      <c r="AE282" s="28"/>
      <c r="AF282" s="28"/>
      <c r="AG282" s="28"/>
      <c r="AH282" s="28"/>
      <c r="AI282" s="28"/>
      <c r="AJ282" s="28"/>
      <c r="AK282" s="28" t="s">
        <v>1721</v>
      </c>
      <c r="AL282" s="325"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6536</v>
      </c>
      <c r="R283" s="31" t="s">
        <v>52</v>
      </c>
      <c r="S283" s="31" t="s">
        <v>16</v>
      </c>
      <c r="T283" s="31">
        <v>1</v>
      </c>
      <c r="U283" s="31" t="s">
        <v>1719</v>
      </c>
      <c r="V283" s="31" t="s">
        <v>6537</v>
      </c>
      <c r="W283" s="31" t="s">
        <v>6538</v>
      </c>
      <c r="X283" s="211">
        <v>45728.458333333336</v>
      </c>
      <c r="Y283" s="31"/>
      <c r="Z283" s="31">
        <v>0.5</v>
      </c>
      <c r="AA283" s="31"/>
      <c r="AB283" s="31" t="s">
        <v>1720</v>
      </c>
      <c r="AC283" s="33" t="s">
        <v>4119</v>
      </c>
      <c r="AD283" s="31" t="s">
        <v>1721</v>
      </c>
      <c r="AE283" s="31"/>
      <c r="AF283" s="31"/>
      <c r="AG283" s="31"/>
      <c r="AH283" s="31"/>
      <c r="AI283" s="31"/>
      <c r="AJ283" s="31"/>
      <c r="AK283" s="31" t="s">
        <v>1721</v>
      </c>
      <c r="AL283" s="325"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6540</v>
      </c>
      <c r="R284" s="28" t="s">
        <v>52</v>
      </c>
      <c r="S284" s="28" t="s">
        <v>16</v>
      </c>
      <c r="T284" s="28">
        <v>1</v>
      </c>
      <c r="U284" s="28" t="s">
        <v>1719</v>
      </c>
      <c r="V284" s="28" t="s">
        <v>6541</v>
      </c>
      <c r="W284" s="28" t="s">
        <v>6538</v>
      </c>
      <c r="X284" s="135">
        <v>45728.458333333336</v>
      </c>
      <c r="Y284" s="28"/>
      <c r="Z284" s="28">
        <v>0.5</v>
      </c>
      <c r="AA284" s="28"/>
      <c r="AB284" s="28" t="s">
        <v>1720</v>
      </c>
      <c r="AC284" s="30" t="s">
        <v>4119</v>
      </c>
      <c r="AD284" s="28" t="s">
        <v>1721</v>
      </c>
      <c r="AE284" s="28"/>
      <c r="AF284" s="28"/>
      <c r="AG284" s="28"/>
      <c r="AH284" s="28"/>
      <c r="AI284" s="28"/>
      <c r="AJ284" s="28"/>
      <c r="AK284" s="28" t="s">
        <v>1721</v>
      </c>
      <c r="AL284" s="325"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6542</v>
      </c>
      <c r="R285" s="31" t="s">
        <v>52</v>
      </c>
      <c r="S285" s="31" t="s">
        <v>16</v>
      </c>
      <c r="T285" s="31">
        <v>1</v>
      </c>
      <c r="U285" s="31" t="s">
        <v>1719</v>
      </c>
      <c r="V285" s="31" t="s">
        <v>6543</v>
      </c>
      <c r="W285" s="31" t="s">
        <v>6539</v>
      </c>
      <c r="X285" s="211">
        <v>45728.472222222219</v>
      </c>
      <c r="Y285" s="31"/>
      <c r="Z285" s="31">
        <v>0.3</v>
      </c>
      <c r="AA285" s="31"/>
      <c r="AB285" s="31" t="s">
        <v>1720</v>
      </c>
      <c r="AC285" s="33" t="s">
        <v>4119</v>
      </c>
      <c r="AD285" s="31" t="s">
        <v>1721</v>
      </c>
      <c r="AE285" s="31"/>
      <c r="AF285" s="31"/>
      <c r="AG285" s="31"/>
      <c r="AH285" s="31"/>
      <c r="AI285" s="31"/>
      <c r="AJ285" s="31"/>
      <c r="AK285" s="31" t="s">
        <v>1721</v>
      </c>
      <c r="AL285" s="325"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6544</v>
      </c>
      <c r="R286" s="28" t="s">
        <v>52</v>
      </c>
      <c r="S286" s="28" t="s">
        <v>16</v>
      </c>
      <c r="T286" s="28">
        <v>1</v>
      </c>
      <c r="U286" s="28" t="s">
        <v>1719</v>
      </c>
      <c r="V286" s="28" t="s">
        <v>6545</v>
      </c>
      <c r="W286" s="28" t="s">
        <v>6546</v>
      </c>
      <c r="X286" s="135">
        <v>45728.5</v>
      </c>
      <c r="Y286" s="28"/>
      <c r="Z286" s="28">
        <v>0.5</v>
      </c>
      <c r="AA286" s="28"/>
      <c r="AB286" s="28" t="s">
        <v>1720</v>
      </c>
      <c r="AC286" s="30" t="s">
        <v>4119</v>
      </c>
      <c r="AD286" s="28" t="s">
        <v>1721</v>
      </c>
      <c r="AE286" s="28"/>
      <c r="AF286" s="28"/>
      <c r="AG286" s="28"/>
      <c r="AH286" s="28"/>
      <c r="AI286" s="28"/>
      <c r="AJ286" s="28"/>
      <c r="AK286" s="28" t="s">
        <v>1721</v>
      </c>
      <c r="AL286" s="325"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25"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6547</v>
      </c>
      <c r="W288" s="28" t="s">
        <v>6548</v>
      </c>
      <c r="X288" s="135">
        <v>45728.512499999997</v>
      </c>
      <c r="Y288" s="28"/>
      <c r="Z288" s="28">
        <v>0.3</v>
      </c>
      <c r="AA288" s="28"/>
      <c r="AB288" s="28" t="s">
        <v>1720</v>
      </c>
      <c r="AC288" s="30" t="s">
        <v>4119</v>
      </c>
      <c r="AD288" s="28" t="s">
        <v>1721</v>
      </c>
      <c r="AE288" s="28"/>
      <c r="AF288" s="28"/>
      <c r="AG288" s="28"/>
      <c r="AH288" s="28"/>
      <c r="AI288" s="28"/>
      <c r="AJ288" s="28"/>
      <c r="AK288" s="28" t="s">
        <v>1721</v>
      </c>
      <c r="AL288" s="325"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6549</v>
      </c>
      <c r="R289" s="31" t="s">
        <v>52</v>
      </c>
      <c r="S289" s="31" t="s">
        <v>1157</v>
      </c>
      <c r="T289" s="31">
        <v>1</v>
      </c>
      <c r="U289" s="31" t="s">
        <v>1719</v>
      </c>
      <c r="V289" s="31" t="s">
        <v>6550</v>
      </c>
      <c r="W289" s="31" t="s">
        <v>6551</v>
      </c>
      <c r="X289" s="211">
        <v>45728.517361111109</v>
      </c>
      <c r="Y289" s="31"/>
      <c r="Z289" s="31">
        <v>0.3</v>
      </c>
      <c r="AA289" s="31"/>
      <c r="AB289" s="31" t="s">
        <v>1720</v>
      </c>
      <c r="AC289" s="33" t="s">
        <v>4119</v>
      </c>
      <c r="AD289" s="31" t="s">
        <v>1721</v>
      </c>
      <c r="AE289" s="31"/>
      <c r="AF289" s="31"/>
      <c r="AG289" s="31"/>
      <c r="AH289" s="31"/>
      <c r="AI289" s="31"/>
      <c r="AJ289" s="31"/>
      <c r="AK289" s="31" t="s">
        <v>1721</v>
      </c>
      <c r="AL289" s="325"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6552</v>
      </c>
      <c r="R290" s="28" t="s">
        <v>52</v>
      </c>
      <c r="S290" s="28" t="s">
        <v>16</v>
      </c>
      <c r="T290" s="28">
        <v>1</v>
      </c>
      <c r="U290" s="28" t="s">
        <v>1719</v>
      </c>
      <c r="V290" s="28" t="s">
        <v>6553</v>
      </c>
      <c r="W290" s="28" t="s">
        <v>6554</v>
      </c>
      <c r="X290" s="135">
        <v>45728.5625</v>
      </c>
      <c r="Y290" s="28"/>
      <c r="Z290" s="28">
        <v>0.5</v>
      </c>
      <c r="AA290" s="28"/>
      <c r="AB290" s="28" t="s">
        <v>1720</v>
      </c>
      <c r="AC290" s="30" t="s">
        <v>4119</v>
      </c>
      <c r="AD290" s="28" t="s">
        <v>1721</v>
      </c>
      <c r="AE290" s="28"/>
      <c r="AF290" s="28"/>
      <c r="AG290" s="28"/>
      <c r="AH290" s="28"/>
      <c r="AI290" s="28"/>
      <c r="AJ290" s="28"/>
      <c r="AK290" s="28" t="s">
        <v>1721</v>
      </c>
      <c r="AL290" s="325"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6556</v>
      </c>
      <c r="R291" s="31" t="s">
        <v>52</v>
      </c>
      <c r="S291" s="31" t="s">
        <v>16</v>
      </c>
      <c r="T291" s="31">
        <v>1</v>
      </c>
      <c r="U291" s="31" t="s">
        <v>1719</v>
      </c>
      <c r="V291" s="31" t="s">
        <v>6557</v>
      </c>
      <c r="W291" s="31" t="s">
        <v>6555</v>
      </c>
      <c r="X291" s="211">
        <v>45728.583333333336</v>
      </c>
      <c r="Y291" s="31"/>
      <c r="Z291" s="31">
        <v>0.5</v>
      </c>
      <c r="AA291" s="31"/>
      <c r="AB291" s="31" t="s">
        <v>1720</v>
      </c>
      <c r="AC291" s="33" t="s">
        <v>4119</v>
      </c>
      <c r="AD291" s="31" t="s">
        <v>1721</v>
      </c>
      <c r="AE291" s="31"/>
      <c r="AF291" s="31"/>
      <c r="AG291" s="31"/>
      <c r="AH291" s="31"/>
      <c r="AI291" s="31"/>
      <c r="AJ291" s="31"/>
      <c r="AK291" s="31" t="s">
        <v>1721</v>
      </c>
      <c r="AL291" s="325" t="e">
        <f t="shared" si="13"/>
        <v>#VALUE!</v>
      </c>
    </row>
    <row r="292" spans="1:38" ht="21.6" customHeight="1">
      <c r="A292" s="28">
        <v>57</v>
      </c>
      <c r="B292" s="28" t="s">
        <v>5033</v>
      </c>
      <c r="C292" s="28">
        <v>2025031677</v>
      </c>
      <c r="D292" s="28" t="s">
        <v>6558</v>
      </c>
      <c r="E292" s="28" t="s">
        <v>5035</v>
      </c>
      <c r="F292" s="28">
        <v>4083</v>
      </c>
      <c r="G292" s="28" t="s">
        <v>1514</v>
      </c>
      <c r="H292" s="28" t="s">
        <v>1747</v>
      </c>
      <c r="I292" s="28" t="s">
        <v>6559</v>
      </c>
      <c r="J292" s="28" t="s">
        <v>5066</v>
      </c>
      <c r="K292" s="28" t="s">
        <v>5415</v>
      </c>
      <c r="L292" s="28" t="s">
        <v>5271</v>
      </c>
      <c r="M292" s="29" t="s">
        <v>5272</v>
      </c>
      <c r="N292" s="28" t="s">
        <v>663</v>
      </c>
      <c r="O292" s="29" t="s">
        <v>5273</v>
      </c>
      <c r="P292" s="30" t="s">
        <v>6560</v>
      </c>
      <c r="Q292" s="28" t="s">
        <v>5940</v>
      </c>
      <c r="R292" s="28" t="s">
        <v>52</v>
      </c>
      <c r="S292" s="28" t="s">
        <v>4110</v>
      </c>
      <c r="T292" s="28">
        <v>1</v>
      </c>
      <c r="U292" s="28" t="s">
        <v>1719</v>
      </c>
      <c r="V292" s="28" t="s">
        <v>6561</v>
      </c>
      <c r="W292" s="28" t="s">
        <v>6562</v>
      </c>
      <c r="X292" s="135">
        <v>45729.449305555558</v>
      </c>
      <c r="Y292" s="28" t="s">
        <v>6563</v>
      </c>
      <c r="Z292" s="28">
        <v>0.8</v>
      </c>
      <c r="AA292" s="28"/>
      <c r="AB292" s="28" t="s">
        <v>1720</v>
      </c>
      <c r="AC292" s="30" t="s">
        <v>6564</v>
      </c>
      <c r="AD292" s="28"/>
      <c r="AE292" s="28"/>
      <c r="AF292" s="28"/>
      <c r="AG292" s="28"/>
      <c r="AH292" s="28"/>
      <c r="AI292" s="28"/>
      <c r="AJ292" s="28"/>
      <c r="AK292" s="28" t="s">
        <v>1721</v>
      </c>
      <c r="AL292" s="325">
        <f t="shared" si="13"/>
        <v>45728</v>
      </c>
    </row>
    <row r="293" spans="1:38" ht="21.6" customHeight="1">
      <c r="A293" s="31">
        <v>58</v>
      </c>
      <c r="B293" s="31" t="s">
        <v>5033</v>
      </c>
      <c r="C293" s="31">
        <v>2025031678</v>
      </c>
      <c r="D293" s="31" t="s">
        <v>6565</v>
      </c>
      <c r="E293" s="31" t="s">
        <v>5035</v>
      </c>
      <c r="F293" s="31">
        <v>4083</v>
      </c>
      <c r="G293" s="31" t="s">
        <v>1514</v>
      </c>
      <c r="H293" s="31" t="s">
        <v>1747</v>
      </c>
      <c r="I293" s="31" t="s">
        <v>6566</v>
      </c>
      <c r="J293" s="31" t="s">
        <v>5066</v>
      </c>
      <c r="K293" s="31" t="s">
        <v>5415</v>
      </c>
      <c r="L293" s="31" t="s">
        <v>5271</v>
      </c>
      <c r="M293" s="32" t="s">
        <v>5272</v>
      </c>
      <c r="N293" s="31" t="s">
        <v>663</v>
      </c>
      <c r="O293" s="32" t="s">
        <v>5273</v>
      </c>
      <c r="P293" s="33" t="s">
        <v>6567</v>
      </c>
      <c r="Q293" s="31" t="s">
        <v>5940</v>
      </c>
      <c r="R293" s="31" t="s">
        <v>52</v>
      </c>
      <c r="S293" s="31" t="s">
        <v>4110</v>
      </c>
      <c r="T293" s="31">
        <v>1</v>
      </c>
      <c r="U293" s="31" t="s">
        <v>1719</v>
      </c>
      <c r="V293" s="31" t="s">
        <v>6568</v>
      </c>
      <c r="W293" s="31" t="s">
        <v>6562</v>
      </c>
      <c r="X293" s="211">
        <v>45729.447916666664</v>
      </c>
      <c r="Y293" s="31" t="s">
        <v>6569</v>
      </c>
      <c r="Z293" s="31">
        <v>0.8</v>
      </c>
      <c r="AA293" s="31"/>
      <c r="AB293" s="31" t="s">
        <v>1720</v>
      </c>
      <c r="AC293" s="33" t="s">
        <v>6570</v>
      </c>
      <c r="AD293" s="31"/>
      <c r="AE293" s="31"/>
      <c r="AF293" s="31"/>
      <c r="AG293" s="31"/>
      <c r="AH293" s="31"/>
      <c r="AI293" s="31"/>
      <c r="AJ293" s="31"/>
      <c r="AK293" s="31" t="s">
        <v>1721</v>
      </c>
      <c r="AL293" s="325">
        <f t="shared" si="13"/>
        <v>45728</v>
      </c>
    </row>
    <row r="294" spans="1:38" ht="21.6" customHeight="1">
      <c r="A294" s="28">
        <v>59</v>
      </c>
      <c r="B294" s="28" t="s">
        <v>5033</v>
      </c>
      <c r="C294" s="28">
        <v>2025031715</v>
      </c>
      <c r="D294" s="28" t="s">
        <v>6571</v>
      </c>
      <c r="E294" s="28" t="s">
        <v>5035</v>
      </c>
      <c r="F294" s="28">
        <v>2935</v>
      </c>
      <c r="G294" s="28" t="s">
        <v>144</v>
      </c>
      <c r="H294" s="28" t="s">
        <v>1747</v>
      </c>
      <c r="I294" s="28" t="s">
        <v>6572</v>
      </c>
      <c r="J294" s="28" t="s">
        <v>5096</v>
      </c>
      <c r="K294" s="28" t="s">
        <v>5039</v>
      </c>
      <c r="L294" s="28" t="s">
        <v>5261</v>
      </c>
      <c r="M294" s="29" t="s">
        <v>5262</v>
      </c>
      <c r="N294" s="28">
        <v>5804</v>
      </c>
      <c r="O294" s="29" t="s">
        <v>5308</v>
      </c>
      <c r="P294" s="30" t="s">
        <v>6573</v>
      </c>
      <c r="Q294" s="28" t="s">
        <v>6075</v>
      </c>
      <c r="R294" s="28" t="s">
        <v>52</v>
      </c>
      <c r="S294" s="28" t="s">
        <v>4110</v>
      </c>
      <c r="T294" s="28">
        <v>1</v>
      </c>
      <c r="U294" s="28" t="s">
        <v>1719</v>
      </c>
      <c r="V294" s="28" t="s">
        <v>6574</v>
      </c>
      <c r="W294" s="28" t="s">
        <v>6575</v>
      </c>
      <c r="X294" s="135">
        <v>45729.664583333331</v>
      </c>
      <c r="Y294" s="28" t="s">
        <v>6576</v>
      </c>
      <c r="Z294" s="28">
        <v>0.5</v>
      </c>
      <c r="AA294" s="28"/>
      <c r="AB294" s="28" t="s">
        <v>1720</v>
      </c>
      <c r="AC294" s="30" t="s">
        <v>6577</v>
      </c>
      <c r="AD294" s="28"/>
      <c r="AE294" s="28"/>
      <c r="AF294" s="28"/>
      <c r="AG294" s="28"/>
      <c r="AH294" s="28"/>
      <c r="AI294" s="28"/>
      <c r="AJ294" s="28"/>
      <c r="AK294" s="28" t="s">
        <v>1721</v>
      </c>
      <c r="AL294" s="325">
        <f t="shared" si="13"/>
        <v>45729</v>
      </c>
    </row>
    <row r="295" spans="1:38" ht="21.6" customHeight="1">
      <c r="A295" s="31">
        <v>60</v>
      </c>
      <c r="B295" s="31" t="s">
        <v>5033</v>
      </c>
      <c r="C295" s="31">
        <v>2025031726</v>
      </c>
      <c r="D295" s="31" t="s">
        <v>6578</v>
      </c>
      <c r="E295" s="31" t="s">
        <v>5035</v>
      </c>
      <c r="F295" s="31" t="s">
        <v>29</v>
      </c>
      <c r="G295" s="31" t="s">
        <v>636</v>
      </c>
      <c r="H295" s="31" t="s">
        <v>1722</v>
      </c>
      <c r="I295" s="31" t="s">
        <v>6579</v>
      </c>
      <c r="J295" s="31" t="s">
        <v>5096</v>
      </c>
      <c r="K295" s="31" t="s">
        <v>5039</v>
      </c>
      <c r="L295" s="31" t="s">
        <v>5505</v>
      </c>
      <c r="M295" s="32" t="s">
        <v>5506</v>
      </c>
      <c r="N295" s="31">
        <v>2402</v>
      </c>
      <c r="O295" s="32" t="s">
        <v>6256</v>
      </c>
      <c r="P295" s="33" t="s">
        <v>6580</v>
      </c>
      <c r="Q295" s="31" t="s">
        <v>5086</v>
      </c>
      <c r="R295" s="31" t="s">
        <v>52</v>
      </c>
      <c r="S295" s="31" t="s">
        <v>1157</v>
      </c>
      <c r="T295" s="31">
        <v>1</v>
      </c>
      <c r="U295" s="31" t="s">
        <v>1719</v>
      </c>
      <c r="V295" s="31" t="s">
        <v>6581</v>
      </c>
      <c r="W295" s="31" t="s">
        <v>6582</v>
      </c>
      <c r="X295" s="211">
        <v>45729.77847222222</v>
      </c>
      <c r="Y295" s="31" t="s">
        <v>6583</v>
      </c>
      <c r="Z295" s="31">
        <v>0.5</v>
      </c>
      <c r="AA295" s="31"/>
      <c r="AB295" s="31" t="s">
        <v>5562</v>
      </c>
      <c r="AC295" s="33" t="s">
        <v>5389</v>
      </c>
      <c r="AD295" s="31"/>
      <c r="AE295" s="31"/>
      <c r="AF295" s="31"/>
      <c r="AG295" s="31"/>
      <c r="AH295" s="31"/>
      <c r="AI295" s="31"/>
      <c r="AJ295" s="31"/>
      <c r="AK295" s="31" t="s">
        <v>1721</v>
      </c>
      <c r="AL295" s="325">
        <f t="shared" si="13"/>
        <v>45729</v>
      </c>
    </row>
    <row r="296" spans="1:38" ht="21.6" customHeight="1">
      <c r="A296" s="28">
        <v>61</v>
      </c>
      <c r="B296" s="28" t="s">
        <v>5033</v>
      </c>
      <c r="C296" s="28">
        <v>2025031727</v>
      </c>
      <c r="D296" s="28" t="s">
        <v>6584</v>
      </c>
      <c r="E296" s="28" t="s">
        <v>5035</v>
      </c>
      <c r="F296" s="28" t="s">
        <v>29</v>
      </c>
      <c r="G296" s="28" t="s">
        <v>636</v>
      </c>
      <c r="H296" s="28" t="s">
        <v>1722</v>
      </c>
      <c r="I296" s="28" t="s">
        <v>6585</v>
      </c>
      <c r="J296" s="28" t="s">
        <v>5096</v>
      </c>
      <c r="K296" s="28" t="s">
        <v>5039</v>
      </c>
      <c r="L296" s="28" t="s">
        <v>6586</v>
      </c>
      <c r="M296" s="29" t="s">
        <v>6587</v>
      </c>
      <c r="N296" s="28">
        <v>2901</v>
      </c>
      <c r="O296" s="29" t="s">
        <v>5273</v>
      </c>
      <c r="P296" s="30" t="s">
        <v>6588</v>
      </c>
      <c r="Q296" s="28" t="s">
        <v>5086</v>
      </c>
      <c r="R296" s="28" t="s">
        <v>52</v>
      </c>
      <c r="S296" s="28" t="s">
        <v>1157</v>
      </c>
      <c r="T296" s="28">
        <v>1</v>
      </c>
      <c r="U296" s="28" t="s">
        <v>1719</v>
      </c>
      <c r="V296" s="28" t="s">
        <v>6589</v>
      </c>
      <c r="W296" s="28" t="s">
        <v>6582</v>
      </c>
      <c r="X296" s="135">
        <v>45729.77847222222</v>
      </c>
      <c r="Y296" s="28" t="s">
        <v>6590</v>
      </c>
      <c r="Z296" s="28">
        <v>0.5</v>
      </c>
      <c r="AA296" s="28"/>
      <c r="AB296" s="28" t="s">
        <v>5562</v>
      </c>
      <c r="AC296" s="30" t="s">
        <v>5389</v>
      </c>
      <c r="AD296" s="28"/>
      <c r="AE296" s="28"/>
      <c r="AF296" s="28"/>
      <c r="AG296" s="28"/>
      <c r="AH296" s="28"/>
      <c r="AI296" s="28"/>
      <c r="AJ296" s="28"/>
      <c r="AK296" s="28" t="s">
        <v>1721</v>
      </c>
      <c r="AL296" s="325">
        <f t="shared" si="13"/>
        <v>45729</v>
      </c>
    </row>
    <row r="297" spans="1:38" ht="21.6" customHeight="1">
      <c r="A297" s="31">
        <v>62</v>
      </c>
      <c r="B297" s="31" t="s">
        <v>5033</v>
      </c>
      <c r="C297" s="31">
        <v>2025031746</v>
      </c>
      <c r="D297" s="31" t="s">
        <v>6591</v>
      </c>
      <c r="E297" s="31" t="s">
        <v>5035</v>
      </c>
      <c r="F297" s="31">
        <v>3458</v>
      </c>
      <c r="G297" s="31" t="s">
        <v>189</v>
      </c>
      <c r="H297" s="31" t="s">
        <v>3319</v>
      </c>
      <c r="I297" s="31" t="s">
        <v>6592</v>
      </c>
      <c r="J297" s="31" t="s">
        <v>5096</v>
      </c>
      <c r="K297" s="31" t="s">
        <v>5039</v>
      </c>
      <c r="L297" s="31" t="s">
        <v>5589</v>
      </c>
      <c r="M297" s="32" t="s">
        <v>5590</v>
      </c>
      <c r="N297" s="31" t="s">
        <v>6593</v>
      </c>
      <c r="O297" s="32" t="s">
        <v>5947</v>
      </c>
      <c r="P297" s="33" t="s">
        <v>6594</v>
      </c>
      <c r="Q297" s="31" t="s">
        <v>5195</v>
      </c>
      <c r="R297" s="31" t="s">
        <v>52</v>
      </c>
      <c r="S297" s="31" t="s">
        <v>4110</v>
      </c>
      <c r="T297" s="31">
        <v>1</v>
      </c>
      <c r="U297" s="31" t="s">
        <v>1719</v>
      </c>
      <c r="V297" s="31" t="s">
        <v>6595</v>
      </c>
      <c r="W297" s="31" t="s">
        <v>6596</v>
      </c>
      <c r="X297" s="211">
        <v>45730.456250000003</v>
      </c>
      <c r="Y297" s="31" t="s">
        <v>6597</v>
      </c>
      <c r="Z297" s="31">
        <v>0.5</v>
      </c>
      <c r="AA297" s="31"/>
      <c r="AB297" s="31" t="s">
        <v>1720</v>
      </c>
      <c r="AC297" s="33" t="s">
        <v>6598</v>
      </c>
      <c r="AD297" s="31"/>
      <c r="AE297" s="31"/>
      <c r="AF297" s="31"/>
      <c r="AG297" s="31"/>
      <c r="AH297" s="31"/>
      <c r="AI297" s="31"/>
      <c r="AJ297" s="31"/>
      <c r="AK297" s="31" t="s">
        <v>1721</v>
      </c>
      <c r="AL297" s="325">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6599</v>
      </c>
      <c r="R298" s="28" t="s">
        <v>52</v>
      </c>
      <c r="S298" s="28" t="s">
        <v>4110</v>
      </c>
      <c r="T298" s="28">
        <v>1</v>
      </c>
      <c r="U298" s="28" t="s">
        <v>1719</v>
      </c>
      <c r="V298" s="28" t="s">
        <v>6600</v>
      </c>
      <c r="W298" s="28" t="s">
        <v>6601</v>
      </c>
      <c r="X298" s="135">
        <v>45730.512499999997</v>
      </c>
      <c r="Y298" s="28"/>
      <c r="Z298" s="28">
        <v>0.3</v>
      </c>
      <c r="AA298" s="28"/>
      <c r="AB298" s="28" t="s">
        <v>1720</v>
      </c>
      <c r="AC298" s="30" t="s">
        <v>4119</v>
      </c>
      <c r="AD298" s="28" t="s">
        <v>1721</v>
      </c>
      <c r="AE298" s="28"/>
      <c r="AF298" s="28"/>
      <c r="AG298" s="28"/>
      <c r="AH298" s="28"/>
      <c r="AI298" s="28"/>
      <c r="AJ298" s="28"/>
      <c r="AK298" s="28" t="s">
        <v>1721</v>
      </c>
      <c r="AL298" s="325" t="e">
        <f t="shared" si="13"/>
        <v>#VALUE!</v>
      </c>
    </row>
    <row r="299" spans="1:38" ht="21.6" customHeight="1">
      <c r="A299" s="31">
        <v>64</v>
      </c>
      <c r="B299" s="31" t="s">
        <v>5033</v>
      </c>
      <c r="C299" s="31">
        <v>2025031798</v>
      </c>
      <c r="D299" s="31" t="s">
        <v>6602</v>
      </c>
      <c r="E299" s="31" t="s">
        <v>5035</v>
      </c>
      <c r="F299" s="31">
        <v>4586</v>
      </c>
      <c r="G299" s="31" t="s">
        <v>446</v>
      </c>
      <c r="H299" s="31" t="s">
        <v>1747</v>
      </c>
      <c r="I299" s="31" t="s">
        <v>6603</v>
      </c>
      <c r="J299" s="31" t="s">
        <v>5299</v>
      </c>
      <c r="K299" s="31" t="s">
        <v>5039</v>
      </c>
      <c r="L299" s="31" t="s">
        <v>5271</v>
      </c>
      <c r="M299" s="32" t="s">
        <v>5272</v>
      </c>
      <c r="N299" s="31" t="s">
        <v>663</v>
      </c>
      <c r="O299" s="32" t="s">
        <v>5273</v>
      </c>
      <c r="P299" s="33" t="s">
        <v>6604</v>
      </c>
      <c r="Q299" s="31" t="s">
        <v>5553</v>
      </c>
      <c r="R299" s="31" t="s">
        <v>52</v>
      </c>
      <c r="S299" s="31" t="s">
        <v>4110</v>
      </c>
      <c r="T299" s="31">
        <v>1</v>
      </c>
      <c r="U299" s="31" t="s">
        <v>1719</v>
      </c>
      <c r="V299" s="31" t="s">
        <v>6605</v>
      </c>
      <c r="W299" s="31" t="s">
        <v>6606</v>
      </c>
      <c r="X299" s="211">
        <v>45733.438888888886</v>
      </c>
      <c r="Y299" s="31" t="s">
        <v>6607</v>
      </c>
      <c r="Z299" s="31">
        <v>0.5</v>
      </c>
      <c r="AA299" s="31"/>
      <c r="AB299" s="31" t="s">
        <v>1720</v>
      </c>
      <c r="AC299" s="33" t="s">
        <v>6608</v>
      </c>
      <c r="AD299" s="31"/>
      <c r="AE299" s="31"/>
      <c r="AF299" s="31"/>
      <c r="AG299" s="31"/>
      <c r="AH299" s="31"/>
      <c r="AI299" s="31"/>
      <c r="AJ299" s="31"/>
      <c r="AK299" s="31" t="s">
        <v>1721</v>
      </c>
      <c r="AL299" s="325">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6609</v>
      </c>
      <c r="R300" s="28" t="s">
        <v>52</v>
      </c>
      <c r="S300" s="28" t="s">
        <v>4110</v>
      </c>
      <c r="T300" s="28">
        <v>1</v>
      </c>
      <c r="U300" s="28" t="s">
        <v>1719</v>
      </c>
      <c r="V300" s="28" t="s">
        <v>6610</v>
      </c>
      <c r="W300" s="28" t="s">
        <v>6611</v>
      </c>
      <c r="X300" s="135">
        <v>45730.53125</v>
      </c>
      <c r="Y300" s="28"/>
      <c r="Z300" s="28">
        <v>0.3</v>
      </c>
      <c r="AA300" s="28"/>
      <c r="AB300" s="28" t="s">
        <v>1720</v>
      </c>
      <c r="AC300" s="30" t="s">
        <v>4119</v>
      </c>
      <c r="AD300" s="28" t="s">
        <v>1721</v>
      </c>
      <c r="AE300" s="28"/>
      <c r="AF300" s="28"/>
      <c r="AG300" s="28"/>
      <c r="AH300" s="28"/>
      <c r="AI300" s="28"/>
      <c r="AJ300" s="28"/>
      <c r="AK300" s="28" t="s">
        <v>1721</v>
      </c>
      <c r="AL300" s="325"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6308</v>
      </c>
      <c r="R301" s="31" t="s">
        <v>52</v>
      </c>
      <c r="S301" s="31" t="s">
        <v>4110</v>
      </c>
      <c r="T301" s="31">
        <v>1</v>
      </c>
      <c r="U301" s="31" t="s">
        <v>1719</v>
      </c>
      <c r="V301" s="31" t="s">
        <v>6612</v>
      </c>
      <c r="W301" s="31" t="s">
        <v>6613</v>
      </c>
      <c r="X301" s="211">
        <v>45730.545138888891</v>
      </c>
      <c r="Y301" s="31"/>
      <c r="Z301" s="31">
        <v>0.3</v>
      </c>
      <c r="AA301" s="31"/>
      <c r="AB301" s="31" t="s">
        <v>1720</v>
      </c>
      <c r="AC301" s="33" t="s">
        <v>4119</v>
      </c>
      <c r="AD301" s="31" t="s">
        <v>1721</v>
      </c>
      <c r="AE301" s="31"/>
      <c r="AF301" s="31"/>
      <c r="AG301" s="31"/>
      <c r="AH301" s="31"/>
      <c r="AI301" s="31"/>
      <c r="AJ301" s="31"/>
      <c r="AK301" s="31" t="s">
        <v>1721</v>
      </c>
      <c r="AL301" s="325" t="e">
        <f t="shared" si="13"/>
        <v>#VALUE!</v>
      </c>
    </row>
    <row r="302" spans="1:38" ht="21.6" customHeight="1">
      <c r="A302" s="28">
        <v>67</v>
      </c>
      <c r="B302" s="28" t="s">
        <v>5033</v>
      </c>
      <c r="C302" s="28">
        <v>2025031803</v>
      </c>
      <c r="D302" s="28" t="s">
        <v>6614</v>
      </c>
      <c r="E302" s="28" t="s">
        <v>5035</v>
      </c>
      <c r="F302" s="28">
        <v>4739</v>
      </c>
      <c r="G302" s="28" t="s">
        <v>502</v>
      </c>
      <c r="H302" s="28" t="s">
        <v>3321</v>
      </c>
      <c r="I302" s="28" t="s">
        <v>6615</v>
      </c>
      <c r="J302" s="28" t="s">
        <v>5299</v>
      </c>
      <c r="K302" s="28" t="s">
        <v>5039</v>
      </c>
      <c r="L302" s="28" t="s">
        <v>6586</v>
      </c>
      <c r="M302" s="29" t="s">
        <v>6587</v>
      </c>
      <c r="N302" s="28">
        <v>2902</v>
      </c>
      <c r="O302" s="29" t="s">
        <v>6616</v>
      </c>
      <c r="P302" s="30" t="s">
        <v>6617</v>
      </c>
      <c r="Q302" s="28" t="s">
        <v>6523</v>
      </c>
      <c r="R302" s="28" t="s">
        <v>52</v>
      </c>
      <c r="S302" s="28" t="s">
        <v>4110</v>
      </c>
      <c r="T302" s="28">
        <v>1</v>
      </c>
      <c r="U302" s="28" t="s">
        <v>1719</v>
      </c>
      <c r="V302" s="28" t="s">
        <v>6618</v>
      </c>
      <c r="W302" s="28" t="s">
        <v>6619</v>
      </c>
      <c r="X302" s="135">
        <v>45733.52847222222</v>
      </c>
      <c r="Y302" s="28" t="s">
        <v>6620</v>
      </c>
      <c r="Z302" s="28">
        <v>0.5</v>
      </c>
      <c r="AA302" s="28"/>
      <c r="AB302" s="28" t="s">
        <v>1720</v>
      </c>
      <c r="AC302" s="30" t="s">
        <v>6621</v>
      </c>
      <c r="AD302" s="28"/>
      <c r="AE302" s="28"/>
      <c r="AF302" s="28"/>
      <c r="AG302" s="28"/>
      <c r="AH302" s="28"/>
      <c r="AI302" s="28"/>
      <c r="AJ302" s="28"/>
      <c r="AK302" s="28" t="s">
        <v>1721</v>
      </c>
      <c r="AL302" s="325">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6622</v>
      </c>
      <c r="R303" s="31" t="s">
        <v>52</v>
      </c>
      <c r="S303" s="31" t="s">
        <v>4110</v>
      </c>
      <c r="T303" s="31">
        <v>1</v>
      </c>
      <c r="U303" s="31" t="s">
        <v>1719</v>
      </c>
      <c r="V303" s="31" t="s">
        <v>6623</v>
      </c>
      <c r="W303" s="31" t="s">
        <v>6624</v>
      </c>
      <c r="X303" s="211">
        <v>45730.568055555559</v>
      </c>
      <c r="Y303" s="31"/>
      <c r="Z303" s="31">
        <v>0.3</v>
      </c>
      <c r="AA303" s="31"/>
      <c r="AB303" s="31" t="s">
        <v>1720</v>
      </c>
      <c r="AC303" s="33" t="s">
        <v>4119</v>
      </c>
      <c r="AD303" s="31" t="s">
        <v>1721</v>
      </c>
      <c r="AE303" s="31"/>
      <c r="AF303" s="31"/>
      <c r="AG303" s="31"/>
      <c r="AH303" s="31"/>
      <c r="AI303" s="31"/>
      <c r="AJ303" s="31"/>
      <c r="AK303" s="31" t="s">
        <v>1721</v>
      </c>
      <c r="AL303" s="325" t="e">
        <f t="shared" si="13"/>
        <v>#VALUE!</v>
      </c>
    </row>
    <row r="304" spans="1:38" ht="21.6" customHeight="1">
      <c r="A304" s="28">
        <v>69</v>
      </c>
      <c r="B304" s="28" t="s">
        <v>5033</v>
      </c>
      <c r="C304" s="28">
        <v>2025031806</v>
      </c>
      <c r="D304" s="28" t="s">
        <v>6625</v>
      </c>
      <c r="E304" s="28" t="s">
        <v>5035</v>
      </c>
      <c r="F304" s="28">
        <v>4739</v>
      </c>
      <c r="G304" s="28" t="s">
        <v>502</v>
      </c>
      <c r="H304" s="28" t="s">
        <v>3321</v>
      </c>
      <c r="I304" s="28" t="s">
        <v>6626</v>
      </c>
      <c r="J304" s="28" t="s">
        <v>5299</v>
      </c>
      <c r="K304" s="28" t="s">
        <v>5039</v>
      </c>
      <c r="L304" s="28" t="s">
        <v>5271</v>
      </c>
      <c r="M304" s="29" t="s">
        <v>5272</v>
      </c>
      <c r="N304" s="28" t="s">
        <v>663</v>
      </c>
      <c r="O304" s="29" t="s">
        <v>5273</v>
      </c>
      <c r="P304" s="30" t="s">
        <v>6627</v>
      </c>
      <c r="Q304" s="28" t="s">
        <v>6523</v>
      </c>
      <c r="R304" s="28" t="s">
        <v>52</v>
      </c>
      <c r="S304" s="28" t="s">
        <v>4110</v>
      </c>
      <c r="T304" s="28">
        <v>1</v>
      </c>
      <c r="U304" s="28" t="s">
        <v>1719</v>
      </c>
      <c r="V304" s="28" t="s">
        <v>6628</v>
      </c>
      <c r="W304" s="28" t="s">
        <v>6629</v>
      </c>
      <c r="X304" s="135">
        <v>45733.533333333333</v>
      </c>
      <c r="Y304" s="28" t="s">
        <v>6630</v>
      </c>
      <c r="Z304" s="28">
        <v>0.5</v>
      </c>
      <c r="AA304" s="28"/>
      <c r="AB304" s="28" t="s">
        <v>1720</v>
      </c>
      <c r="AC304" s="30" t="s">
        <v>6631</v>
      </c>
      <c r="AD304" s="28"/>
      <c r="AE304" s="28"/>
      <c r="AF304" s="28"/>
      <c r="AG304" s="28"/>
      <c r="AH304" s="28"/>
      <c r="AI304" s="28"/>
      <c r="AJ304" s="28"/>
      <c r="AK304" s="28" t="s">
        <v>1721</v>
      </c>
      <c r="AL304" s="325">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6632</v>
      </c>
      <c r="R305" s="31" t="s">
        <v>52</v>
      </c>
      <c r="S305" s="31" t="s">
        <v>4110</v>
      </c>
      <c r="T305" s="31">
        <v>1</v>
      </c>
      <c r="U305" s="31" t="s">
        <v>1719</v>
      </c>
      <c r="V305" s="31" t="s">
        <v>6633</v>
      </c>
      <c r="W305" s="31" t="s">
        <v>6634</v>
      </c>
      <c r="X305" s="211">
        <v>45730.588888888888</v>
      </c>
      <c r="Y305" s="31"/>
      <c r="Z305" s="31">
        <v>0.3</v>
      </c>
      <c r="AA305" s="31"/>
      <c r="AB305" s="31" t="s">
        <v>1720</v>
      </c>
      <c r="AC305" s="33" t="s">
        <v>4119</v>
      </c>
      <c r="AD305" s="31" t="s">
        <v>1721</v>
      </c>
      <c r="AE305" s="31"/>
      <c r="AF305" s="31"/>
      <c r="AG305" s="31"/>
      <c r="AH305" s="31"/>
      <c r="AI305" s="31"/>
      <c r="AJ305" s="31"/>
      <c r="AK305" s="31" t="s">
        <v>1721</v>
      </c>
      <c r="AL305" s="325"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5786</v>
      </c>
      <c r="R306" s="28" t="s">
        <v>52</v>
      </c>
      <c r="S306" s="28" t="s">
        <v>4110</v>
      </c>
      <c r="T306" s="28">
        <v>1</v>
      </c>
      <c r="U306" s="28" t="s">
        <v>1719</v>
      </c>
      <c r="V306" s="28" t="s">
        <v>6635</v>
      </c>
      <c r="W306" s="28" t="s">
        <v>6636</v>
      </c>
      <c r="X306" s="135">
        <v>45730.60833333333</v>
      </c>
      <c r="Y306" s="28"/>
      <c r="Z306" s="28">
        <v>0.3</v>
      </c>
      <c r="AA306" s="28"/>
      <c r="AB306" s="28" t="s">
        <v>1720</v>
      </c>
      <c r="AC306" s="30" t="s">
        <v>4119</v>
      </c>
      <c r="AD306" s="28" t="s">
        <v>1721</v>
      </c>
      <c r="AE306" s="28"/>
      <c r="AF306" s="28"/>
      <c r="AG306" s="28"/>
      <c r="AH306" s="28"/>
      <c r="AI306" s="28"/>
      <c r="AJ306" s="28"/>
      <c r="AK306" s="28" t="s">
        <v>1721</v>
      </c>
      <c r="AL306" s="325"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6637</v>
      </c>
      <c r="R307" s="31" t="s">
        <v>52</v>
      </c>
      <c r="S307" s="31" t="s">
        <v>4110</v>
      </c>
      <c r="T307" s="31">
        <v>1</v>
      </c>
      <c r="U307" s="31" t="s">
        <v>1719</v>
      </c>
      <c r="V307" s="31" t="s">
        <v>6638</v>
      </c>
      <c r="W307" s="31" t="s">
        <v>6639</v>
      </c>
      <c r="X307" s="211">
        <v>45730.628472222219</v>
      </c>
      <c r="Y307" s="31"/>
      <c r="Z307" s="31">
        <v>0.3</v>
      </c>
      <c r="AA307" s="31"/>
      <c r="AB307" s="31" t="s">
        <v>1720</v>
      </c>
      <c r="AC307" s="33" t="s">
        <v>4119</v>
      </c>
      <c r="AD307" s="31" t="s">
        <v>1721</v>
      </c>
      <c r="AE307" s="31"/>
      <c r="AF307" s="31"/>
      <c r="AG307" s="31"/>
      <c r="AH307" s="31"/>
      <c r="AI307" s="31"/>
      <c r="AJ307" s="31"/>
      <c r="AK307" s="31" t="s">
        <v>1721</v>
      </c>
      <c r="AL307" s="325"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6640</v>
      </c>
      <c r="R308" s="28" t="s">
        <v>52</v>
      </c>
      <c r="S308" s="28" t="s">
        <v>16</v>
      </c>
      <c r="T308" s="28">
        <v>1</v>
      </c>
      <c r="U308" s="28" t="s">
        <v>1719</v>
      </c>
      <c r="V308" s="28" t="s">
        <v>6641</v>
      </c>
      <c r="W308" s="28" t="s">
        <v>6642</v>
      </c>
      <c r="X308" s="135">
        <v>45730.645833333336</v>
      </c>
      <c r="Y308" s="28"/>
      <c r="Z308" s="28">
        <v>0.5</v>
      </c>
      <c r="AA308" s="28"/>
      <c r="AB308" s="28" t="s">
        <v>1720</v>
      </c>
      <c r="AC308" s="30" t="s">
        <v>4119</v>
      </c>
      <c r="AD308" s="28" t="s">
        <v>1721</v>
      </c>
      <c r="AE308" s="28"/>
      <c r="AF308" s="28"/>
      <c r="AG308" s="28"/>
      <c r="AH308" s="28"/>
      <c r="AI308" s="28"/>
      <c r="AJ308" s="28"/>
      <c r="AK308" s="28" t="s">
        <v>1721</v>
      </c>
      <c r="AL308" s="325"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6644</v>
      </c>
      <c r="R309" s="31" t="s">
        <v>52</v>
      </c>
      <c r="S309" s="31" t="s">
        <v>4110</v>
      </c>
      <c r="T309" s="31">
        <v>1</v>
      </c>
      <c r="U309" s="31" t="s">
        <v>1719</v>
      </c>
      <c r="V309" s="31" t="s">
        <v>6645</v>
      </c>
      <c r="W309" s="31" t="s">
        <v>6646</v>
      </c>
      <c r="X309" s="211">
        <v>45730.652777777781</v>
      </c>
      <c r="Y309" s="31"/>
      <c r="Z309" s="31">
        <v>0.3</v>
      </c>
      <c r="AA309" s="31"/>
      <c r="AB309" s="31" t="s">
        <v>1720</v>
      </c>
      <c r="AC309" s="33" t="s">
        <v>4119</v>
      </c>
      <c r="AD309" s="31" t="s">
        <v>1721</v>
      </c>
      <c r="AE309" s="31"/>
      <c r="AF309" s="31"/>
      <c r="AG309" s="31"/>
      <c r="AH309" s="31"/>
      <c r="AI309" s="31"/>
      <c r="AJ309" s="31"/>
      <c r="AK309" s="31" t="s">
        <v>1721</v>
      </c>
      <c r="AL309" s="325"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6647</v>
      </c>
      <c r="R310" s="28" t="s">
        <v>52</v>
      </c>
      <c r="S310" s="28" t="s">
        <v>16</v>
      </c>
      <c r="T310" s="28">
        <v>1</v>
      </c>
      <c r="U310" s="28" t="s">
        <v>1719</v>
      </c>
      <c r="V310" s="28" t="s">
        <v>6648</v>
      </c>
      <c r="W310" s="28" t="s">
        <v>6643</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25" t="e">
        <f t="shared" si="13"/>
        <v>#VALUE!</v>
      </c>
    </row>
    <row r="311" spans="1:38" ht="21.6" customHeight="1">
      <c r="A311" s="31">
        <v>76</v>
      </c>
      <c r="B311" s="31" t="s">
        <v>5033</v>
      </c>
      <c r="C311" s="31">
        <v>2025031882</v>
      </c>
      <c r="D311" s="31" t="s">
        <v>6649</v>
      </c>
      <c r="E311" s="31" t="s">
        <v>5035</v>
      </c>
      <c r="F311" s="31">
        <v>2325</v>
      </c>
      <c r="G311" s="31" t="s">
        <v>90</v>
      </c>
      <c r="H311" s="31" t="s">
        <v>3317</v>
      </c>
      <c r="I311" s="31" t="s">
        <v>6650</v>
      </c>
      <c r="J311" s="31" t="s">
        <v>5575</v>
      </c>
      <c r="K311" s="31" t="s">
        <v>5067</v>
      </c>
      <c r="L311" s="31" t="s">
        <v>5589</v>
      </c>
      <c r="M311" s="32" t="s">
        <v>5590</v>
      </c>
      <c r="N311" s="31" t="s">
        <v>673</v>
      </c>
      <c r="O311" s="32" t="s">
        <v>5308</v>
      </c>
      <c r="P311" s="33" t="s">
        <v>6651</v>
      </c>
      <c r="Q311" s="31" t="s">
        <v>5650</v>
      </c>
      <c r="R311" s="31" t="s">
        <v>52</v>
      </c>
      <c r="S311" s="31" t="s">
        <v>16</v>
      </c>
      <c r="T311" s="31">
        <v>1</v>
      </c>
      <c r="U311" s="31" t="s">
        <v>1719</v>
      </c>
      <c r="V311" s="31" t="s">
        <v>6652</v>
      </c>
      <c r="W311" s="31" t="s">
        <v>6653</v>
      </c>
      <c r="X311" s="211">
        <v>45733.48333333333</v>
      </c>
      <c r="Y311" s="31" t="s">
        <v>6654</v>
      </c>
      <c r="Z311" s="31">
        <v>0.5</v>
      </c>
      <c r="AA311" s="31"/>
      <c r="AB311" s="31" t="s">
        <v>1720</v>
      </c>
      <c r="AC311" s="33" t="s">
        <v>6655</v>
      </c>
      <c r="AD311" s="31"/>
      <c r="AE311" s="31"/>
      <c r="AF311" s="31"/>
      <c r="AG311" s="31"/>
      <c r="AH311" s="31"/>
      <c r="AI311" s="31"/>
      <c r="AJ311" s="31"/>
      <c r="AK311" s="31" t="s">
        <v>1721</v>
      </c>
      <c r="AL311" s="325">
        <f t="shared" si="13"/>
        <v>45731</v>
      </c>
    </row>
    <row r="312" spans="1:38" ht="21.6" customHeight="1">
      <c r="A312" s="28">
        <v>77</v>
      </c>
      <c r="B312" s="28" t="s">
        <v>5033</v>
      </c>
      <c r="C312" s="28">
        <v>2025031885</v>
      </c>
      <c r="D312" s="28" t="s">
        <v>6656</v>
      </c>
      <c r="E312" s="28" t="s">
        <v>5035</v>
      </c>
      <c r="F312" s="28">
        <v>4036</v>
      </c>
      <c r="G312" s="28" t="s">
        <v>1526</v>
      </c>
      <c r="H312" s="28" t="s">
        <v>1725</v>
      </c>
      <c r="I312" s="28" t="s">
        <v>6657</v>
      </c>
      <c r="J312" s="28" t="s">
        <v>5575</v>
      </c>
      <c r="K312" s="28" t="s">
        <v>5039</v>
      </c>
      <c r="L312" s="28" t="s">
        <v>6030</v>
      </c>
      <c r="M312" s="29" t="s">
        <v>6031</v>
      </c>
      <c r="N312" s="28">
        <v>6003</v>
      </c>
      <c r="O312" s="29" t="s">
        <v>5751</v>
      </c>
      <c r="P312" s="30" t="s">
        <v>6658</v>
      </c>
      <c r="Q312" s="28" t="s">
        <v>5355</v>
      </c>
      <c r="R312" s="28" t="s">
        <v>52</v>
      </c>
      <c r="S312" s="28" t="s">
        <v>4110</v>
      </c>
      <c r="T312" s="28">
        <v>1</v>
      </c>
      <c r="U312" s="28" t="s">
        <v>1719</v>
      </c>
      <c r="V312" s="28" t="s">
        <v>6659</v>
      </c>
      <c r="W312" s="28" t="s">
        <v>6660</v>
      </c>
      <c r="X312" s="135">
        <v>45733.496527777781</v>
      </c>
      <c r="Y312" s="28" t="s">
        <v>6654</v>
      </c>
      <c r="Z312" s="28">
        <v>0.5</v>
      </c>
      <c r="AA312" s="28"/>
      <c r="AB312" s="28" t="s">
        <v>1720</v>
      </c>
      <c r="AC312" s="30" t="s">
        <v>6661</v>
      </c>
      <c r="AD312" s="28"/>
      <c r="AE312" s="28"/>
      <c r="AF312" s="28"/>
      <c r="AG312" s="28"/>
      <c r="AH312" s="28"/>
      <c r="AI312" s="28"/>
      <c r="AJ312" s="28"/>
      <c r="AK312" s="28" t="s">
        <v>1721</v>
      </c>
      <c r="AL312" s="325">
        <f t="shared" si="13"/>
        <v>45731</v>
      </c>
    </row>
    <row r="313" spans="1:38" ht="21.6" customHeight="1">
      <c r="A313" s="31">
        <v>78</v>
      </c>
      <c r="B313" s="31" t="s">
        <v>5033</v>
      </c>
      <c r="C313" s="31">
        <v>2025031887</v>
      </c>
      <c r="D313" s="31" t="s">
        <v>6662</v>
      </c>
      <c r="E313" s="31" t="s">
        <v>5035</v>
      </c>
      <c r="F313" s="31">
        <v>2995</v>
      </c>
      <c r="G313" s="31" t="s">
        <v>152</v>
      </c>
      <c r="H313" s="31" t="s">
        <v>1722</v>
      </c>
      <c r="I313" s="31" t="s">
        <v>6663</v>
      </c>
      <c r="J313" s="31" t="s">
        <v>5575</v>
      </c>
      <c r="K313" s="31" t="s">
        <v>5039</v>
      </c>
      <c r="L313" s="31" t="s">
        <v>5040</v>
      </c>
      <c r="M313" s="32" t="s">
        <v>4057</v>
      </c>
      <c r="N313" s="31">
        <v>2501</v>
      </c>
      <c r="O313" s="32" t="s">
        <v>5041</v>
      </c>
      <c r="P313" s="33" t="s">
        <v>6664</v>
      </c>
      <c r="Q313" s="31" t="s">
        <v>5509</v>
      </c>
      <c r="R313" s="31" t="s">
        <v>52</v>
      </c>
      <c r="S313" s="31" t="s">
        <v>1157</v>
      </c>
      <c r="T313" s="31">
        <v>1</v>
      </c>
      <c r="U313" s="31" t="s">
        <v>1719</v>
      </c>
      <c r="V313" s="31" t="s">
        <v>6665</v>
      </c>
      <c r="W313" s="31" t="s">
        <v>6666</v>
      </c>
      <c r="X313" s="211">
        <v>45733.594444444447</v>
      </c>
      <c r="Y313" s="31" t="s">
        <v>6654</v>
      </c>
      <c r="Z313" s="31">
        <v>0.5</v>
      </c>
      <c r="AA313" s="31"/>
      <c r="AB313" s="31" t="s">
        <v>5562</v>
      </c>
      <c r="AC313" s="33" t="s">
        <v>5389</v>
      </c>
      <c r="AD313" s="31"/>
      <c r="AE313" s="31"/>
      <c r="AF313" s="31"/>
      <c r="AG313" s="31"/>
      <c r="AH313" s="31"/>
      <c r="AI313" s="31"/>
      <c r="AJ313" s="31"/>
      <c r="AK313" s="31" t="s">
        <v>1721</v>
      </c>
      <c r="AL313" s="325">
        <f t="shared" si="13"/>
        <v>45731</v>
      </c>
    </row>
    <row r="314" spans="1:38" ht="21.6" customHeight="1">
      <c r="A314" s="28">
        <v>79</v>
      </c>
      <c r="B314" s="28" t="s">
        <v>5033</v>
      </c>
      <c r="C314" s="28">
        <v>2025031888</v>
      </c>
      <c r="D314" s="28" t="s">
        <v>6667</v>
      </c>
      <c r="E314" s="28" t="s">
        <v>5035</v>
      </c>
      <c r="F314" s="28">
        <v>2995</v>
      </c>
      <c r="G314" s="28" t="s">
        <v>152</v>
      </c>
      <c r="H314" s="28" t="s">
        <v>1722</v>
      </c>
      <c r="I314" s="28" t="s">
        <v>6668</v>
      </c>
      <c r="J314" s="28" t="s">
        <v>5575</v>
      </c>
      <c r="K314" s="28" t="s">
        <v>5039</v>
      </c>
      <c r="L314" s="28" t="s">
        <v>5040</v>
      </c>
      <c r="M314" s="29" t="s">
        <v>4057</v>
      </c>
      <c r="N314" s="28">
        <v>2501</v>
      </c>
      <c r="O314" s="29" t="s">
        <v>5041</v>
      </c>
      <c r="P314" s="30" t="s">
        <v>6669</v>
      </c>
      <c r="Q314" s="28" t="s">
        <v>5509</v>
      </c>
      <c r="R314" s="28" t="s">
        <v>52</v>
      </c>
      <c r="S314" s="28" t="s">
        <v>1157</v>
      </c>
      <c r="T314" s="28">
        <v>1</v>
      </c>
      <c r="U314" s="28" t="s">
        <v>1719</v>
      </c>
      <c r="V314" s="28" t="s">
        <v>6670</v>
      </c>
      <c r="W314" s="28" t="s">
        <v>6671</v>
      </c>
      <c r="X314" s="135">
        <v>45733.636805555558</v>
      </c>
      <c r="Y314" s="28" t="s">
        <v>6654</v>
      </c>
      <c r="Z314" s="28">
        <v>0.5</v>
      </c>
      <c r="AA314" s="28"/>
      <c r="AB314" s="28" t="s">
        <v>5562</v>
      </c>
      <c r="AC314" s="30" t="s">
        <v>5389</v>
      </c>
      <c r="AD314" s="28"/>
      <c r="AE314" s="28"/>
      <c r="AF314" s="28"/>
      <c r="AG314" s="28"/>
      <c r="AH314" s="28"/>
      <c r="AI314" s="28"/>
      <c r="AJ314" s="28"/>
      <c r="AK314" s="28" t="s">
        <v>1721</v>
      </c>
      <c r="AL314" s="325">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5174</v>
      </c>
      <c r="R315" s="31" t="s">
        <v>52</v>
      </c>
      <c r="S315" s="31" t="s">
        <v>16</v>
      </c>
      <c r="T315" s="31">
        <v>1</v>
      </c>
      <c r="U315" s="31" t="s">
        <v>1719</v>
      </c>
      <c r="V315" s="31" t="s">
        <v>6672</v>
      </c>
      <c r="W315" s="31" t="s">
        <v>6673</v>
      </c>
      <c r="X315" s="211">
        <v>45733.583333333336</v>
      </c>
      <c r="Y315" s="31"/>
      <c r="Z315" s="31">
        <v>0.5</v>
      </c>
      <c r="AA315" s="31"/>
      <c r="AB315" s="31" t="s">
        <v>1720</v>
      </c>
      <c r="AC315" s="33" t="s">
        <v>4119</v>
      </c>
      <c r="AD315" s="31" t="s">
        <v>1721</v>
      </c>
      <c r="AE315" s="31"/>
      <c r="AF315" s="31"/>
      <c r="AG315" s="31"/>
      <c r="AH315" s="31"/>
      <c r="AI315" s="31"/>
      <c r="AJ315" s="31"/>
      <c r="AK315" s="31" t="s">
        <v>1721</v>
      </c>
      <c r="AL315" s="325"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5509</v>
      </c>
      <c r="R316" s="28" t="s">
        <v>52</v>
      </c>
      <c r="S316" s="28" t="s">
        <v>1157</v>
      </c>
      <c r="T316" s="28">
        <v>1</v>
      </c>
      <c r="U316" s="28" t="s">
        <v>1719</v>
      </c>
      <c r="V316" s="28" t="s">
        <v>6674</v>
      </c>
      <c r="W316" s="28" t="s">
        <v>6675</v>
      </c>
      <c r="X316" s="135">
        <v>45733.637499999997</v>
      </c>
      <c r="Y316" s="28"/>
      <c r="Z316" s="28">
        <v>0.4</v>
      </c>
      <c r="AA316" s="28"/>
      <c r="AB316" s="28" t="s">
        <v>1720</v>
      </c>
      <c r="AC316" s="30" t="s">
        <v>4119</v>
      </c>
      <c r="AD316" s="28" t="s">
        <v>1721</v>
      </c>
      <c r="AE316" s="28"/>
      <c r="AF316" s="28"/>
      <c r="AG316" s="28"/>
      <c r="AH316" s="28"/>
      <c r="AI316" s="28"/>
      <c r="AJ316" s="28"/>
      <c r="AK316" s="28" t="s">
        <v>1721</v>
      </c>
      <c r="AL316" s="325" t="e">
        <f t="shared" si="13"/>
        <v>#VALUE!</v>
      </c>
    </row>
    <row r="317" spans="1:38" ht="21.6" customHeight="1">
      <c r="A317" s="31">
        <v>82</v>
      </c>
      <c r="B317" s="31" t="s">
        <v>5033</v>
      </c>
      <c r="C317" s="31">
        <v>2025032113</v>
      </c>
      <c r="D317" s="31" t="s">
        <v>6676</v>
      </c>
      <c r="E317" s="31" t="s">
        <v>5035</v>
      </c>
      <c r="F317" s="31">
        <v>2224</v>
      </c>
      <c r="G317" s="31" t="s">
        <v>73</v>
      </c>
      <c r="H317" s="31" t="s">
        <v>1722</v>
      </c>
      <c r="I317" s="31" t="s">
        <v>6677</v>
      </c>
      <c r="J317" s="31" t="s">
        <v>5038</v>
      </c>
      <c r="K317" s="31" t="s">
        <v>5039</v>
      </c>
      <c r="L317" s="31" t="s">
        <v>6044</v>
      </c>
      <c r="M317" s="32" t="s">
        <v>6045</v>
      </c>
      <c r="N317" s="31">
        <v>3404</v>
      </c>
      <c r="O317" s="32" t="s">
        <v>6046</v>
      </c>
      <c r="P317" s="33" t="s">
        <v>6678</v>
      </c>
      <c r="Q317" s="31" t="s">
        <v>6679</v>
      </c>
      <c r="R317" s="31" t="s">
        <v>52</v>
      </c>
      <c r="S317" s="31" t="s">
        <v>1157</v>
      </c>
      <c r="T317" s="31">
        <v>1</v>
      </c>
      <c r="U317" s="31" t="s">
        <v>1719</v>
      </c>
      <c r="V317" s="31" t="s">
        <v>6680</v>
      </c>
      <c r="W317" s="31" t="s">
        <v>6681</v>
      </c>
      <c r="X317" s="211">
        <v>45733.694444444445</v>
      </c>
      <c r="Y317" s="31" t="s">
        <v>6682</v>
      </c>
      <c r="Z317" s="31">
        <v>1.3</v>
      </c>
      <c r="AA317" s="31"/>
      <c r="AB317" s="31" t="s">
        <v>1720</v>
      </c>
      <c r="AC317" s="33" t="s">
        <v>6683</v>
      </c>
      <c r="AD317" s="31"/>
      <c r="AE317" s="31"/>
      <c r="AF317" s="31"/>
      <c r="AG317" s="31"/>
      <c r="AH317" s="31"/>
      <c r="AI317" s="31"/>
      <c r="AJ317" s="31"/>
      <c r="AK317" s="31" t="s">
        <v>1721</v>
      </c>
      <c r="AL317" s="325">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6679</v>
      </c>
      <c r="R318" s="28" t="s">
        <v>52</v>
      </c>
      <c r="S318" s="28" t="s">
        <v>1157</v>
      </c>
      <c r="T318" s="28">
        <v>1</v>
      </c>
      <c r="U318" s="28" t="s">
        <v>1719</v>
      </c>
      <c r="V318" s="28" t="s">
        <v>6684</v>
      </c>
      <c r="W318" s="28" t="s">
        <v>6685</v>
      </c>
      <c r="X318" s="135">
        <v>45733.694444444445</v>
      </c>
      <c r="Y318" s="28"/>
      <c r="Z318" s="28">
        <v>0.3</v>
      </c>
      <c r="AA318" s="28"/>
      <c r="AB318" s="28" t="s">
        <v>1720</v>
      </c>
      <c r="AC318" s="30" t="s">
        <v>4119</v>
      </c>
      <c r="AD318" s="28" t="s">
        <v>1721</v>
      </c>
      <c r="AE318" s="28"/>
      <c r="AF318" s="28"/>
      <c r="AG318" s="28"/>
      <c r="AH318" s="28"/>
      <c r="AI318" s="28"/>
      <c r="AJ318" s="28"/>
      <c r="AK318" s="28" t="s">
        <v>1721</v>
      </c>
      <c r="AL318" s="325" t="e">
        <f t="shared" si="13"/>
        <v>#VALUE!</v>
      </c>
    </row>
    <row r="319" spans="1:38" ht="21.6" customHeight="1">
      <c r="A319" s="31">
        <v>84</v>
      </c>
      <c r="B319" s="31" t="s">
        <v>5033</v>
      </c>
      <c r="C319" s="31">
        <v>2025032450</v>
      </c>
      <c r="D319" s="31" t="s">
        <v>6686</v>
      </c>
      <c r="E319" s="31" t="s">
        <v>5035</v>
      </c>
      <c r="F319" s="31">
        <v>2209</v>
      </c>
      <c r="G319" s="31" t="s">
        <v>72</v>
      </c>
      <c r="H319" s="31" t="s">
        <v>1747</v>
      </c>
      <c r="I319" s="31" t="s">
        <v>6687</v>
      </c>
      <c r="J319" s="31" t="s">
        <v>5066</v>
      </c>
      <c r="K319" s="31" t="s">
        <v>5451</v>
      </c>
      <c r="L319" s="31" t="s">
        <v>5227</v>
      </c>
      <c r="M319" s="32" t="s">
        <v>5228</v>
      </c>
      <c r="N319" s="31" t="s">
        <v>5229</v>
      </c>
      <c r="O319" s="32" t="s">
        <v>5230</v>
      </c>
      <c r="P319" s="33" t="s">
        <v>6688</v>
      </c>
      <c r="Q319" s="31" t="s">
        <v>5514</v>
      </c>
      <c r="R319" s="31" t="s">
        <v>52</v>
      </c>
      <c r="S319" s="31" t="s">
        <v>4110</v>
      </c>
      <c r="T319" s="31">
        <v>1</v>
      </c>
      <c r="U319" s="31" t="s">
        <v>1719</v>
      </c>
      <c r="V319" s="31" t="s">
        <v>6689</v>
      </c>
      <c r="W319" s="31" t="s">
        <v>6690</v>
      </c>
      <c r="X319" s="211">
        <v>45736.50277777778</v>
      </c>
      <c r="Y319" s="31" t="s">
        <v>6691</v>
      </c>
      <c r="Z319" s="31">
        <v>0.5</v>
      </c>
      <c r="AA319" s="31"/>
      <c r="AB319" s="31" t="s">
        <v>1720</v>
      </c>
      <c r="AC319" s="33" t="s">
        <v>6692</v>
      </c>
      <c r="AD319" s="31"/>
      <c r="AE319" s="31"/>
      <c r="AF319" s="31"/>
      <c r="AG319" s="31"/>
      <c r="AH319" s="31"/>
      <c r="AI319" s="31"/>
      <c r="AJ319" s="31"/>
      <c r="AK319" s="31" t="s">
        <v>1721</v>
      </c>
      <c r="AL319" s="325">
        <f t="shared" si="13"/>
        <v>45735</v>
      </c>
    </row>
    <row r="320" spans="1:38" ht="21.6" customHeight="1">
      <c r="A320" s="28">
        <v>85</v>
      </c>
      <c r="B320" s="28" t="s">
        <v>5033</v>
      </c>
      <c r="C320" s="28">
        <v>2025032452</v>
      </c>
      <c r="D320" s="28" t="s">
        <v>6693</v>
      </c>
      <c r="E320" s="28" t="s">
        <v>5035</v>
      </c>
      <c r="F320" s="28">
        <v>5291</v>
      </c>
      <c r="G320" s="28" t="s">
        <v>5036</v>
      </c>
      <c r="H320" s="28" t="s">
        <v>1748</v>
      </c>
      <c r="I320" s="28" t="s">
        <v>6694</v>
      </c>
      <c r="J320" s="28" t="s">
        <v>5066</v>
      </c>
      <c r="K320" s="28" t="s">
        <v>5067</v>
      </c>
      <c r="L320" s="28" t="s">
        <v>5040</v>
      </c>
      <c r="M320" s="29" t="s">
        <v>4057</v>
      </c>
      <c r="N320" s="28">
        <v>2501</v>
      </c>
      <c r="O320" s="29" t="s">
        <v>5041</v>
      </c>
      <c r="P320" s="30" t="s">
        <v>6695</v>
      </c>
      <c r="Q320" s="28" t="s">
        <v>5043</v>
      </c>
      <c r="R320" s="28" t="s">
        <v>52</v>
      </c>
      <c r="S320" s="28" t="s">
        <v>16</v>
      </c>
      <c r="T320" s="28">
        <v>1</v>
      </c>
      <c r="U320" s="28" t="s">
        <v>1719</v>
      </c>
      <c r="V320" s="28" t="s">
        <v>6696</v>
      </c>
      <c r="W320" s="28" t="s">
        <v>6697</v>
      </c>
      <c r="X320" s="135">
        <v>45736.431944444441</v>
      </c>
      <c r="Y320" s="28" t="s">
        <v>6698</v>
      </c>
      <c r="Z320" s="28">
        <v>0.9</v>
      </c>
      <c r="AA320" s="28"/>
      <c r="AB320" s="28" t="s">
        <v>1720</v>
      </c>
      <c r="AC320" s="30" t="s">
        <v>6699</v>
      </c>
      <c r="AD320" s="28"/>
      <c r="AE320" s="28"/>
      <c r="AF320" s="28"/>
      <c r="AG320" s="28"/>
      <c r="AH320" s="28"/>
      <c r="AI320" s="28"/>
      <c r="AJ320" s="28"/>
      <c r="AK320" s="28" t="s">
        <v>1721</v>
      </c>
      <c r="AL320" s="325">
        <f t="shared" si="13"/>
        <v>45735</v>
      </c>
    </row>
    <row r="321" spans="1:38" ht="21.6" customHeight="1">
      <c r="A321" s="31">
        <v>86</v>
      </c>
      <c r="B321" s="31" t="s">
        <v>5033</v>
      </c>
      <c r="C321" s="31">
        <v>2025032488</v>
      </c>
      <c r="D321" s="31" t="s">
        <v>6700</v>
      </c>
      <c r="E321" s="31" t="s">
        <v>5035</v>
      </c>
      <c r="F321" s="31">
        <v>2390</v>
      </c>
      <c r="G321" s="31" t="s">
        <v>4097</v>
      </c>
      <c r="H321" s="31" t="s">
        <v>3317</v>
      </c>
      <c r="I321" s="31" t="s">
        <v>6701</v>
      </c>
      <c r="J321" s="31" t="s">
        <v>5066</v>
      </c>
      <c r="K321" s="31" t="s">
        <v>5039</v>
      </c>
      <c r="L321" s="31" t="s">
        <v>5227</v>
      </c>
      <c r="M321" s="32" t="s">
        <v>5228</v>
      </c>
      <c r="N321" s="31" t="s">
        <v>5718</v>
      </c>
      <c r="O321" s="32" t="s">
        <v>5719</v>
      </c>
      <c r="P321" s="33" t="s">
        <v>6702</v>
      </c>
      <c r="Q321" s="31" t="s">
        <v>5636</v>
      </c>
      <c r="R321" s="31" t="s">
        <v>52</v>
      </c>
      <c r="S321" s="31" t="s">
        <v>16</v>
      </c>
      <c r="T321" s="31">
        <v>1</v>
      </c>
      <c r="U321" s="31" t="s">
        <v>1719</v>
      </c>
      <c r="V321" s="31" t="s">
        <v>6703</v>
      </c>
      <c r="W321" s="31" t="s">
        <v>6704</v>
      </c>
      <c r="X321" s="211">
        <v>45736.587500000001</v>
      </c>
      <c r="Y321" s="31" t="s">
        <v>6705</v>
      </c>
      <c r="Z321" s="31">
        <v>0.5</v>
      </c>
      <c r="AA321" s="31"/>
      <c r="AB321" s="31" t="s">
        <v>1720</v>
      </c>
      <c r="AC321" s="33" t="s">
        <v>6706</v>
      </c>
      <c r="AD321" s="31"/>
      <c r="AE321" s="31"/>
      <c r="AF321" s="31"/>
      <c r="AG321" s="31"/>
      <c r="AH321" s="31"/>
      <c r="AI321" s="31"/>
      <c r="AJ321" s="31"/>
      <c r="AK321" s="31" t="s">
        <v>1721</v>
      </c>
      <c r="AL321" s="325">
        <f t="shared" si="13"/>
        <v>45735</v>
      </c>
    </row>
    <row r="322" spans="1:38" ht="21.6" customHeight="1">
      <c r="A322" s="28">
        <v>87</v>
      </c>
      <c r="B322" s="28" t="s">
        <v>5033</v>
      </c>
      <c r="C322" s="28">
        <v>2025032490</v>
      </c>
      <c r="D322" s="28" t="s">
        <v>6707</v>
      </c>
      <c r="E322" s="28" t="s">
        <v>5035</v>
      </c>
      <c r="F322" s="28">
        <v>4046</v>
      </c>
      <c r="G322" s="28" t="s">
        <v>295</v>
      </c>
      <c r="H322" s="28" t="s">
        <v>1722</v>
      </c>
      <c r="I322" s="28" t="s">
        <v>6708</v>
      </c>
      <c r="J322" s="28" t="s">
        <v>5066</v>
      </c>
      <c r="K322" s="28" t="s">
        <v>5039</v>
      </c>
      <c r="L322" s="28" t="s">
        <v>5040</v>
      </c>
      <c r="M322" s="29" t="s">
        <v>4057</v>
      </c>
      <c r="N322" s="28">
        <v>2501</v>
      </c>
      <c r="O322" s="29" t="s">
        <v>5041</v>
      </c>
      <c r="P322" s="30" t="s">
        <v>6709</v>
      </c>
      <c r="Q322" s="28" t="s">
        <v>6710</v>
      </c>
      <c r="R322" s="28" t="s">
        <v>52</v>
      </c>
      <c r="S322" s="28" t="s">
        <v>1157</v>
      </c>
      <c r="T322" s="28">
        <v>1</v>
      </c>
      <c r="U322" s="28" t="s">
        <v>1719</v>
      </c>
      <c r="V322" s="28" t="s">
        <v>6711</v>
      </c>
      <c r="W322" s="28" t="s">
        <v>6712</v>
      </c>
      <c r="X322" s="135">
        <v>45736.618055555555</v>
      </c>
      <c r="Y322" s="28" t="s">
        <v>6713</v>
      </c>
      <c r="Z322" s="28">
        <v>0.4</v>
      </c>
      <c r="AA322" s="28"/>
      <c r="AB322" s="28" t="s">
        <v>1720</v>
      </c>
      <c r="AC322" s="30" t="s">
        <v>6714</v>
      </c>
      <c r="AD322" s="28"/>
      <c r="AE322" s="28"/>
      <c r="AF322" s="28"/>
      <c r="AG322" s="28"/>
      <c r="AH322" s="28"/>
      <c r="AI322" s="28"/>
      <c r="AJ322" s="28"/>
      <c r="AK322" s="28" t="s">
        <v>1721</v>
      </c>
      <c r="AL322" s="325">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6228</v>
      </c>
      <c r="R323" s="31" t="s">
        <v>52</v>
      </c>
      <c r="S323" s="31" t="s">
        <v>4110</v>
      </c>
      <c r="T323" s="31">
        <v>1</v>
      </c>
      <c r="U323" s="31" t="s">
        <v>1719</v>
      </c>
      <c r="V323" s="31" t="s">
        <v>6715</v>
      </c>
      <c r="W323" s="31" t="s">
        <v>6716</v>
      </c>
      <c r="X323" s="211">
        <v>45736.57916666667</v>
      </c>
      <c r="Y323" s="31"/>
      <c r="Z323" s="31">
        <v>0.3</v>
      </c>
      <c r="AA323" s="31"/>
      <c r="AB323" s="31" t="s">
        <v>1720</v>
      </c>
      <c r="AC323" s="33" t="s">
        <v>6717</v>
      </c>
      <c r="AD323" s="31"/>
      <c r="AE323" s="31"/>
      <c r="AF323" s="31"/>
      <c r="AG323" s="31"/>
      <c r="AH323" s="31"/>
      <c r="AI323" s="31"/>
      <c r="AJ323" s="31" t="s">
        <v>1721</v>
      </c>
      <c r="AK323" s="31" t="s">
        <v>1721</v>
      </c>
      <c r="AL323" s="325" t="e">
        <f t="shared" si="14"/>
        <v>#VALUE!</v>
      </c>
    </row>
    <row r="324" spans="1:38" ht="21.6" customHeight="1">
      <c r="A324" s="28">
        <v>89</v>
      </c>
      <c r="B324" s="28" t="s">
        <v>5033</v>
      </c>
      <c r="C324" s="28">
        <v>2025032626</v>
      </c>
      <c r="D324" s="28" t="s">
        <v>6718</v>
      </c>
      <c r="E324" s="28" t="s">
        <v>5035</v>
      </c>
      <c r="F324" s="28" t="s">
        <v>29</v>
      </c>
      <c r="G324" s="28" t="s">
        <v>636</v>
      </c>
      <c r="H324" s="28" t="s">
        <v>1722</v>
      </c>
      <c r="I324" s="28" t="s">
        <v>6719</v>
      </c>
      <c r="J324" s="28" t="s">
        <v>5096</v>
      </c>
      <c r="K324" s="28" t="s">
        <v>5039</v>
      </c>
      <c r="L324" s="28" t="s">
        <v>6720</v>
      </c>
      <c r="M324" s="29" t="s">
        <v>6721</v>
      </c>
      <c r="N324" s="28">
        <v>2802</v>
      </c>
      <c r="O324" s="29" t="s">
        <v>6722</v>
      </c>
      <c r="P324" s="30" t="s">
        <v>6723</v>
      </c>
      <c r="Q324" s="28" t="s">
        <v>5086</v>
      </c>
      <c r="R324" s="28" t="s">
        <v>52</v>
      </c>
      <c r="S324" s="28" t="s">
        <v>1157</v>
      </c>
      <c r="T324" s="28">
        <v>1</v>
      </c>
      <c r="U324" s="28" t="s">
        <v>1719</v>
      </c>
      <c r="V324" s="28" t="s">
        <v>6724</v>
      </c>
      <c r="W324" s="28" t="s">
        <v>6725</v>
      </c>
      <c r="X324" s="135">
        <v>45737.552777777775</v>
      </c>
      <c r="Y324" s="28" t="s">
        <v>6726</v>
      </c>
      <c r="Z324" s="28">
        <v>0.1</v>
      </c>
      <c r="AA324" s="28"/>
      <c r="AB324" s="28" t="s">
        <v>1720</v>
      </c>
      <c r="AC324" s="30" t="s">
        <v>6727</v>
      </c>
      <c r="AD324" s="28"/>
      <c r="AE324" s="28"/>
      <c r="AF324" s="28"/>
      <c r="AG324" s="28"/>
      <c r="AH324" s="28"/>
      <c r="AI324" s="28"/>
      <c r="AJ324" s="28"/>
      <c r="AK324" s="28" t="s">
        <v>1721</v>
      </c>
      <c r="AL324" s="325">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6710</v>
      </c>
      <c r="R325" s="31" t="s">
        <v>52</v>
      </c>
      <c r="S325" s="31" t="s">
        <v>1157</v>
      </c>
      <c r="T325" s="31">
        <v>1</v>
      </c>
      <c r="U325" s="31" t="s">
        <v>1719</v>
      </c>
      <c r="V325" s="31" t="s">
        <v>6728</v>
      </c>
      <c r="W325" s="31" t="s">
        <v>6712</v>
      </c>
      <c r="X325" s="211">
        <v>45736.618055555555</v>
      </c>
      <c r="Y325" s="31"/>
      <c r="Z325" s="31">
        <v>0.4</v>
      </c>
      <c r="AA325" s="31"/>
      <c r="AB325" s="31" t="s">
        <v>1720</v>
      </c>
      <c r="AC325" s="33" t="s">
        <v>4119</v>
      </c>
      <c r="AD325" s="31" t="s">
        <v>1721</v>
      </c>
      <c r="AE325" s="31"/>
      <c r="AF325" s="31"/>
      <c r="AG325" s="31"/>
      <c r="AH325" s="31"/>
      <c r="AI325" s="31"/>
      <c r="AJ325" s="31"/>
      <c r="AK325" s="31" t="s">
        <v>1721</v>
      </c>
      <c r="AL325" s="325"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6729</v>
      </c>
      <c r="R326" s="28" t="s">
        <v>52</v>
      </c>
      <c r="S326" s="28" t="s">
        <v>1157</v>
      </c>
      <c r="T326" s="28">
        <v>1</v>
      </c>
      <c r="U326" s="28" t="s">
        <v>1719</v>
      </c>
      <c r="V326" s="28" t="s">
        <v>6730</v>
      </c>
      <c r="W326" s="28" t="s">
        <v>6731</v>
      </c>
      <c r="X326" s="135">
        <v>45736.635416666664</v>
      </c>
      <c r="Y326" s="28"/>
      <c r="Z326" s="28">
        <v>0.3</v>
      </c>
      <c r="AA326" s="28"/>
      <c r="AB326" s="28" t="s">
        <v>1720</v>
      </c>
      <c r="AC326" s="30" t="s">
        <v>4119</v>
      </c>
      <c r="AD326" s="28" t="s">
        <v>1721</v>
      </c>
      <c r="AE326" s="28"/>
      <c r="AF326" s="28"/>
      <c r="AG326" s="28"/>
      <c r="AH326" s="28"/>
      <c r="AI326" s="28"/>
      <c r="AJ326" s="28"/>
      <c r="AK326" s="28" t="s">
        <v>1721</v>
      </c>
      <c r="AL326" s="325"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5385</v>
      </c>
      <c r="R327" s="31" t="s">
        <v>52</v>
      </c>
      <c r="S327" s="31" t="s">
        <v>1157</v>
      </c>
      <c r="T327" s="31">
        <v>1</v>
      </c>
      <c r="U327" s="31" t="s">
        <v>1719</v>
      </c>
      <c r="V327" s="31" t="s">
        <v>6732</v>
      </c>
      <c r="W327" s="31" t="s">
        <v>6733</v>
      </c>
      <c r="X327" s="211">
        <v>45736.658333333333</v>
      </c>
      <c r="Y327" s="31"/>
      <c r="Z327" s="31">
        <v>0.3</v>
      </c>
      <c r="AA327" s="31"/>
      <c r="AB327" s="31" t="s">
        <v>1720</v>
      </c>
      <c r="AC327" s="33" t="s">
        <v>4119</v>
      </c>
      <c r="AD327" s="31" t="s">
        <v>1721</v>
      </c>
      <c r="AE327" s="31"/>
      <c r="AF327" s="31"/>
      <c r="AG327" s="31"/>
      <c r="AH327" s="31"/>
      <c r="AI327" s="31"/>
      <c r="AJ327" s="31"/>
      <c r="AK327" s="31" t="s">
        <v>1721</v>
      </c>
      <c r="AL327" s="325"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6734</v>
      </c>
      <c r="R328" s="28" t="s">
        <v>52</v>
      </c>
      <c r="S328" s="28" t="s">
        <v>16</v>
      </c>
      <c r="T328" s="28">
        <v>1</v>
      </c>
      <c r="U328" s="28" t="s">
        <v>1719</v>
      </c>
      <c r="V328" s="28" t="s">
        <v>6735</v>
      </c>
      <c r="W328" s="28" t="s">
        <v>6733</v>
      </c>
      <c r="X328" s="135">
        <v>45736.659722222219</v>
      </c>
      <c r="Y328" s="28"/>
      <c r="Z328" s="28">
        <v>0.3</v>
      </c>
      <c r="AA328" s="28"/>
      <c r="AB328" s="28" t="s">
        <v>1720</v>
      </c>
      <c r="AC328" s="30" t="s">
        <v>4119</v>
      </c>
      <c r="AD328" s="28" t="s">
        <v>1721</v>
      </c>
      <c r="AE328" s="28"/>
      <c r="AF328" s="28"/>
      <c r="AG328" s="28"/>
      <c r="AH328" s="28"/>
      <c r="AI328" s="28"/>
      <c r="AJ328" s="28"/>
      <c r="AK328" s="28" t="s">
        <v>1721</v>
      </c>
      <c r="AL328" s="325"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6737</v>
      </c>
      <c r="R329" s="31" t="s">
        <v>52</v>
      </c>
      <c r="S329" s="31" t="s">
        <v>1157</v>
      </c>
      <c r="T329" s="31">
        <v>1</v>
      </c>
      <c r="U329" s="31" t="s">
        <v>1719</v>
      </c>
      <c r="V329" s="31" t="s">
        <v>6738</v>
      </c>
      <c r="W329" s="31" t="s">
        <v>6736</v>
      </c>
      <c r="X329" s="211">
        <v>45736.67083333333</v>
      </c>
      <c r="Y329" s="31"/>
      <c r="Z329" s="31">
        <v>0.3</v>
      </c>
      <c r="AA329" s="31"/>
      <c r="AB329" s="31" t="s">
        <v>1720</v>
      </c>
      <c r="AC329" s="33" t="s">
        <v>4119</v>
      </c>
      <c r="AD329" s="31" t="s">
        <v>1721</v>
      </c>
      <c r="AE329" s="31"/>
      <c r="AF329" s="31"/>
      <c r="AG329" s="31"/>
      <c r="AH329" s="31"/>
      <c r="AI329" s="31"/>
      <c r="AJ329" s="31"/>
      <c r="AK329" s="31" t="s">
        <v>1721</v>
      </c>
      <c r="AL329" s="325"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6739</v>
      </c>
      <c r="R330" s="28" t="s">
        <v>52</v>
      </c>
      <c r="S330" s="28" t="s">
        <v>1157</v>
      </c>
      <c r="T330" s="28">
        <v>1</v>
      </c>
      <c r="U330" s="28" t="s">
        <v>1719</v>
      </c>
      <c r="V330" s="28" t="s">
        <v>6740</v>
      </c>
      <c r="W330" s="28" t="s">
        <v>6741</v>
      </c>
      <c r="X330" s="135">
        <v>45736.682638888888</v>
      </c>
      <c r="Y330" s="28"/>
      <c r="Z330" s="28">
        <v>0.2</v>
      </c>
      <c r="AA330" s="28"/>
      <c r="AB330" s="28" t="s">
        <v>1720</v>
      </c>
      <c r="AC330" s="30" t="s">
        <v>4119</v>
      </c>
      <c r="AD330" s="28" t="s">
        <v>1721</v>
      </c>
      <c r="AE330" s="28"/>
      <c r="AF330" s="28"/>
      <c r="AG330" s="28"/>
      <c r="AH330" s="28"/>
      <c r="AI330" s="28"/>
      <c r="AJ330" s="28"/>
      <c r="AK330" s="28" t="s">
        <v>1721</v>
      </c>
      <c r="AL330" s="325"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6742</v>
      </c>
      <c r="R331" s="31" t="s">
        <v>52</v>
      </c>
      <c r="S331" s="31" t="s">
        <v>16</v>
      </c>
      <c r="T331" s="31">
        <v>1</v>
      </c>
      <c r="U331" s="31" t="s">
        <v>1719</v>
      </c>
      <c r="V331" s="31" t="s">
        <v>6743</v>
      </c>
      <c r="W331" s="31" t="s">
        <v>6744</v>
      </c>
      <c r="X331" s="211">
        <v>45736.673611111109</v>
      </c>
      <c r="Y331" s="31"/>
      <c r="Z331" s="31">
        <v>0.3</v>
      </c>
      <c r="AA331" s="31"/>
      <c r="AB331" s="31" t="s">
        <v>1720</v>
      </c>
      <c r="AC331" s="33" t="s">
        <v>4119</v>
      </c>
      <c r="AD331" s="31" t="s">
        <v>1721</v>
      </c>
      <c r="AE331" s="31"/>
      <c r="AF331" s="31"/>
      <c r="AG331" s="31"/>
      <c r="AH331" s="31"/>
      <c r="AI331" s="31"/>
      <c r="AJ331" s="31"/>
      <c r="AK331" s="31" t="s">
        <v>1721</v>
      </c>
      <c r="AL331" s="325" t="e">
        <f t="shared" si="14"/>
        <v>#VALUE!</v>
      </c>
    </row>
    <row r="332" spans="1:38" ht="21.6" customHeight="1">
      <c r="A332" s="28">
        <v>97</v>
      </c>
      <c r="B332" s="28" t="s">
        <v>1724</v>
      </c>
      <c r="C332" s="28">
        <v>2025032676</v>
      </c>
      <c r="D332" s="28"/>
      <c r="E332" s="28"/>
      <c r="F332" s="28">
        <v>3358</v>
      </c>
      <c r="G332" s="28" t="s">
        <v>6745</v>
      </c>
      <c r="H332" s="28" t="s">
        <v>1748</v>
      </c>
      <c r="I332" s="28"/>
      <c r="J332" s="28"/>
      <c r="K332" s="28"/>
      <c r="L332" s="28"/>
      <c r="M332" s="29"/>
      <c r="N332" s="28"/>
      <c r="O332" s="29"/>
      <c r="P332" s="30"/>
      <c r="Q332" s="28" t="s">
        <v>6746</v>
      </c>
      <c r="R332" s="28" t="s">
        <v>52</v>
      </c>
      <c r="S332" s="28" t="s">
        <v>16</v>
      </c>
      <c r="T332" s="28">
        <v>1</v>
      </c>
      <c r="U332" s="28" t="s">
        <v>1719</v>
      </c>
      <c r="V332" s="28" t="s">
        <v>6747</v>
      </c>
      <c r="W332" s="28" t="s">
        <v>6741</v>
      </c>
      <c r="X332" s="135">
        <v>45736.6875</v>
      </c>
      <c r="Y332" s="28"/>
      <c r="Z332" s="28">
        <v>0.3</v>
      </c>
      <c r="AA332" s="28"/>
      <c r="AB332" s="28" t="s">
        <v>1720</v>
      </c>
      <c r="AC332" s="30" t="s">
        <v>4119</v>
      </c>
      <c r="AD332" s="28" t="s">
        <v>1721</v>
      </c>
      <c r="AE332" s="28"/>
      <c r="AF332" s="28"/>
      <c r="AG332" s="28"/>
      <c r="AH332" s="28"/>
      <c r="AI332" s="28"/>
      <c r="AJ332" s="28"/>
      <c r="AK332" s="28" t="s">
        <v>1721</v>
      </c>
      <c r="AL332" s="325" t="e">
        <f t="shared" si="14"/>
        <v>#VALUE!</v>
      </c>
    </row>
    <row r="333" spans="1:38" ht="21.6" customHeight="1">
      <c r="A333" s="31">
        <v>98</v>
      </c>
      <c r="B333" s="31" t="s">
        <v>5033</v>
      </c>
      <c r="C333" s="31">
        <v>2025032692</v>
      </c>
      <c r="D333" s="31" t="s">
        <v>6748</v>
      </c>
      <c r="E333" s="31" t="s">
        <v>5035</v>
      </c>
      <c r="F333" s="31">
        <v>5003</v>
      </c>
      <c r="G333" s="31" t="s">
        <v>578</v>
      </c>
      <c r="H333" s="31" t="s">
        <v>3317</v>
      </c>
      <c r="I333" s="31" t="s">
        <v>6749</v>
      </c>
      <c r="J333" s="31" t="s">
        <v>5096</v>
      </c>
      <c r="K333" s="31" t="s">
        <v>5415</v>
      </c>
      <c r="L333" s="31" t="s">
        <v>5227</v>
      </c>
      <c r="M333" s="32" t="s">
        <v>5228</v>
      </c>
      <c r="N333" s="31" t="s">
        <v>5229</v>
      </c>
      <c r="O333" s="32" t="s">
        <v>5230</v>
      </c>
      <c r="P333" s="33" t="s">
        <v>6750</v>
      </c>
      <c r="Q333" s="31" t="s">
        <v>5232</v>
      </c>
      <c r="R333" s="31" t="s">
        <v>52</v>
      </c>
      <c r="S333" s="31" t="s">
        <v>16</v>
      </c>
      <c r="T333" s="31">
        <v>1</v>
      </c>
      <c r="U333" s="31" t="s">
        <v>1719</v>
      </c>
      <c r="V333" s="31" t="s">
        <v>6751</v>
      </c>
      <c r="W333" s="31" t="s">
        <v>6752</v>
      </c>
      <c r="X333" s="211">
        <v>45737.583333333336</v>
      </c>
      <c r="Y333" s="31" t="s">
        <v>6754</v>
      </c>
      <c r="Z333" s="31">
        <v>1</v>
      </c>
      <c r="AA333" s="31"/>
      <c r="AB333" s="31" t="s">
        <v>1720</v>
      </c>
      <c r="AC333" s="33" t="s">
        <v>6755</v>
      </c>
      <c r="AD333" s="31"/>
      <c r="AE333" s="31"/>
      <c r="AF333" s="31"/>
      <c r="AG333" s="31"/>
      <c r="AH333" s="31"/>
      <c r="AI333" s="31"/>
      <c r="AJ333" s="31"/>
      <c r="AK333" s="31" t="s">
        <v>1721</v>
      </c>
      <c r="AL333" s="325">
        <f t="shared" si="14"/>
        <v>45736</v>
      </c>
    </row>
    <row r="334" spans="1:38" ht="21.6" customHeight="1">
      <c r="A334" s="28">
        <v>99</v>
      </c>
      <c r="B334" s="28" t="s">
        <v>5033</v>
      </c>
      <c r="C334" s="28">
        <v>2025032738</v>
      </c>
      <c r="D334" s="28" t="s">
        <v>6756</v>
      </c>
      <c r="E334" s="28" t="s">
        <v>5035</v>
      </c>
      <c r="F334" s="28" t="s">
        <v>18</v>
      </c>
      <c r="G334" s="28" t="s">
        <v>1492</v>
      </c>
      <c r="H334" s="28" t="s">
        <v>1747</v>
      </c>
      <c r="I334" s="28" t="s">
        <v>6757</v>
      </c>
      <c r="J334" s="28" t="s">
        <v>5299</v>
      </c>
      <c r="K334" s="28" t="s">
        <v>5067</v>
      </c>
      <c r="L334" s="28" t="s">
        <v>5068</v>
      </c>
      <c r="M334" s="29" t="s">
        <v>1723</v>
      </c>
      <c r="N334" s="28">
        <v>2302</v>
      </c>
      <c r="O334" s="29" t="s">
        <v>5282</v>
      </c>
      <c r="P334" s="30" t="s">
        <v>6758</v>
      </c>
      <c r="Q334" s="28" t="s">
        <v>5254</v>
      </c>
      <c r="R334" s="28" t="s">
        <v>52</v>
      </c>
      <c r="S334" s="28" t="s">
        <v>4110</v>
      </c>
      <c r="T334" s="28">
        <v>1</v>
      </c>
      <c r="U334" s="28" t="s">
        <v>1719</v>
      </c>
      <c r="V334" s="28" t="s">
        <v>6759</v>
      </c>
      <c r="W334" s="28" t="s">
        <v>6760</v>
      </c>
      <c r="X334" s="135">
        <v>45737.681944444441</v>
      </c>
      <c r="Y334" s="28" t="s">
        <v>6761</v>
      </c>
      <c r="Z334" s="28">
        <v>0.5</v>
      </c>
      <c r="AA334" s="28"/>
      <c r="AB334" s="28" t="s">
        <v>1720</v>
      </c>
      <c r="AC334" s="30" t="s">
        <v>6762</v>
      </c>
      <c r="AD334" s="28"/>
      <c r="AE334" s="28"/>
      <c r="AF334" s="28"/>
      <c r="AG334" s="28"/>
      <c r="AH334" s="28"/>
      <c r="AI334" s="28"/>
      <c r="AJ334" s="28"/>
      <c r="AK334" s="28" t="s">
        <v>1721</v>
      </c>
      <c r="AL334" s="325">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6093</v>
      </c>
      <c r="R335" s="31" t="s">
        <v>52</v>
      </c>
      <c r="S335" s="31" t="s">
        <v>16</v>
      </c>
      <c r="T335" s="31">
        <v>1</v>
      </c>
      <c r="U335" s="31" t="s">
        <v>1719</v>
      </c>
      <c r="V335" s="31" t="s">
        <v>6763</v>
      </c>
      <c r="W335" s="31" t="s">
        <v>6753</v>
      </c>
      <c r="X335" s="211">
        <v>45737.597222222219</v>
      </c>
      <c r="Y335" s="31"/>
      <c r="Z335" s="31">
        <v>0.3</v>
      </c>
      <c r="AA335" s="31"/>
      <c r="AB335" s="31" t="s">
        <v>1720</v>
      </c>
      <c r="AC335" s="33" t="s">
        <v>4119</v>
      </c>
      <c r="AD335" s="31" t="s">
        <v>1721</v>
      </c>
      <c r="AE335" s="31"/>
      <c r="AF335" s="31"/>
      <c r="AG335" s="31"/>
      <c r="AH335" s="31"/>
      <c r="AI335" s="31"/>
      <c r="AJ335" s="31"/>
      <c r="AK335" s="31" t="s">
        <v>1721</v>
      </c>
      <c r="AL335" s="325" t="e">
        <f t="shared" si="14"/>
        <v>#VALUE!</v>
      </c>
    </row>
    <row r="336" spans="1:38" ht="21.6" customHeight="1">
      <c r="A336" s="28">
        <v>101</v>
      </c>
      <c r="B336" s="28" t="s">
        <v>5033</v>
      </c>
      <c r="C336" s="28">
        <v>2025032771</v>
      </c>
      <c r="D336" s="28" t="s">
        <v>6764</v>
      </c>
      <c r="E336" s="28" t="s">
        <v>5035</v>
      </c>
      <c r="F336" s="28">
        <v>4259</v>
      </c>
      <c r="G336" s="28" t="s">
        <v>345</v>
      </c>
      <c r="H336" s="28" t="s">
        <v>3319</v>
      </c>
      <c r="I336" s="28" t="s">
        <v>6765</v>
      </c>
      <c r="J336" s="28" t="s">
        <v>5299</v>
      </c>
      <c r="K336" s="28" t="s">
        <v>5039</v>
      </c>
      <c r="L336" s="28" t="s">
        <v>5068</v>
      </c>
      <c r="M336" s="29" t="s">
        <v>1723</v>
      </c>
      <c r="N336" s="28">
        <v>2304</v>
      </c>
      <c r="O336" s="29" t="s">
        <v>5097</v>
      </c>
      <c r="P336" s="30" t="s">
        <v>6766</v>
      </c>
      <c r="Q336" s="28" t="s">
        <v>5177</v>
      </c>
      <c r="R336" s="28" t="s">
        <v>52</v>
      </c>
      <c r="S336" s="28" t="s">
        <v>4110</v>
      </c>
      <c r="T336" s="28">
        <v>1</v>
      </c>
      <c r="U336" s="28" t="s">
        <v>1719</v>
      </c>
      <c r="V336" s="28" t="s">
        <v>6767</v>
      </c>
      <c r="W336" s="28" t="s">
        <v>6768</v>
      </c>
      <c r="X336" s="135">
        <v>45740.665277777778</v>
      </c>
      <c r="Y336" s="28" t="s">
        <v>6769</v>
      </c>
      <c r="Z336" s="28">
        <v>0.5</v>
      </c>
      <c r="AA336" s="28"/>
      <c r="AB336" s="28" t="s">
        <v>1720</v>
      </c>
      <c r="AC336" s="30" t="s">
        <v>6770</v>
      </c>
      <c r="AD336" s="28"/>
      <c r="AE336" s="28"/>
      <c r="AF336" s="28"/>
      <c r="AG336" s="28"/>
      <c r="AH336" s="28"/>
      <c r="AI336" s="28"/>
      <c r="AJ336" s="28"/>
      <c r="AK336" s="28" t="s">
        <v>1721</v>
      </c>
      <c r="AL336" s="325">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6771</v>
      </c>
      <c r="R337" s="31" t="s">
        <v>52</v>
      </c>
      <c r="S337" s="31" t="s">
        <v>1157</v>
      </c>
      <c r="T337" s="31">
        <v>1</v>
      </c>
      <c r="U337" s="31" t="s">
        <v>1719</v>
      </c>
      <c r="V337" s="31" t="s">
        <v>6772</v>
      </c>
      <c r="W337" s="31" t="s">
        <v>6773</v>
      </c>
      <c r="X337" s="211">
        <v>45737.600694444445</v>
      </c>
      <c r="Y337" s="31"/>
      <c r="Z337" s="31">
        <v>0.3</v>
      </c>
      <c r="AA337" s="31"/>
      <c r="AB337" s="31" t="s">
        <v>1720</v>
      </c>
      <c r="AC337" s="33" t="s">
        <v>4119</v>
      </c>
      <c r="AD337" s="31" t="s">
        <v>1721</v>
      </c>
      <c r="AE337" s="31"/>
      <c r="AF337" s="31"/>
      <c r="AG337" s="31"/>
      <c r="AH337" s="31"/>
      <c r="AI337" s="31"/>
      <c r="AJ337" s="31"/>
      <c r="AK337" s="31" t="s">
        <v>1721</v>
      </c>
      <c r="AL337" s="325"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6774</v>
      </c>
      <c r="R338" s="28" t="s">
        <v>52</v>
      </c>
      <c r="S338" s="28" t="s">
        <v>16</v>
      </c>
      <c r="T338" s="28">
        <v>1</v>
      </c>
      <c r="U338" s="28" t="s">
        <v>1719</v>
      </c>
      <c r="V338" s="28" t="s">
        <v>6775</v>
      </c>
      <c r="W338" s="28" t="s">
        <v>6776</v>
      </c>
      <c r="X338" s="135">
        <v>45737.618055555555</v>
      </c>
      <c r="Y338" s="28"/>
      <c r="Z338" s="28">
        <v>0.3</v>
      </c>
      <c r="AA338" s="28"/>
      <c r="AB338" s="28" t="s">
        <v>1720</v>
      </c>
      <c r="AC338" s="30" t="s">
        <v>4119</v>
      </c>
      <c r="AD338" s="28" t="s">
        <v>1721</v>
      </c>
      <c r="AE338" s="28"/>
      <c r="AF338" s="28"/>
      <c r="AG338" s="28"/>
      <c r="AH338" s="28"/>
      <c r="AI338" s="28"/>
      <c r="AJ338" s="28"/>
      <c r="AK338" s="28" t="s">
        <v>1721</v>
      </c>
      <c r="AL338" s="325" t="e">
        <f t="shared" si="14"/>
        <v>#VALUE!</v>
      </c>
    </row>
    <row r="339" spans="1:38" ht="21.6" customHeight="1">
      <c r="A339" s="31">
        <v>104</v>
      </c>
      <c r="B339" s="31" t="s">
        <v>5033</v>
      </c>
      <c r="C339" s="31">
        <v>2025032814</v>
      </c>
      <c r="D339" s="31" t="s">
        <v>6777</v>
      </c>
      <c r="E339" s="31" t="s">
        <v>5035</v>
      </c>
      <c r="F339" s="31">
        <v>4259</v>
      </c>
      <c r="G339" s="31" t="s">
        <v>345</v>
      </c>
      <c r="H339" s="31" t="s">
        <v>3319</v>
      </c>
      <c r="I339" s="31" t="s">
        <v>6778</v>
      </c>
      <c r="J339" s="31" t="s">
        <v>5299</v>
      </c>
      <c r="K339" s="31" t="s">
        <v>5039</v>
      </c>
      <c r="L339" s="31" t="s">
        <v>5271</v>
      </c>
      <c r="M339" s="32" t="s">
        <v>5272</v>
      </c>
      <c r="N339" s="31" t="s">
        <v>663</v>
      </c>
      <c r="O339" s="32" t="s">
        <v>5273</v>
      </c>
      <c r="P339" s="33" t="s">
        <v>6779</v>
      </c>
      <c r="Q339" s="31" t="s">
        <v>5177</v>
      </c>
      <c r="R339" s="31" t="s">
        <v>52</v>
      </c>
      <c r="S339" s="31" t="s">
        <v>4110</v>
      </c>
      <c r="T339" s="31">
        <v>1</v>
      </c>
      <c r="U339" s="31" t="s">
        <v>1719</v>
      </c>
      <c r="V339" s="31" t="s">
        <v>6780</v>
      </c>
      <c r="W339" s="31" t="s">
        <v>6781</v>
      </c>
      <c r="X339" s="211">
        <v>45740.661111111112</v>
      </c>
      <c r="Y339" s="31" t="s">
        <v>6782</v>
      </c>
      <c r="Z339" s="31">
        <v>0.5</v>
      </c>
      <c r="AA339" s="31"/>
      <c r="AB339" s="31" t="s">
        <v>1720</v>
      </c>
      <c r="AC339" s="33" t="s">
        <v>6783</v>
      </c>
      <c r="AD339" s="31"/>
      <c r="AE339" s="31"/>
      <c r="AF339" s="31"/>
      <c r="AG339" s="31"/>
      <c r="AH339" s="31"/>
      <c r="AI339" s="31"/>
      <c r="AJ339" s="31"/>
      <c r="AK339" s="31" t="s">
        <v>1721</v>
      </c>
      <c r="AL339" s="325">
        <f t="shared" si="14"/>
        <v>45737</v>
      </c>
    </row>
    <row r="340" spans="1:38" ht="21.6" customHeight="1">
      <c r="A340" s="28">
        <v>105</v>
      </c>
      <c r="B340" s="28" t="s">
        <v>5033</v>
      </c>
      <c r="C340" s="28">
        <v>2025032844</v>
      </c>
      <c r="D340" s="28" t="s">
        <v>6784</v>
      </c>
      <c r="E340" s="28" t="s">
        <v>5035</v>
      </c>
      <c r="F340" s="28">
        <v>4046</v>
      </c>
      <c r="G340" s="28" t="s">
        <v>295</v>
      </c>
      <c r="H340" s="28" t="s">
        <v>1722</v>
      </c>
      <c r="I340" s="28" t="s">
        <v>6785</v>
      </c>
      <c r="J340" s="28" t="s">
        <v>5575</v>
      </c>
      <c r="K340" s="28" t="s">
        <v>5039</v>
      </c>
      <c r="L340" s="28" t="s">
        <v>6030</v>
      </c>
      <c r="M340" s="29" t="s">
        <v>6031</v>
      </c>
      <c r="N340" s="28">
        <v>6004</v>
      </c>
      <c r="O340" s="29" t="s">
        <v>5541</v>
      </c>
      <c r="P340" s="30" t="s">
        <v>6786</v>
      </c>
      <c r="Q340" s="28" t="s">
        <v>6710</v>
      </c>
      <c r="R340" s="28" t="s">
        <v>52</v>
      </c>
      <c r="S340" s="28" t="s">
        <v>1157</v>
      </c>
      <c r="T340" s="28">
        <v>1</v>
      </c>
      <c r="U340" s="28" t="s">
        <v>1719</v>
      </c>
      <c r="V340" s="28" t="s">
        <v>6787</v>
      </c>
      <c r="W340" s="28" t="s">
        <v>6788</v>
      </c>
      <c r="X340" s="135">
        <v>45741.4375</v>
      </c>
      <c r="Y340" s="28" t="s">
        <v>6789</v>
      </c>
      <c r="Z340" s="28">
        <v>0.2</v>
      </c>
      <c r="AA340" s="28"/>
      <c r="AB340" s="28" t="s">
        <v>1720</v>
      </c>
      <c r="AC340" s="30" t="s">
        <v>6790</v>
      </c>
      <c r="AD340" s="28"/>
      <c r="AE340" s="28"/>
      <c r="AF340" s="28"/>
      <c r="AG340" s="28"/>
      <c r="AH340" s="28"/>
      <c r="AI340" s="28"/>
      <c r="AJ340" s="28"/>
      <c r="AK340" s="28" t="s">
        <v>1721</v>
      </c>
      <c r="AL340" s="325">
        <f t="shared" si="14"/>
        <v>45738</v>
      </c>
    </row>
    <row r="341" spans="1:38" ht="21.6" customHeight="1">
      <c r="A341" s="31">
        <v>106</v>
      </c>
      <c r="B341" s="31" t="s">
        <v>5033</v>
      </c>
      <c r="C341" s="31">
        <v>2025032851</v>
      </c>
      <c r="D341" s="31" t="s">
        <v>6791</v>
      </c>
      <c r="E341" s="31" t="s">
        <v>5035</v>
      </c>
      <c r="F341" s="31">
        <v>4155</v>
      </c>
      <c r="G341" s="31" t="s">
        <v>316</v>
      </c>
      <c r="H341" s="31" t="s">
        <v>1747</v>
      </c>
      <c r="I341" s="31" t="s">
        <v>6792</v>
      </c>
      <c r="J341" s="31" t="s">
        <v>5226</v>
      </c>
      <c r="K341" s="31" t="s">
        <v>5039</v>
      </c>
      <c r="L341" s="31" t="s">
        <v>5068</v>
      </c>
      <c r="M341" s="32" t="s">
        <v>1723</v>
      </c>
      <c r="N341" s="31">
        <v>2304</v>
      </c>
      <c r="O341" s="32" t="s">
        <v>5097</v>
      </c>
      <c r="P341" s="33" t="s">
        <v>6793</v>
      </c>
      <c r="Q341" s="31" t="s">
        <v>5105</v>
      </c>
      <c r="R341" s="31" t="s">
        <v>52</v>
      </c>
      <c r="S341" s="31" t="s">
        <v>4110</v>
      </c>
      <c r="T341" s="31">
        <v>1</v>
      </c>
      <c r="U341" s="31" t="s">
        <v>1719</v>
      </c>
      <c r="V341" s="31" t="s">
        <v>6794</v>
      </c>
      <c r="W341" s="31" t="s">
        <v>6795</v>
      </c>
      <c r="X341" s="211">
        <v>45740.718055555553</v>
      </c>
      <c r="Y341" s="31" t="s">
        <v>6789</v>
      </c>
      <c r="Z341" s="31">
        <v>0.5</v>
      </c>
      <c r="AA341" s="31"/>
      <c r="AB341" s="31" t="s">
        <v>1720</v>
      </c>
      <c r="AC341" s="33" t="s">
        <v>6796</v>
      </c>
      <c r="AD341" s="31"/>
      <c r="AE341" s="31"/>
      <c r="AF341" s="31"/>
      <c r="AG341" s="31"/>
      <c r="AH341" s="31"/>
      <c r="AI341" s="31"/>
      <c r="AJ341" s="31"/>
      <c r="AK341" s="31" t="s">
        <v>1721</v>
      </c>
      <c r="AL341" s="325">
        <f t="shared" si="14"/>
        <v>45739</v>
      </c>
    </row>
    <row r="342" spans="1:38" ht="21.6" customHeight="1">
      <c r="A342" s="28">
        <v>107</v>
      </c>
      <c r="B342" s="28" t="s">
        <v>1724</v>
      </c>
      <c r="C342" s="28">
        <v>2025032897</v>
      </c>
      <c r="D342" s="28"/>
      <c r="E342" s="28"/>
      <c r="F342" s="28">
        <v>5316</v>
      </c>
      <c r="G342" s="28" t="s">
        <v>5144</v>
      </c>
      <c r="H342" s="28" t="s">
        <v>1747</v>
      </c>
      <c r="I342" s="28"/>
      <c r="J342" s="28"/>
      <c r="K342" s="28"/>
      <c r="L342" s="28"/>
      <c r="M342" s="29"/>
      <c r="N342" s="28"/>
      <c r="O342" s="29"/>
      <c r="P342" s="30"/>
      <c r="Q342" s="28" t="s">
        <v>5147</v>
      </c>
      <c r="R342" s="28" t="s">
        <v>52</v>
      </c>
      <c r="S342" s="28" t="s">
        <v>4110</v>
      </c>
      <c r="T342" s="28">
        <v>1</v>
      </c>
      <c r="U342" s="28" t="s">
        <v>1719</v>
      </c>
      <c r="V342" s="28" t="s">
        <v>6797</v>
      </c>
      <c r="W342" s="28" t="s">
        <v>6798</v>
      </c>
      <c r="X342" s="135">
        <v>45740.568055555559</v>
      </c>
      <c r="Y342" s="28"/>
      <c r="Z342" s="28">
        <v>3.1</v>
      </c>
      <c r="AA342" s="28"/>
      <c r="AB342" s="28" t="s">
        <v>1720</v>
      </c>
      <c r="AC342" s="30" t="s">
        <v>6799</v>
      </c>
      <c r="AD342" s="28"/>
      <c r="AE342" s="28" t="s">
        <v>1721</v>
      </c>
      <c r="AF342" s="28"/>
      <c r="AG342" s="28"/>
      <c r="AH342" s="28"/>
      <c r="AI342" s="28"/>
      <c r="AJ342" s="28"/>
      <c r="AK342" s="28" t="s">
        <v>1721</v>
      </c>
      <c r="AL342" s="325" t="e">
        <f t="shared" si="14"/>
        <v>#VALUE!</v>
      </c>
    </row>
    <row r="343" spans="1:38" ht="21.6" customHeight="1">
      <c r="A343" s="31">
        <v>108</v>
      </c>
      <c r="B343" s="31" t="s">
        <v>1724</v>
      </c>
      <c r="C343" s="31">
        <v>2025032901</v>
      </c>
      <c r="D343" s="31"/>
      <c r="E343" s="31"/>
      <c r="F343" s="31">
        <v>5291</v>
      </c>
      <c r="G343" s="31" t="s">
        <v>5036</v>
      </c>
      <c r="H343" s="31" t="s">
        <v>1748</v>
      </c>
      <c r="I343" s="31"/>
      <c r="J343" s="31"/>
      <c r="K343" s="31"/>
      <c r="L343" s="31"/>
      <c r="M343" s="32"/>
      <c r="N343" s="31"/>
      <c r="O343" s="32"/>
      <c r="P343" s="33"/>
      <c r="Q343" s="31" t="s">
        <v>5043</v>
      </c>
      <c r="R343" s="31" t="s">
        <v>52</v>
      </c>
      <c r="S343" s="31" t="s">
        <v>16</v>
      </c>
      <c r="T343" s="31">
        <v>1</v>
      </c>
      <c r="U343" s="31" t="s">
        <v>1719</v>
      </c>
      <c r="V343" s="31" t="s">
        <v>6800</v>
      </c>
      <c r="W343" s="31" t="s">
        <v>6801</v>
      </c>
      <c r="X343" s="211">
        <v>45740.602083333331</v>
      </c>
      <c r="Y343" s="31"/>
      <c r="Z343" s="31">
        <v>1</v>
      </c>
      <c r="AA343" s="31"/>
      <c r="AB343" s="31" t="s">
        <v>1720</v>
      </c>
      <c r="AC343" s="33" t="s">
        <v>6802</v>
      </c>
      <c r="AD343" s="31"/>
      <c r="AE343" s="31"/>
      <c r="AF343" s="31"/>
      <c r="AG343" s="31"/>
      <c r="AH343" s="31"/>
      <c r="AI343" s="31"/>
      <c r="AJ343" s="31" t="s">
        <v>1721</v>
      </c>
      <c r="AK343" s="31" t="s">
        <v>1721</v>
      </c>
      <c r="AL343" s="325" t="e">
        <f t="shared" si="14"/>
        <v>#VALUE!</v>
      </c>
    </row>
    <row r="344" spans="1:38" ht="21.6" customHeight="1">
      <c r="A344" s="28">
        <v>109</v>
      </c>
      <c r="B344" s="28" t="s">
        <v>5033</v>
      </c>
      <c r="C344" s="28">
        <v>2025032951</v>
      </c>
      <c r="D344" s="28" t="s">
        <v>6803</v>
      </c>
      <c r="E344" s="28" t="s">
        <v>5035</v>
      </c>
      <c r="F344" s="28">
        <v>2267</v>
      </c>
      <c r="G344" s="28" t="s">
        <v>79</v>
      </c>
      <c r="H344" s="28" t="s">
        <v>3308</v>
      </c>
      <c r="I344" s="28" t="s">
        <v>6804</v>
      </c>
      <c r="J344" s="28" t="s">
        <v>5252</v>
      </c>
      <c r="K344" s="28" t="s">
        <v>5067</v>
      </c>
      <c r="L344" s="28" t="s">
        <v>5261</v>
      </c>
      <c r="M344" s="29" t="s">
        <v>5262</v>
      </c>
      <c r="N344" s="28">
        <v>5804</v>
      </c>
      <c r="O344" s="29" t="s">
        <v>5308</v>
      </c>
      <c r="P344" s="30" t="s">
        <v>6805</v>
      </c>
      <c r="Q344" s="28" t="s">
        <v>5768</v>
      </c>
      <c r="R344" s="28" t="s">
        <v>52</v>
      </c>
      <c r="S344" s="28" t="s">
        <v>4110</v>
      </c>
      <c r="T344" s="28">
        <v>1</v>
      </c>
      <c r="U344" s="28" t="s">
        <v>1719</v>
      </c>
      <c r="V344" s="28" t="s">
        <v>6806</v>
      </c>
      <c r="W344" s="28" t="s">
        <v>6807</v>
      </c>
      <c r="X344" s="135">
        <v>45741.59097222222</v>
      </c>
      <c r="Y344" s="28" t="s">
        <v>6808</v>
      </c>
      <c r="Z344" s="28">
        <v>0.5</v>
      </c>
      <c r="AA344" s="28"/>
      <c r="AB344" s="28" t="s">
        <v>1720</v>
      </c>
      <c r="AC344" s="30" t="s">
        <v>6809</v>
      </c>
      <c r="AD344" s="28"/>
      <c r="AE344" s="28"/>
      <c r="AF344" s="28"/>
      <c r="AG344" s="28"/>
      <c r="AH344" s="28"/>
      <c r="AI344" s="28"/>
      <c r="AJ344" s="28"/>
      <c r="AK344" s="28" t="s">
        <v>1721</v>
      </c>
      <c r="AL344" s="325">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5137</v>
      </c>
      <c r="R345" s="31" t="s">
        <v>52</v>
      </c>
      <c r="S345" s="31" t="s">
        <v>16</v>
      </c>
      <c r="T345" s="31">
        <v>1</v>
      </c>
      <c r="U345" s="31" t="s">
        <v>1719</v>
      </c>
      <c r="V345" s="31" t="s">
        <v>6810</v>
      </c>
      <c r="W345" s="31" t="s">
        <v>6811</v>
      </c>
      <c r="X345" s="211">
        <v>45741.618055555555</v>
      </c>
      <c r="Y345" s="31"/>
      <c r="Z345" s="31">
        <v>0.3</v>
      </c>
      <c r="AA345" s="31"/>
      <c r="AB345" s="31" t="s">
        <v>1720</v>
      </c>
      <c r="AC345" s="33" t="s">
        <v>4119</v>
      </c>
      <c r="AD345" s="31" t="s">
        <v>1721</v>
      </c>
      <c r="AE345" s="31"/>
      <c r="AF345" s="31"/>
      <c r="AG345" s="31"/>
      <c r="AH345" s="31"/>
      <c r="AI345" s="31"/>
      <c r="AJ345" s="31"/>
      <c r="AK345" s="31" t="s">
        <v>1721</v>
      </c>
      <c r="AL345" s="325"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6813</v>
      </c>
      <c r="R346" s="28" t="s">
        <v>52</v>
      </c>
      <c r="S346" s="28" t="s">
        <v>16</v>
      </c>
      <c r="T346" s="28">
        <v>1</v>
      </c>
      <c r="U346" s="28" t="s">
        <v>1719</v>
      </c>
      <c r="V346" s="28" t="s">
        <v>6814</v>
      </c>
      <c r="W346" s="28" t="s">
        <v>6812</v>
      </c>
      <c r="X346" s="135">
        <v>45741.631944444445</v>
      </c>
      <c r="Y346" s="28"/>
      <c r="Z346" s="28">
        <v>0.3</v>
      </c>
      <c r="AA346" s="28"/>
      <c r="AB346" s="28" t="s">
        <v>1720</v>
      </c>
      <c r="AC346" s="30" t="s">
        <v>4119</v>
      </c>
      <c r="AD346" s="28" t="s">
        <v>1721</v>
      </c>
      <c r="AE346" s="28"/>
      <c r="AF346" s="28"/>
      <c r="AG346" s="28"/>
      <c r="AH346" s="28"/>
      <c r="AI346" s="28"/>
      <c r="AJ346" s="28"/>
      <c r="AK346" s="28" t="s">
        <v>1721</v>
      </c>
      <c r="AL346" s="325"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6816</v>
      </c>
      <c r="R347" s="31" t="s">
        <v>52</v>
      </c>
      <c r="S347" s="31" t="s">
        <v>16</v>
      </c>
      <c r="T347" s="31">
        <v>1</v>
      </c>
      <c r="U347" s="31" t="s">
        <v>1719</v>
      </c>
      <c r="V347" s="31" t="s">
        <v>6817</v>
      </c>
      <c r="W347" s="31" t="s">
        <v>6815</v>
      </c>
      <c r="X347" s="211">
        <v>45741.645833333336</v>
      </c>
      <c r="Y347" s="31"/>
      <c r="Z347" s="31">
        <v>0.3</v>
      </c>
      <c r="AA347" s="31"/>
      <c r="AB347" s="31" t="s">
        <v>1720</v>
      </c>
      <c r="AC347" s="33" t="s">
        <v>4119</v>
      </c>
      <c r="AD347" s="31" t="s">
        <v>1721</v>
      </c>
      <c r="AE347" s="31"/>
      <c r="AF347" s="31"/>
      <c r="AG347" s="31"/>
      <c r="AH347" s="31"/>
      <c r="AI347" s="31"/>
      <c r="AJ347" s="31"/>
      <c r="AK347" s="31" t="s">
        <v>1721</v>
      </c>
      <c r="AL347" s="325" t="e">
        <f t="shared" si="14"/>
        <v>#VALUE!</v>
      </c>
    </row>
    <row r="348" spans="1:38" ht="21.6" customHeight="1">
      <c r="A348" s="28">
        <v>113</v>
      </c>
      <c r="B348" s="28" t="s">
        <v>5033</v>
      </c>
      <c r="C348" s="28">
        <v>2025033044</v>
      </c>
      <c r="D348" s="28" t="s">
        <v>6818</v>
      </c>
      <c r="E348" s="28" t="s">
        <v>5035</v>
      </c>
      <c r="F348" s="28">
        <v>2890</v>
      </c>
      <c r="G348" s="28" t="s">
        <v>4421</v>
      </c>
      <c r="H348" s="28" t="s">
        <v>1725</v>
      </c>
      <c r="I348" s="28" t="s">
        <v>6819</v>
      </c>
      <c r="J348" s="28" t="s">
        <v>5252</v>
      </c>
      <c r="K348" s="28" t="s">
        <v>5039</v>
      </c>
      <c r="L348" s="28" t="s">
        <v>5068</v>
      </c>
      <c r="M348" s="29" t="s">
        <v>1723</v>
      </c>
      <c r="N348" s="28">
        <v>2306</v>
      </c>
      <c r="O348" s="29" t="s">
        <v>5541</v>
      </c>
      <c r="P348" s="30" t="s">
        <v>6820</v>
      </c>
      <c r="Q348" s="28" t="s">
        <v>6150</v>
      </c>
      <c r="R348" s="28" t="s">
        <v>52</v>
      </c>
      <c r="S348" s="28" t="s">
        <v>4110</v>
      </c>
      <c r="T348" s="28">
        <v>1</v>
      </c>
      <c r="U348" s="28" t="s">
        <v>1719</v>
      </c>
      <c r="V348" s="28" t="s">
        <v>6821</v>
      </c>
      <c r="W348" s="28" t="s">
        <v>6822</v>
      </c>
      <c r="X348" s="135">
        <v>45741.72152777778</v>
      </c>
      <c r="Y348" s="28" t="s">
        <v>6823</v>
      </c>
      <c r="Z348" s="28">
        <v>0.5</v>
      </c>
      <c r="AA348" s="28"/>
      <c r="AB348" s="28" t="s">
        <v>1720</v>
      </c>
      <c r="AC348" s="30" t="s">
        <v>6824</v>
      </c>
      <c r="AD348" s="28"/>
      <c r="AE348" s="28"/>
      <c r="AF348" s="28"/>
      <c r="AG348" s="28"/>
      <c r="AH348" s="28"/>
      <c r="AI348" s="28"/>
      <c r="AJ348" s="28"/>
      <c r="AK348" s="28" t="s">
        <v>1721</v>
      </c>
      <c r="AL348" s="325">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6825</v>
      </c>
      <c r="R349" s="31" t="s">
        <v>52</v>
      </c>
      <c r="S349" s="31" t="s">
        <v>1157</v>
      </c>
      <c r="T349" s="31">
        <v>1</v>
      </c>
      <c r="U349" s="31" t="s">
        <v>1719</v>
      </c>
      <c r="V349" s="31" t="s">
        <v>6826</v>
      </c>
      <c r="W349" s="31" t="s">
        <v>6827</v>
      </c>
      <c r="X349" s="211">
        <v>45742.477777777778</v>
      </c>
      <c r="Y349" s="31"/>
      <c r="Z349" s="31">
        <v>0.3</v>
      </c>
      <c r="AA349" s="31"/>
      <c r="AB349" s="31" t="s">
        <v>1720</v>
      </c>
      <c r="AC349" s="33" t="s">
        <v>4119</v>
      </c>
      <c r="AD349" s="31" t="s">
        <v>1721</v>
      </c>
      <c r="AE349" s="31"/>
      <c r="AF349" s="31"/>
      <c r="AG349" s="31"/>
      <c r="AH349" s="31"/>
      <c r="AI349" s="31"/>
      <c r="AJ349" s="31"/>
      <c r="AK349" s="31" t="s">
        <v>1721</v>
      </c>
      <c r="AL349" s="325"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5543</v>
      </c>
      <c r="R350" s="28" t="s">
        <v>52</v>
      </c>
      <c r="S350" s="28" t="s">
        <v>1157</v>
      </c>
      <c r="T350" s="28">
        <v>1</v>
      </c>
      <c r="U350" s="28" t="s">
        <v>1719</v>
      </c>
      <c r="V350" s="28" t="s">
        <v>6828</v>
      </c>
      <c r="W350" s="28" t="s">
        <v>6829</v>
      </c>
      <c r="X350" s="135">
        <v>45742.495138888888</v>
      </c>
      <c r="Y350" s="28"/>
      <c r="Z350" s="28">
        <v>0.2</v>
      </c>
      <c r="AA350" s="28"/>
      <c r="AB350" s="28" t="s">
        <v>1720</v>
      </c>
      <c r="AC350" s="30" t="s">
        <v>4119</v>
      </c>
      <c r="AD350" s="28" t="s">
        <v>1721</v>
      </c>
      <c r="AE350" s="28"/>
      <c r="AF350" s="28"/>
      <c r="AG350" s="28"/>
      <c r="AH350" s="28"/>
      <c r="AI350" s="28"/>
      <c r="AJ350" s="28"/>
      <c r="AK350" s="28" t="s">
        <v>1721</v>
      </c>
      <c r="AL350" s="325"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6830</v>
      </c>
      <c r="R351" s="31" t="s">
        <v>52</v>
      </c>
      <c r="S351" s="31" t="s">
        <v>1157</v>
      </c>
      <c r="T351" s="31">
        <v>1</v>
      </c>
      <c r="U351" s="31" t="s">
        <v>1719</v>
      </c>
      <c r="V351" s="31" t="s">
        <v>6831</v>
      </c>
      <c r="W351" s="31" t="s">
        <v>6832</v>
      </c>
      <c r="X351" s="211">
        <v>45742.511111111111</v>
      </c>
      <c r="Y351" s="31"/>
      <c r="Z351" s="31">
        <v>0.3</v>
      </c>
      <c r="AA351" s="31"/>
      <c r="AB351" s="31" t="s">
        <v>1720</v>
      </c>
      <c r="AC351" s="33" t="s">
        <v>4119</v>
      </c>
      <c r="AD351" s="31" t="s">
        <v>1721</v>
      </c>
      <c r="AE351" s="31"/>
      <c r="AF351" s="31"/>
      <c r="AG351" s="31"/>
      <c r="AH351" s="31"/>
      <c r="AI351" s="31"/>
      <c r="AJ351" s="31"/>
      <c r="AK351" s="31" t="s">
        <v>1721</v>
      </c>
      <c r="AL351" s="325"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6833</v>
      </c>
      <c r="R352" s="28" t="s">
        <v>52</v>
      </c>
      <c r="S352" s="28" t="s">
        <v>1157</v>
      </c>
      <c r="T352" s="28">
        <v>1</v>
      </c>
      <c r="U352" s="28" t="s">
        <v>1719</v>
      </c>
      <c r="V352" s="28" t="s">
        <v>6834</v>
      </c>
      <c r="W352" s="28" t="s">
        <v>6835</v>
      </c>
      <c r="X352" s="135">
        <v>45742.524305555555</v>
      </c>
      <c r="Y352" s="28"/>
      <c r="Z352" s="28">
        <v>0.3</v>
      </c>
      <c r="AA352" s="28"/>
      <c r="AB352" s="28" t="s">
        <v>1720</v>
      </c>
      <c r="AC352" s="30" t="s">
        <v>4119</v>
      </c>
      <c r="AD352" s="28" t="s">
        <v>1721</v>
      </c>
      <c r="AE352" s="28"/>
      <c r="AF352" s="28"/>
      <c r="AG352" s="28"/>
      <c r="AH352" s="28"/>
      <c r="AI352" s="28"/>
      <c r="AJ352" s="28"/>
      <c r="AK352" s="28" t="s">
        <v>1721</v>
      </c>
      <c r="AL352" s="325"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6836</v>
      </c>
      <c r="R353" s="31" t="s">
        <v>52</v>
      </c>
      <c r="S353" s="31" t="s">
        <v>1157</v>
      </c>
      <c r="T353" s="31">
        <v>1</v>
      </c>
      <c r="U353" s="31" t="s">
        <v>1719</v>
      </c>
      <c r="V353" s="31" t="s">
        <v>6837</v>
      </c>
      <c r="W353" s="31" t="s">
        <v>6838</v>
      </c>
      <c r="X353" s="211">
        <v>45742.552083333336</v>
      </c>
      <c r="Y353" s="31"/>
      <c r="Z353" s="31">
        <v>0.5</v>
      </c>
      <c r="AA353" s="31"/>
      <c r="AB353" s="31" t="s">
        <v>1720</v>
      </c>
      <c r="AC353" s="33" t="s">
        <v>4119</v>
      </c>
      <c r="AD353" s="31" t="s">
        <v>1721</v>
      </c>
      <c r="AE353" s="31"/>
      <c r="AF353" s="31"/>
      <c r="AG353" s="31"/>
      <c r="AH353" s="31"/>
      <c r="AI353" s="31"/>
      <c r="AJ353" s="31"/>
      <c r="AK353" s="31" t="s">
        <v>1721</v>
      </c>
      <c r="AL353" s="325"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6839</v>
      </c>
      <c r="R354" s="28" t="s">
        <v>52</v>
      </c>
      <c r="S354" s="28" t="s">
        <v>1157</v>
      </c>
      <c r="T354" s="28">
        <v>1</v>
      </c>
      <c r="U354" s="28" t="s">
        <v>1719</v>
      </c>
      <c r="V354" s="28" t="s">
        <v>6840</v>
      </c>
      <c r="W354" s="28" t="s">
        <v>6841</v>
      </c>
      <c r="X354" s="135">
        <v>45742.568749999999</v>
      </c>
      <c r="Y354" s="28"/>
      <c r="Z354" s="28">
        <v>0.3</v>
      </c>
      <c r="AA354" s="28"/>
      <c r="AB354" s="28" t="s">
        <v>1720</v>
      </c>
      <c r="AC354" s="30" t="s">
        <v>4119</v>
      </c>
      <c r="AD354" s="28" t="s">
        <v>1721</v>
      </c>
      <c r="AE354" s="28"/>
      <c r="AF354" s="28"/>
      <c r="AG354" s="28"/>
      <c r="AH354" s="28"/>
      <c r="AI354" s="28"/>
      <c r="AJ354" s="28"/>
      <c r="AK354" s="28" t="s">
        <v>1721</v>
      </c>
      <c r="AL354" s="325" t="e">
        <f t="shared" si="14"/>
        <v>#VALUE!</v>
      </c>
    </row>
    <row r="355" spans="1:38" ht="21.6" customHeight="1">
      <c r="A355" s="31">
        <v>120</v>
      </c>
      <c r="B355" s="31" t="s">
        <v>5033</v>
      </c>
      <c r="C355" s="31">
        <v>2025033139</v>
      </c>
      <c r="D355" s="31" t="s">
        <v>6842</v>
      </c>
      <c r="E355" s="31" t="s">
        <v>5035</v>
      </c>
      <c r="F355" s="31">
        <v>3890</v>
      </c>
      <c r="G355" s="31" t="s">
        <v>253</v>
      </c>
      <c r="H355" s="31" t="s">
        <v>1747</v>
      </c>
      <c r="I355" s="31" t="s">
        <v>6843</v>
      </c>
      <c r="J355" s="31" t="s">
        <v>5066</v>
      </c>
      <c r="K355" s="31" t="s">
        <v>5039</v>
      </c>
      <c r="L355" s="31" t="s">
        <v>5856</v>
      </c>
      <c r="M355" s="32" t="s">
        <v>5857</v>
      </c>
      <c r="N355" s="31" t="s">
        <v>5858</v>
      </c>
      <c r="O355" s="32" t="s">
        <v>5859</v>
      </c>
      <c r="P355" s="33" t="s">
        <v>6844</v>
      </c>
      <c r="Q355" s="31" t="s">
        <v>5284</v>
      </c>
      <c r="R355" s="31" t="s">
        <v>52</v>
      </c>
      <c r="S355" s="31" t="s">
        <v>4110</v>
      </c>
      <c r="T355" s="31">
        <v>1</v>
      </c>
      <c r="U355" s="31" t="s">
        <v>1719</v>
      </c>
      <c r="V355" s="31" t="s">
        <v>6845</v>
      </c>
      <c r="W355" s="31" t="s">
        <v>6846</v>
      </c>
      <c r="X355" s="211">
        <v>45743.470833333333</v>
      </c>
      <c r="Y355" s="31" t="s">
        <v>6848</v>
      </c>
      <c r="Z355" s="31">
        <v>0.5</v>
      </c>
      <c r="AA355" s="31"/>
      <c r="AB355" s="31" t="s">
        <v>1720</v>
      </c>
      <c r="AC355" s="33" t="s">
        <v>6849</v>
      </c>
      <c r="AD355" s="31"/>
      <c r="AE355" s="31"/>
      <c r="AF355" s="31"/>
      <c r="AG355" s="31"/>
      <c r="AH355" s="31"/>
      <c r="AI355" s="31"/>
      <c r="AJ355" s="31"/>
      <c r="AK355" s="31" t="s">
        <v>1721</v>
      </c>
      <c r="AL355" s="325">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6850</v>
      </c>
      <c r="R356" s="28" t="s">
        <v>52</v>
      </c>
      <c r="S356" s="28" t="s">
        <v>1157</v>
      </c>
      <c r="T356" s="28">
        <v>1</v>
      </c>
      <c r="U356" s="28" t="s">
        <v>1719</v>
      </c>
      <c r="V356" s="28" t="s">
        <v>6851</v>
      </c>
      <c r="W356" s="28" t="s">
        <v>6852</v>
      </c>
      <c r="X356" s="135">
        <v>45742.590277777781</v>
      </c>
      <c r="Y356" s="28"/>
      <c r="Z356" s="28">
        <v>0.4</v>
      </c>
      <c r="AA356" s="28"/>
      <c r="AB356" s="28" t="s">
        <v>1720</v>
      </c>
      <c r="AC356" s="30" t="s">
        <v>4119</v>
      </c>
      <c r="AD356" s="28" t="s">
        <v>1721</v>
      </c>
      <c r="AE356" s="28"/>
      <c r="AF356" s="28"/>
      <c r="AG356" s="28"/>
      <c r="AH356" s="28"/>
      <c r="AI356" s="28"/>
      <c r="AJ356" s="28"/>
      <c r="AK356" s="28" t="s">
        <v>1721</v>
      </c>
      <c r="AL356" s="325" t="e">
        <f t="shared" si="14"/>
        <v>#VALUE!</v>
      </c>
    </row>
    <row r="357" spans="1:38" ht="21.6" customHeight="1">
      <c r="A357" s="31">
        <v>122</v>
      </c>
      <c r="B357" s="31" t="s">
        <v>5033</v>
      </c>
      <c r="C357" s="31">
        <v>2025033147</v>
      </c>
      <c r="D357" s="31" t="s">
        <v>6853</v>
      </c>
      <c r="E357" s="31" t="s">
        <v>5035</v>
      </c>
      <c r="F357" s="31">
        <v>4977</v>
      </c>
      <c r="G357" s="31" t="s">
        <v>574</v>
      </c>
      <c r="H357" s="31" t="s">
        <v>1747</v>
      </c>
      <c r="I357" s="31" t="s">
        <v>6854</v>
      </c>
      <c r="J357" s="31" t="s">
        <v>5066</v>
      </c>
      <c r="K357" s="31" t="s">
        <v>5039</v>
      </c>
      <c r="L357" s="31" t="s">
        <v>5227</v>
      </c>
      <c r="M357" s="32" t="s">
        <v>5228</v>
      </c>
      <c r="N357" s="31" t="s">
        <v>5613</v>
      </c>
      <c r="O357" s="32" t="s">
        <v>5614</v>
      </c>
      <c r="P357" s="33" t="s">
        <v>6855</v>
      </c>
      <c r="Q357" s="31" t="s">
        <v>4133</v>
      </c>
      <c r="R357" s="31" t="s">
        <v>52</v>
      </c>
      <c r="S357" s="31" t="s">
        <v>4110</v>
      </c>
      <c r="T357" s="31">
        <v>1</v>
      </c>
      <c r="U357" s="31" t="s">
        <v>1719</v>
      </c>
      <c r="V357" s="31" t="s">
        <v>6856</v>
      </c>
      <c r="W357" s="31" t="s">
        <v>6857</v>
      </c>
      <c r="X357" s="211">
        <v>45743.524305555555</v>
      </c>
      <c r="Y357" s="31" t="s">
        <v>6858</v>
      </c>
      <c r="Z357" s="31">
        <v>0.5</v>
      </c>
      <c r="AA357" s="31"/>
      <c r="AB357" s="31" t="s">
        <v>1720</v>
      </c>
      <c r="AC357" s="33" t="s">
        <v>6859</v>
      </c>
      <c r="AD357" s="31"/>
      <c r="AE357" s="31"/>
      <c r="AF357" s="31"/>
      <c r="AG357" s="31"/>
      <c r="AH357" s="31"/>
      <c r="AI357" s="31"/>
      <c r="AJ357" s="31"/>
      <c r="AK357" s="31" t="s">
        <v>1721</v>
      </c>
      <c r="AL357" s="325">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5209</v>
      </c>
      <c r="R358" s="28" t="s">
        <v>52</v>
      </c>
      <c r="S358" s="28" t="s">
        <v>1157</v>
      </c>
      <c r="T358" s="28">
        <v>1</v>
      </c>
      <c r="U358" s="28" t="s">
        <v>1719</v>
      </c>
      <c r="V358" s="28" t="s">
        <v>6860</v>
      </c>
      <c r="W358" s="28" t="s">
        <v>6861</v>
      </c>
      <c r="X358" s="135">
        <v>45742.604166666664</v>
      </c>
      <c r="Y358" s="28"/>
      <c r="Z358" s="28">
        <v>0.3</v>
      </c>
      <c r="AA358" s="28"/>
      <c r="AB358" s="28" t="s">
        <v>1720</v>
      </c>
      <c r="AC358" s="30" t="s">
        <v>4119</v>
      </c>
      <c r="AD358" s="28" t="s">
        <v>1721</v>
      </c>
      <c r="AE358" s="28"/>
      <c r="AF358" s="28"/>
      <c r="AG358" s="28"/>
      <c r="AH358" s="28"/>
      <c r="AI358" s="28"/>
      <c r="AJ358" s="28"/>
      <c r="AK358" s="28" t="s">
        <v>1721</v>
      </c>
      <c r="AL358" s="325" t="e">
        <f t="shared" si="14"/>
        <v>#VALUE!</v>
      </c>
    </row>
    <row r="359" spans="1:38" ht="21.6" customHeight="1">
      <c r="A359" s="31">
        <v>124</v>
      </c>
      <c r="B359" s="31" t="s">
        <v>5033</v>
      </c>
      <c r="C359" s="31">
        <v>2025033243</v>
      </c>
      <c r="D359" s="31" t="s">
        <v>6862</v>
      </c>
      <c r="E359" s="31" t="s">
        <v>5035</v>
      </c>
      <c r="F359" s="31">
        <v>3796</v>
      </c>
      <c r="G359" s="31" t="s">
        <v>4113</v>
      </c>
      <c r="H359" s="31" t="s">
        <v>1747</v>
      </c>
      <c r="I359" s="31" t="s">
        <v>6863</v>
      </c>
      <c r="J359" s="31" t="s">
        <v>5096</v>
      </c>
      <c r="K359" s="31" t="s">
        <v>5451</v>
      </c>
      <c r="L359" s="31" t="s">
        <v>5271</v>
      </c>
      <c r="M359" s="32" t="s">
        <v>5272</v>
      </c>
      <c r="N359" s="31" t="s">
        <v>663</v>
      </c>
      <c r="O359" s="32" t="s">
        <v>5273</v>
      </c>
      <c r="P359" s="33" t="s">
        <v>6864</v>
      </c>
      <c r="Q359" s="31" t="s">
        <v>6360</v>
      </c>
      <c r="R359" s="31" t="s">
        <v>52</v>
      </c>
      <c r="S359" s="31" t="s">
        <v>4110</v>
      </c>
      <c r="T359" s="31">
        <v>1</v>
      </c>
      <c r="U359" s="31" t="s">
        <v>1719</v>
      </c>
      <c r="V359" s="31" t="s">
        <v>6865</v>
      </c>
      <c r="W359" s="31" t="s">
        <v>6866</v>
      </c>
      <c r="X359" s="211">
        <v>45743.553472222222</v>
      </c>
      <c r="Y359" s="31" t="s">
        <v>6867</v>
      </c>
      <c r="Z359" s="31">
        <v>0.5</v>
      </c>
      <c r="AA359" s="31"/>
      <c r="AB359" s="31" t="s">
        <v>1720</v>
      </c>
      <c r="AC359" s="33" t="s">
        <v>6868</v>
      </c>
      <c r="AD359" s="31"/>
      <c r="AE359" s="31"/>
      <c r="AF359" s="31"/>
      <c r="AG359" s="31"/>
      <c r="AH359" s="31"/>
      <c r="AI359" s="31"/>
      <c r="AJ359" s="31"/>
      <c r="AK359" s="31" t="s">
        <v>1721</v>
      </c>
      <c r="AL359" s="325">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6869</v>
      </c>
      <c r="R360" s="28" t="s">
        <v>52</v>
      </c>
      <c r="S360" s="28" t="s">
        <v>1157</v>
      </c>
      <c r="T360" s="28">
        <v>1</v>
      </c>
      <c r="U360" s="28" t="s">
        <v>1719</v>
      </c>
      <c r="V360" s="28" t="s">
        <v>6870</v>
      </c>
      <c r="W360" s="28" t="s">
        <v>6871</v>
      </c>
      <c r="X360" s="135">
        <v>45743.452777777777</v>
      </c>
      <c r="Y360" s="28"/>
      <c r="Z360" s="28">
        <v>0.3</v>
      </c>
      <c r="AA360" s="28"/>
      <c r="AB360" s="28" t="s">
        <v>1720</v>
      </c>
      <c r="AC360" s="30" t="s">
        <v>4119</v>
      </c>
      <c r="AD360" s="28" t="s">
        <v>1721</v>
      </c>
      <c r="AE360" s="28"/>
      <c r="AF360" s="28"/>
      <c r="AG360" s="28"/>
      <c r="AH360" s="28"/>
      <c r="AI360" s="28"/>
      <c r="AJ360" s="28"/>
      <c r="AK360" s="28" t="s">
        <v>1721</v>
      </c>
      <c r="AL360" s="325"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6872</v>
      </c>
      <c r="R361" s="31" t="s">
        <v>52</v>
      </c>
      <c r="S361" s="31" t="s">
        <v>1157</v>
      </c>
      <c r="T361" s="31">
        <v>1</v>
      </c>
      <c r="U361" s="31" t="s">
        <v>1719</v>
      </c>
      <c r="V361" s="31" t="s">
        <v>6873</v>
      </c>
      <c r="W361" s="31" t="s">
        <v>6874</v>
      </c>
      <c r="X361" s="211">
        <v>45743.465277777781</v>
      </c>
      <c r="Y361" s="31"/>
      <c r="Z361" s="31">
        <v>0.2</v>
      </c>
      <c r="AA361" s="31"/>
      <c r="AB361" s="31" t="s">
        <v>1720</v>
      </c>
      <c r="AC361" s="33" t="s">
        <v>4119</v>
      </c>
      <c r="AD361" s="31" t="s">
        <v>1721</v>
      </c>
      <c r="AE361" s="31"/>
      <c r="AF361" s="31"/>
      <c r="AG361" s="31"/>
      <c r="AH361" s="31"/>
      <c r="AI361" s="31"/>
      <c r="AJ361" s="31"/>
      <c r="AK361" s="31" t="s">
        <v>1721</v>
      </c>
      <c r="AL361" s="325"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6875</v>
      </c>
      <c r="R362" s="28" t="s">
        <v>52</v>
      </c>
      <c r="S362" s="28" t="s">
        <v>1157</v>
      </c>
      <c r="T362" s="28">
        <v>1</v>
      </c>
      <c r="U362" s="28" t="s">
        <v>1719</v>
      </c>
      <c r="V362" s="28" t="s">
        <v>6876</v>
      </c>
      <c r="W362" s="28" t="s">
        <v>6847</v>
      </c>
      <c r="X362" s="135">
        <v>45743.484722222223</v>
      </c>
      <c r="Y362" s="28"/>
      <c r="Z362" s="28">
        <v>0.3</v>
      </c>
      <c r="AA362" s="28"/>
      <c r="AB362" s="28" t="s">
        <v>1720</v>
      </c>
      <c r="AC362" s="30" t="s">
        <v>4119</v>
      </c>
      <c r="AD362" s="28" t="s">
        <v>1721</v>
      </c>
      <c r="AE362" s="28"/>
      <c r="AF362" s="28"/>
      <c r="AG362" s="28"/>
      <c r="AH362" s="28"/>
      <c r="AI362" s="28"/>
      <c r="AJ362" s="28"/>
      <c r="AK362" s="28" t="s">
        <v>1721</v>
      </c>
      <c r="AL362" s="325" t="e">
        <f t="shared" si="14"/>
        <v>#VALUE!</v>
      </c>
    </row>
    <row r="363" spans="1:38" ht="21.6" customHeight="1">
      <c r="A363" s="31">
        <v>128</v>
      </c>
      <c r="B363" s="31" t="s">
        <v>5033</v>
      </c>
      <c r="C363" s="31">
        <v>2025033261</v>
      </c>
      <c r="D363" s="31" t="s">
        <v>6877</v>
      </c>
      <c r="E363" s="31" t="s">
        <v>5035</v>
      </c>
      <c r="F363" s="31">
        <v>2691</v>
      </c>
      <c r="G363" s="31" t="s">
        <v>4106</v>
      </c>
      <c r="H363" s="31" t="s">
        <v>3317</v>
      </c>
      <c r="I363" s="31" t="s">
        <v>6878</v>
      </c>
      <c r="J363" s="31" t="s">
        <v>5096</v>
      </c>
      <c r="K363" s="31" t="s">
        <v>5067</v>
      </c>
      <c r="L363" s="31" t="s">
        <v>5271</v>
      </c>
      <c r="M363" s="32" t="s">
        <v>5272</v>
      </c>
      <c r="N363" s="31" t="s">
        <v>663</v>
      </c>
      <c r="O363" s="32" t="s">
        <v>5273</v>
      </c>
      <c r="P363" s="33" t="s">
        <v>6879</v>
      </c>
      <c r="Q363" s="31" t="s">
        <v>5633</v>
      </c>
      <c r="R363" s="31" t="s">
        <v>52</v>
      </c>
      <c r="S363" s="31" t="s">
        <v>4110</v>
      </c>
      <c r="T363" s="31">
        <v>1</v>
      </c>
      <c r="U363" s="31" t="s">
        <v>1719</v>
      </c>
      <c r="V363" s="31" t="s">
        <v>6880</v>
      </c>
      <c r="W363" s="31" t="s">
        <v>6881</v>
      </c>
      <c r="X363" s="211">
        <v>45744.595833333333</v>
      </c>
      <c r="Y363" s="31" t="s">
        <v>6882</v>
      </c>
      <c r="Z363" s="31">
        <v>0.5</v>
      </c>
      <c r="AA363" s="31"/>
      <c r="AB363" s="31" t="s">
        <v>1720</v>
      </c>
      <c r="AC363" s="33" t="s">
        <v>6883</v>
      </c>
      <c r="AD363" s="31"/>
      <c r="AE363" s="31"/>
      <c r="AF363" s="31"/>
      <c r="AG363" s="31"/>
      <c r="AH363" s="31"/>
      <c r="AI363" s="31"/>
      <c r="AJ363" s="31"/>
      <c r="AK363" s="31" t="s">
        <v>1721</v>
      </c>
      <c r="AL363" s="325">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5123</v>
      </c>
      <c r="R364" s="28" t="s">
        <v>52</v>
      </c>
      <c r="S364" s="28" t="s">
        <v>1157</v>
      </c>
      <c r="T364" s="28">
        <v>1</v>
      </c>
      <c r="U364" s="28" t="s">
        <v>1719</v>
      </c>
      <c r="V364" s="28" t="s">
        <v>6884</v>
      </c>
      <c r="W364" s="28" t="s">
        <v>6885</v>
      </c>
      <c r="X364" s="135">
        <v>45743.505555555559</v>
      </c>
      <c r="Y364" s="28"/>
      <c r="Z364" s="28">
        <v>0.3</v>
      </c>
      <c r="AA364" s="28"/>
      <c r="AB364" s="28" t="s">
        <v>1720</v>
      </c>
      <c r="AC364" s="30" t="s">
        <v>4119</v>
      </c>
      <c r="AD364" s="28" t="s">
        <v>1721</v>
      </c>
      <c r="AE364" s="28"/>
      <c r="AF364" s="28"/>
      <c r="AG364" s="28"/>
      <c r="AH364" s="28"/>
      <c r="AI364" s="28"/>
      <c r="AJ364" s="28"/>
      <c r="AK364" s="28" t="s">
        <v>1721</v>
      </c>
      <c r="AL364" s="325"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25" t="e">
        <f t="shared" si="14"/>
        <v>#VALUE!</v>
      </c>
    </row>
    <row r="366" spans="1:38" ht="21.6" customHeight="1">
      <c r="A366" s="28">
        <v>131</v>
      </c>
      <c r="B366" s="28" t="s">
        <v>5033</v>
      </c>
      <c r="C366" s="28">
        <v>2025033312</v>
      </c>
      <c r="D366" s="28" t="s">
        <v>6886</v>
      </c>
      <c r="E366" s="28" t="s">
        <v>5035</v>
      </c>
      <c r="F366" s="28">
        <v>2399</v>
      </c>
      <c r="G366" s="28" t="s">
        <v>96</v>
      </c>
      <c r="H366" s="28" t="s">
        <v>1747</v>
      </c>
      <c r="I366" s="28" t="s">
        <v>6887</v>
      </c>
      <c r="J366" s="28" t="s">
        <v>5096</v>
      </c>
      <c r="K366" s="28" t="s">
        <v>5039</v>
      </c>
      <c r="L366" s="28" t="s">
        <v>6888</v>
      </c>
      <c r="M366" s="29" t="s">
        <v>6889</v>
      </c>
      <c r="N366" s="28" t="s">
        <v>6890</v>
      </c>
      <c r="O366" s="29" t="s">
        <v>6891</v>
      </c>
      <c r="P366" s="30" t="s">
        <v>6892</v>
      </c>
      <c r="Q366" s="28" t="s">
        <v>5706</v>
      </c>
      <c r="R366" s="28" t="s">
        <v>52</v>
      </c>
      <c r="S366" s="28" t="s">
        <v>4110</v>
      </c>
      <c r="T366" s="28">
        <v>1</v>
      </c>
      <c r="U366" s="28" t="s">
        <v>1719</v>
      </c>
      <c r="V366" s="28" t="s">
        <v>6893</v>
      </c>
      <c r="W366" s="28" t="s">
        <v>6894</v>
      </c>
      <c r="X366" s="135">
        <v>45744.484722222223</v>
      </c>
      <c r="Y366" s="28" t="s">
        <v>6895</v>
      </c>
      <c r="Z366" s="28">
        <v>0.5</v>
      </c>
      <c r="AA366" s="28"/>
      <c r="AB366" s="28" t="s">
        <v>1720</v>
      </c>
      <c r="AC366" s="30" t="s">
        <v>6896</v>
      </c>
      <c r="AD366" s="28"/>
      <c r="AE366" s="28"/>
      <c r="AF366" s="28"/>
      <c r="AG366" s="28"/>
      <c r="AH366" s="28"/>
      <c r="AI366" s="28"/>
      <c r="AJ366" s="28"/>
      <c r="AK366" s="28" t="s">
        <v>1721</v>
      </c>
      <c r="AL366" s="325">
        <f t="shared" si="14"/>
        <v>45743</v>
      </c>
    </row>
    <row r="367" spans="1:38" ht="21.6" customHeight="1">
      <c r="A367" s="31">
        <v>132</v>
      </c>
      <c r="B367" s="31" t="s">
        <v>5033</v>
      </c>
      <c r="C367" s="31">
        <v>2025033312</v>
      </c>
      <c r="D367" s="31" t="s">
        <v>6886</v>
      </c>
      <c r="E367" s="31" t="s">
        <v>5035</v>
      </c>
      <c r="F367" s="31">
        <v>2399</v>
      </c>
      <c r="G367" s="31" t="s">
        <v>96</v>
      </c>
      <c r="H367" s="31" t="s">
        <v>1747</v>
      </c>
      <c r="I367" s="31" t="s">
        <v>6887</v>
      </c>
      <c r="J367" s="31" t="s">
        <v>5096</v>
      </c>
      <c r="K367" s="31" t="s">
        <v>5039</v>
      </c>
      <c r="L367" s="31" t="s">
        <v>6888</v>
      </c>
      <c r="M367" s="32" t="s">
        <v>6889</v>
      </c>
      <c r="N367" s="31" t="s">
        <v>6890</v>
      </c>
      <c r="O367" s="32" t="s">
        <v>6891</v>
      </c>
      <c r="P367" s="33" t="s">
        <v>6892</v>
      </c>
      <c r="Q367" s="31" t="s">
        <v>5706</v>
      </c>
      <c r="R367" s="31" t="s">
        <v>52</v>
      </c>
      <c r="S367" s="31" t="s">
        <v>4110</v>
      </c>
      <c r="T367" s="31">
        <v>2</v>
      </c>
      <c r="U367" s="31" t="s">
        <v>1719</v>
      </c>
      <c r="V367" s="31" t="s">
        <v>6893</v>
      </c>
      <c r="W367" s="31" t="s">
        <v>6897</v>
      </c>
      <c r="X367" s="211">
        <v>45744.5</v>
      </c>
      <c r="Y367" s="31" t="s">
        <v>6895</v>
      </c>
      <c r="Z367" s="31">
        <v>1.5</v>
      </c>
      <c r="AA367" s="31"/>
      <c r="AB367" s="31" t="s">
        <v>1720</v>
      </c>
      <c r="AC367" s="33" t="s">
        <v>6898</v>
      </c>
      <c r="AD367" s="31"/>
      <c r="AE367" s="31"/>
      <c r="AF367" s="31"/>
      <c r="AG367" s="31"/>
      <c r="AH367" s="31"/>
      <c r="AI367" s="31"/>
      <c r="AJ367" s="31"/>
      <c r="AK367" s="31" t="s">
        <v>1721</v>
      </c>
      <c r="AL367" s="325">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6899</v>
      </c>
      <c r="R368" s="28" t="s">
        <v>52</v>
      </c>
      <c r="S368" s="28" t="s">
        <v>16</v>
      </c>
      <c r="T368" s="28">
        <v>1</v>
      </c>
      <c r="U368" s="28" t="s">
        <v>1719</v>
      </c>
      <c r="V368" s="28" t="s">
        <v>6900</v>
      </c>
      <c r="W368" s="28" t="s">
        <v>6901</v>
      </c>
      <c r="X368" s="135">
        <v>45743.597222222219</v>
      </c>
      <c r="Y368" s="28"/>
      <c r="Z368" s="28">
        <v>0.3</v>
      </c>
      <c r="AA368" s="28"/>
      <c r="AB368" s="28" t="s">
        <v>1720</v>
      </c>
      <c r="AC368" s="30" t="s">
        <v>4119</v>
      </c>
      <c r="AD368" s="28" t="s">
        <v>1721</v>
      </c>
      <c r="AE368" s="28"/>
      <c r="AF368" s="28"/>
      <c r="AG368" s="28"/>
      <c r="AH368" s="28"/>
      <c r="AI368" s="28"/>
      <c r="AJ368" s="28"/>
      <c r="AK368" s="28" t="s">
        <v>1721</v>
      </c>
      <c r="AL368" s="325"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6902</v>
      </c>
      <c r="R369" s="31" t="s">
        <v>52</v>
      </c>
      <c r="S369" s="31" t="s">
        <v>16</v>
      </c>
      <c r="T369" s="31">
        <v>1</v>
      </c>
      <c r="U369" s="31" t="s">
        <v>1719</v>
      </c>
      <c r="V369" s="31" t="s">
        <v>6903</v>
      </c>
      <c r="W369" s="31" t="s">
        <v>6904</v>
      </c>
      <c r="X369" s="211">
        <v>45743.645833333336</v>
      </c>
      <c r="Y369" s="31"/>
      <c r="Z369" s="31">
        <v>0.5</v>
      </c>
      <c r="AA369" s="31"/>
      <c r="AB369" s="31" t="s">
        <v>1720</v>
      </c>
      <c r="AC369" s="32" t="s">
        <v>4119</v>
      </c>
      <c r="AD369" s="31" t="s">
        <v>1721</v>
      </c>
      <c r="AE369" s="31"/>
      <c r="AF369" s="31"/>
      <c r="AG369" s="31"/>
      <c r="AH369" s="31"/>
      <c r="AI369" s="31"/>
      <c r="AJ369" s="31"/>
      <c r="AK369" s="31" t="s">
        <v>1721</v>
      </c>
      <c r="AL369" s="325" t="e">
        <f t="shared" si="14"/>
        <v>#VALUE!</v>
      </c>
    </row>
    <row r="370" spans="1:38" ht="21.6" customHeight="1">
      <c r="A370" s="28">
        <v>1</v>
      </c>
      <c r="B370" s="28" t="s">
        <v>5033</v>
      </c>
      <c r="C370" s="28">
        <v>2025033603</v>
      </c>
      <c r="D370" s="28" t="s">
        <v>5034</v>
      </c>
      <c r="E370" s="28" t="s">
        <v>5035</v>
      </c>
      <c r="F370" s="28">
        <v>5291</v>
      </c>
      <c r="G370" s="28" t="s">
        <v>5036</v>
      </c>
      <c r="H370" s="28" t="s">
        <v>1748</v>
      </c>
      <c r="I370" s="28" t="s">
        <v>5037</v>
      </c>
      <c r="J370" s="28" t="s">
        <v>5038</v>
      </c>
      <c r="K370" s="28" t="s">
        <v>5039</v>
      </c>
      <c r="L370" s="28" t="s">
        <v>5040</v>
      </c>
      <c r="M370" s="29" t="s">
        <v>4057</v>
      </c>
      <c r="N370" s="28">
        <v>2501</v>
      </c>
      <c r="O370" s="29" t="s">
        <v>5041</v>
      </c>
      <c r="P370" s="30" t="s">
        <v>5042</v>
      </c>
      <c r="Q370" s="28" t="s">
        <v>5043</v>
      </c>
      <c r="R370" s="28" t="s">
        <v>52</v>
      </c>
      <c r="S370" s="28" t="s">
        <v>16</v>
      </c>
      <c r="T370" s="28">
        <v>1</v>
      </c>
      <c r="U370" s="28" t="s">
        <v>1719</v>
      </c>
      <c r="V370" s="28" t="s">
        <v>5044</v>
      </c>
      <c r="W370" s="28" t="s">
        <v>5045</v>
      </c>
      <c r="X370" s="135">
        <v>45748.40625</v>
      </c>
      <c r="Y370" s="28" t="s">
        <v>5046</v>
      </c>
      <c r="Z370" s="28">
        <v>0.5</v>
      </c>
      <c r="AA370" s="28"/>
      <c r="AB370" s="28" t="s">
        <v>1720</v>
      </c>
      <c r="AC370" s="30" t="s">
        <v>5047</v>
      </c>
      <c r="AD370" s="28"/>
      <c r="AE370" s="28"/>
      <c r="AF370" s="28"/>
      <c r="AG370" s="28"/>
      <c r="AH370" s="28"/>
      <c r="AI370" s="28"/>
      <c r="AJ370" s="28"/>
      <c r="AK370" s="28" t="s">
        <v>1721</v>
      </c>
      <c r="AL370" s="325">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5048</v>
      </c>
      <c r="R371" s="31" t="s">
        <v>52</v>
      </c>
      <c r="S371" s="31" t="s">
        <v>4110</v>
      </c>
      <c r="T371" s="31">
        <v>1</v>
      </c>
      <c r="U371" s="31" t="s">
        <v>1719</v>
      </c>
      <c r="V371" s="31" t="s">
        <v>5049</v>
      </c>
      <c r="W371" s="31" t="s">
        <v>5050</v>
      </c>
      <c r="X371" s="211">
        <v>45748.488888888889</v>
      </c>
      <c r="Y371" s="31"/>
      <c r="Z371" s="31">
        <v>1.1000000000000001</v>
      </c>
      <c r="AA371" s="31"/>
      <c r="AB371" s="31" t="s">
        <v>1720</v>
      </c>
      <c r="AC371" s="33" t="s">
        <v>5051</v>
      </c>
      <c r="AD371" s="31" t="s">
        <v>1721</v>
      </c>
      <c r="AE371" s="31"/>
      <c r="AF371" s="31"/>
      <c r="AG371" s="31"/>
      <c r="AH371" s="31"/>
      <c r="AI371" s="31"/>
      <c r="AJ371" s="31" t="s">
        <v>1721</v>
      </c>
      <c r="AK371" s="31" t="s">
        <v>1721</v>
      </c>
      <c r="AL371" s="325"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5052</v>
      </c>
      <c r="R372" s="28" t="s">
        <v>52</v>
      </c>
      <c r="S372" s="28" t="s">
        <v>1157</v>
      </c>
      <c r="T372" s="28">
        <v>1</v>
      </c>
      <c r="U372" s="28" t="s">
        <v>1719</v>
      </c>
      <c r="V372" s="28" t="s">
        <v>5053</v>
      </c>
      <c r="W372" s="28" t="s">
        <v>5054</v>
      </c>
      <c r="X372" s="135">
        <v>45748.568749999999</v>
      </c>
      <c r="Y372" s="28"/>
      <c r="Z372" s="28">
        <v>0.3</v>
      </c>
      <c r="AA372" s="28"/>
      <c r="AB372" s="28" t="s">
        <v>1720</v>
      </c>
      <c r="AC372" s="30" t="s">
        <v>5051</v>
      </c>
      <c r="AD372" s="28" t="s">
        <v>1721</v>
      </c>
      <c r="AE372" s="28"/>
      <c r="AF372" s="28"/>
      <c r="AG372" s="28"/>
      <c r="AH372" s="28"/>
      <c r="AI372" s="28"/>
      <c r="AJ372" s="28" t="s">
        <v>1721</v>
      </c>
      <c r="AK372" s="28" t="s">
        <v>1721</v>
      </c>
      <c r="AL372" s="325"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5055</v>
      </c>
      <c r="R373" s="31" t="s">
        <v>52</v>
      </c>
      <c r="S373" s="31" t="s">
        <v>1157</v>
      </c>
      <c r="T373" s="31">
        <v>1</v>
      </c>
      <c r="U373" s="31" t="s">
        <v>1719</v>
      </c>
      <c r="V373" s="31" t="s">
        <v>5056</v>
      </c>
      <c r="W373" s="31" t="s">
        <v>5057</v>
      </c>
      <c r="X373" s="211">
        <v>45748.603472222225</v>
      </c>
      <c r="Y373" s="31"/>
      <c r="Z373" s="31">
        <v>0.3</v>
      </c>
      <c r="AA373" s="31"/>
      <c r="AB373" s="31" t="s">
        <v>1720</v>
      </c>
      <c r="AC373" s="33" t="s">
        <v>5051</v>
      </c>
      <c r="AD373" s="31" t="s">
        <v>1721</v>
      </c>
      <c r="AE373" s="31"/>
      <c r="AF373" s="31"/>
      <c r="AG373" s="31"/>
      <c r="AH373" s="31"/>
      <c r="AI373" s="31"/>
      <c r="AJ373" s="31" t="s">
        <v>1721</v>
      </c>
      <c r="AK373" s="31" t="s">
        <v>1721</v>
      </c>
      <c r="AL373" s="325"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5058</v>
      </c>
      <c r="R374" s="28" t="s">
        <v>52</v>
      </c>
      <c r="S374" s="28" t="s">
        <v>4110</v>
      </c>
      <c r="T374" s="28">
        <v>1</v>
      </c>
      <c r="U374" s="28" t="s">
        <v>1719</v>
      </c>
      <c r="V374" s="28" t="s">
        <v>5059</v>
      </c>
      <c r="W374" s="28" t="s">
        <v>5060</v>
      </c>
      <c r="X374" s="135">
        <v>45748.661805555559</v>
      </c>
      <c r="Y374" s="28"/>
      <c r="Z374" s="28">
        <v>0.9</v>
      </c>
      <c r="AA374" s="28"/>
      <c r="AB374" s="28" t="s">
        <v>1720</v>
      </c>
      <c r="AC374" s="30" t="s">
        <v>5051</v>
      </c>
      <c r="AD374" s="28" t="s">
        <v>1721</v>
      </c>
      <c r="AE374" s="28"/>
      <c r="AF374" s="28"/>
      <c r="AG374" s="28"/>
      <c r="AH374" s="28"/>
      <c r="AI374" s="28"/>
      <c r="AJ374" s="28" t="s">
        <v>1721</v>
      </c>
      <c r="AK374" s="28" t="s">
        <v>1721</v>
      </c>
      <c r="AL374" s="325"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5061</v>
      </c>
      <c r="R375" s="31" t="s">
        <v>52</v>
      </c>
      <c r="S375" s="31" t="s">
        <v>4110</v>
      </c>
      <c r="T375" s="31">
        <v>1</v>
      </c>
      <c r="U375" s="31" t="s">
        <v>1719</v>
      </c>
      <c r="V375" s="31" t="s">
        <v>5062</v>
      </c>
      <c r="W375" s="31" t="s">
        <v>5063</v>
      </c>
      <c r="X375" s="211">
        <v>45749.465277777781</v>
      </c>
      <c r="Y375" s="31"/>
      <c r="Z375" s="31">
        <v>1.2</v>
      </c>
      <c r="AA375" s="31"/>
      <c r="AB375" s="31" t="s">
        <v>1720</v>
      </c>
      <c r="AC375" s="33" t="s">
        <v>5051</v>
      </c>
      <c r="AD375" s="31" t="s">
        <v>1721</v>
      </c>
      <c r="AE375" s="31"/>
      <c r="AF375" s="31"/>
      <c r="AG375" s="31"/>
      <c r="AH375" s="31"/>
      <c r="AI375" s="31"/>
      <c r="AJ375" s="31" t="s">
        <v>1721</v>
      </c>
      <c r="AK375" s="31" t="s">
        <v>1721</v>
      </c>
      <c r="AL375" s="325" t="e">
        <f t="shared" si="14"/>
        <v>#VALUE!</v>
      </c>
    </row>
    <row r="376" spans="1:38" ht="21.6" customHeight="1">
      <c r="A376" s="28">
        <v>7</v>
      </c>
      <c r="B376" s="28" t="s">
        <v>5033</v>
      </c>
      <c r="C376" s="28">
        <v>2025040423</v>
      </c>
      <c r="D376" s="28" t="s">
        <v>5064</v>
      </c>
      <c r="E376" s="28" t="s">
        <v>5035</v>
      </c>
      <c r="F376" s="28">
        <v>4241</v>
      </c>
      <c r="G376" s="28" t="s">
        <v>1490</v>
      </c>
      <c r="H376" s="28" t="s">
        <v>1747</v>
      </c>
      <c r="I376" s="28" t="s">
        <v>5065</v>
      </c>
      <c r="J376" s="28" t="s">
        <v>5066</v>
      </c>
      <c r="K376" s="28" t="s">
        <v>5067</v>
      </c>
      <c r="L376" s="28" t="s">
        <v>5068</v>
      </c>
      <c r="M376" s="29" t="s">
        <v>1723</v>
      </c>
      <c r="N376" s="28">
        <v>2305</v>
      </c>
      <c r="O376" s="29" t="s">
        <v>5069</v>
      </c>
      <c r="P376" s="30" t="s">
        <v>5070</v>
      </c>
      <c r="Q376" s="28" t="s">
        <v>5058</v>
      </c>
      <c r="R376" s="28" t="s">
        <v>52</v>
      </c>
      <c r="S376" s="28" t="s">
        <v>4110</v>
      </c>
      <c r="T376" s="28">
        <v>1</v>
      </c>
      <c r="U376" s="28" t="s">
        <v>1719</v>
      </c>
      <c r="V376" s="28" t="s">
        <v>5071</v>
      </c>
      <c r="W376" s="28" t="s">
        <v>5072</v>
      </c>
      <c r="X376" s="135">
        <v>45749.536111111112</v>
      </c>
      <c r="Y376" s="28" t="s">
        <v>5073</v>
      </c>
      <c r="Z376" s="28">
        <v>0.5</v>
      </c>
      <c r="AA376" s="28"/>
      <c r="AB376" s="28" t="s">
        <v>1720</v>
      </c>
      <c r="AC376" s="30" t="s">
        <v>5074</v>
      </c>
      <c r="AD376" s="28"/>
      <c r="AE376" s="28"/>
      <c r="AF376" s="28"/>
      <c r="AG376" s="28"/>
      <c r="AH376" s="28"/>
      <c r="AI376" s="28"/>
      <c r="AJ376" s="28"/>
      <c r="AK376" s="28" t="s">
        <v>1721</v>
      </c>
      <c r="AL376" s="325">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5075</v>
      </c>
      <c r="R377" s="31" t="s">
        <v>52</v>
      </c>
      <c r="S377" s="31" t="s">
        <v>4110</v>
      </c>
      <c r="T377" s="31">
        <v>1</v>
      </c>
      <c r="U377" s="31" t="s">
        <v>1719</v>
      </c>
      <c r="V377" s="31" t="s">
        <v>5076</v>
      </c>
      <c r="W377" s="31" t="s">
        <v>5077</v>
      </c>
      <c r="X377" s="211">
        <v>45749.504861111112</v>
      </c>
      <c r="Y377" s="31"/>
      <c r="Z377" s="31">
        <v>0.8</v>
      </c>
      <c r="AA377" s="31"/>
      <c r="AB377" s="31" t="s">
        <v>1720</v>
      </c>
      <c r="AC377" s="33" t="s">
        <v>5051</v>
      </c>
      <c r="AD377" s="31" t="s">
        <v>1721</v>
      </c>
      <c r="AE377" s="31"/>
      <c r="AF377" s="31"/>
      <c r="AG377" s="31"/>
      <c r="AH377" s="31"/>
      <c r="AI377" s="31"/>
      <c r="AJ377" s="31" t="s">
        <v>1721</v>
      </c>
      <c r="AK377" s="31" t="s">
        <v>1721</v>
      </c>
      <c r="AL377" s="325"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5078</v>
      </c>
      <c r="R378" s="28" t="s">
        <v>52</v>
      </c>
      <c r="S378" s="28" t="s">
        <v>4110</v>
      </c>
      <c r="T378" s="28">
        <v>1</v>
      </c>
      <c r="U378" s="28" t="s">
        <v>1719</v>
      </c>
      <c r="V378" s="28" t="s">
        <v>5079</v>
      </c>
      <c r="W378" s="28" t="s">
        <v>5080</v>
      </c>
      <c r="X378" s="135">
        <v>45749.620138888888</v>
      </c>
      <c r="Y378" s="28"/>
      <c r="Z378" s="28">
        <v>1.1000000000000001</v>
      </c>
      <c r="AA378" s="28"/>
      <c r="AB378" s="28" t="s">
        <v>1720</v>
      </c>
      <c r="AC378" s="30" t="s">
        <v>5051</v>
      </c>
      <c r="AD378" s="28" t="s">
        <v>1721</v>
      </c>
      <c r="AE378" s="28"/>
      <c r="AF378" s="28"/>
      <c r="AG378" s="28"/>
      <c r="AH378" s="28"/>
      <c r="AI378" s="28"/>
      <c r="AJ378" s="28" t="s">
        <v>1721</v>
      </c>
      <c r="AK378" s="28" t="s">
        <v>1721</v>
      </c>
      <c r="AL378" s="325"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5081</v>
      </c>
      <c r="W379" s="31" t="s">
        <v>5082</v>
      </c>
      <c r="X379" s="211">
        <v>45749.659722222219</v>
      </c>
      <c r="Y379" s="31"/>
      <c r="Z379" s="31">
        <v>0.6</v>
      </c>
      <c r="AA379" s="31"/>
      <c r="AB379" s="31" t="s">
        <v>1720</v>
      </c>
      <c r="AC379" s="33" t="s">
        <v>5051</v>
      </c>
      <c r="AD379" s="31" t="s">
        <v>1721</v>
      </c>
      <c r="AE379" s="31"/>
      <c r="AF379" s="31"/>
      <c r="AG379" s="31"/>
      <c r="AH379" s="31"/>
      <c r="AI379" s="31"/>
      <c r="AJ379" s="31" t="s">
        <v>1721</v>
      </c>
      <c r="AK379" s="31" t="s">
        <v>1721</v>
      </c>
      <c r="AL379" s="325" t="e">
        <f t="shared" si="14"/>
        <v>#VALUE!</v>
      </c>
    </row>
    <row r="380" spans="1:38" ht="21.6" customHeight="1">
      <c r="A380" s="28">
        <v>11</v>
      </c>
      <c r="B380" s="28" t="s">
        <v>5033</v>
      </c>
      <c r="C380" s="28">
        <v>2025040542</v>
      </c>
      <c r="D380" s="28" t="s">
        <v>6905</v>
      </c>
      <c r="E380" s="28" t="s">
        <v>5035</v>
      </c>
      <c r="F380" s="28">
        <v>4155</v>
      </c>
      <c r="G380" s="28" t="s">
        <v>316</v>
      </c>
      <c r="H380" s="28" t="s">
        <v>1747</v>
      </c>
      <c r="I380" s="28" t="s">
        <v>6906</v>
      </c>
      <c r="J380" s="28" t="s">
        <v>5066</v>
      </c>
      <c r="K380" s="28" t="s">
        <v>5039</v>
      </c>
      <c r="L380" s="28" t="s">
        <v>5068</v>
      </c>
      <c r="M380" s="29" t="s">
        <v>1723</v>
      </c>
      <c r="N380" s="28">
        <v>2304</v>
      </c>
      <c r="O380" s="29" t="s">
        <v>5097</v>
      </c>
      <c r="P380" s="30" t="s">
        <v>6907</v>
      </c>
      <c r="Q380" s="28" t="s">
        <v>5105</v>
      </c>
      <c r="R380" s="28" t="s">
        <v>52</v>
      </c>
      <c r="S380" s="28" t="s">
        <v>4110</v>
      </c>
      <c r="T380" s="28">
        <v>1</v>
      </c>
      <c r="U380" s="28" t="s">
        <v>1719</v>
      </c>
      <c r="V380" s="28" t="s">
        <v>6908</v>
      </c>
      <c r="W380" s="28" t="s">
        <v>5107</v>
      </c>
      <c r="X380" s="135">
        <v>45754.459027777775</v>
      </c>
      <c r="Y380" s="28" t="s">
        <v>6909</v>
      </c>
      <c r="Z380" s="28">
        <v>1</v>
      </c>
      <c r="AA380" s="28"/>
      <c r="AB380" s="28" t="s">
        <v>1720</v>
      </c>
      <c r="AC380" s="30" t="s">
        <v>6910</v>
      </c>
      <c r="AD380" s="28"/>
      <c r="AE380" s="28"/>
      <c r="AF380" s="28"/>
      <c r="AG380" s="28"/>
      <c r="AH380" s="28"/>
      <c r="AI380" s="28"/>
      <c r="AJ380" s="28"/>
      <c r="AK380" s="28" t="s">
        <v>1721</v>
      </c>
      <c r="AL380" s="325">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5083</v>
      </c>
      <c r="R381" s="31" t="s">
        <v>52</v>
      </c>
      <c r="S381" s="31" t="s">
        <v>4110</v>
      </c>
      <c r="T381" s="31">
        <v>1</v>
      </c>
      <c r="U381" s="31" t="s">
        <v>1719</v>
      </c>
      <c r="V381" s="31" t="s">
        <v>5084</v>
      </c>
      <c r="W381" s="31" t="s">
        <v>5085</v>
      </c>
      <c r="X381" s="211">
        <v>45749.670138888891</v>
      </c>
      <c r="Y381" s="31"/>
      <c r="Z381" s="31">
        <v>1.1000000000000001</v>
      </c>
      <c r="AA381" s="31"/>
      <c r="AB381" s="31" t="s">
        <v>1720</v>
      </c>
      <c r="AC381" s="33" t="s">
        <v>5051</v>
      </c>
      <c r="AD381" s="31" t="s">
        <v>1721</v>
      </c>
      <c r="AE381" s="31"/>
      <c r="AF381" s="31"/>
      <c r="AG381" s="31"/>
      <c r="AH381" s="31"/>
      <c r="AI381" s="31"/>
      <c r="AJ381" s="31" t="s">
        <v>1721</v>
      </c>
      <c r="AK381" s="31" t="s">
        <v>1721</v>
      </c>
      <c r="AL381" s="325"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5086</v>
      </c>
      <c r="R382" s="28" t="s">
        <v>52</v>
      </c>
      <c r="S382" s="28" t="s">
        <v>1157</v>
      </c>
      <c r="T382" s="28">
        <v>1</v>
      </c>
      <c r="U382" s="28" t="s">
        <v>1719</v>
      </c>
      <c r="V382" s="28" t="s">
        <v>5087</v>
      </c>
      <c r="W382" s="28" t="s">
        <v>5088</v>
      </c>
      <c r="X382" s="135">
        <v>45749.6875</v>
      </c>
      <c r="Y382" s="28"/>
      <c r="Z382" s="28">
        <v>0.5</v>
      </c>
      <c r="AA382" s="28"/>
      <c r="AB382" s="28" t="s">
        <v>1720</v>
      </c>
      <c r="AC382" s="30" t="s">
        <v>5051</v>
      </c>
      <c r="AD382" s="28" t="s">
        <v>1721</v>
      </c>
      <c r="AE382" s="28"/>
      <c r="AF382" s="28"/>
      <c r="AG382" s="28"/>
      <c r="AH382" s="28"/>
      <c r="AI382" s="28"/>
      <c r="AJ382" s="28"/>
      <c r="AK382" s="28" t="s">
        <v>1721</v>
      </c>
      <c r="AL382" s="325" t="e">
        <f t="shared" si="14"/>
        <v>#VALUE!</v>
      </c>
    </row>
    <row r="383" spans="1:38" ht="21.6" customHeight="1">
      <c r="A383" s="31">
        <v>14</v>
      </c>
      <c r="B383" s="31" t="s">
        <v>5033</v>
      </c>
      <c r="C383" s="31">
        <v>2025040598</v>
      </c>
      <c r="D383" s="31" t="s">
        <v>5094</v>
      </c>
      <c r="E383" s="31" t="s">
        <v>5035</v>
      </c>
      <c r="F383" s="31">
        <v>4762</v>
      </c>
      <c r="G383" s="31" t="s">
        <v>514</v>
      </c>
      <c r="H383" s="31" t="s">
        <v>1748</v>
      </c>
      <c r="I383" s="31" t="s">
        <v>5095</v>
      </c>
      <c r="J383" s="31" t="s">
        <v>5096</v>
      </c>
      <c r="K383" s="31" t="s">
        <v>5067</v>
      </c>
      <c r="L383" s="31" t="s">
        <v>5068</v>
      </c>
      <c r="M383" s="32" t="s">
        <v>1723</v>
      </c>
      <c r="N383" s="31">
        <v>2304</v>
      </c>
      <c r="O383" s="32" t="s">
        <v>5097</v>
      </c>
      <c r="P383" s="33" t="s">
        <v>5098</v>
      </c>
      <c r="Q383" s="31" t="s">
        <v>5099</v>
      </c>
      <c r="R383" s="31" t="s">
        <v>52</v>
      </c>
      <c r="S383" s="31" t="s">
        <v>16</v>
      </c>
      <c r="T383" s="31">
        <v>1</v>
      </c>
      <c r="U383" s="31" t="s">
        <v>1719</v>
      </c>
      <c r="V383" s="31" t="s">
        <v>5100</v>
      </c>
      <c r="W383" s="31" t="s">
        <v>5101</v>
      </c>
      <c r="X383" s="211">
        <v>45754.5625</v>
      </c>
      <c r="Y383" s="31" t="s">
        <v>5103</v>
      </c>
      <c r="Z383" s="31">
        <v>0.5</v>
      </c>
      <c r="AA383" s="31"/>
      <c r="AB383" s="31" t="s">
        <v>1720</v>
      </c>
      <c r="AC383" s="33" t="s">
        <v>5104</v>
      </c>
      <c r="AD383" s="31"/>
      <c r="AE383" s="31"/>
      <c r="AF383" s="31"/>
      <c r="AG383" s="31"/>
      <c r="AH383" s="31"/>
      <c r="AI383" s="31"/>
      <c r="AJ383" s="31"/>
      <c r="AK383" s="31" t="s">
        <v>1721</v>
      </c>
      <c r="AL383" s="325">
        <f t="shared" si="14"/>
        <v>45750</v>
      </c>
    </row>
    <row r="384" spans="1:38" ht="21.6" customHeight="1">
      <c r="A384" s="28">
        <v>15</v>
      </c>
      <c r="B384" s="28" t="s">
        <v>5033</v>
      </c>
      <c r="C384" s="28">
        <v>2025040613</v>
      </c>
      <c r="D384" s="28" t="s">
        <v>6911</v>
      </c>
      <c r="E384" s="28" t="s">
        <v>5035</v>
      </c>
      <c r="F384" s="28">
        <v>4422</v>
      </c>
      <c r="G384" s="28" t="s">
        <v>394</v>
      </c>
      <c r="H384" s="28" t="s">
        <v>1722</v>
      </c>
      <c r="I384" s="28" t="s">
        <v>6912</v>
      </c>
      <c r="J384" s="28" t="s">
        <v>5575</v>
      </c>
      <c r="K384" s="28" t="s">
        <v>5415</v>
      </c>
      <c r="L384" s="28" t="s">
        <v>6586</v>
      </c>
      <c r="M384" s="29" t="s">
        <v>6587</v>
      </c>
      <c r="N384" s="28">
        <v>2902</v>
      </c>
      <c r="O384" s="29" t="s">
        <v>6616</v>
      </c>
      <c r="P384" s="30" t="s">
        <v>6913</v>
      </c>
      <c r="Q384" s="28" t="s">
        <v>6875</v>
      </c>
      <c r="R384" s="28" t="s">
        <v>52</v>
      </c>
      <c r="S384" s="28" t="s">
        <v>1157</v>
      </c>
      <c r="T384" s="28">
        <v>1</v>
      </c>
      <c r="U384" s="28" t="s">
        <v>1719</v>
      </c>
      <c r="V384" s="28" t="s">
        <v>6914</v>
      </c>
      <c r="W384" s="28" t="s">
        <v>6915</v>
      </c>
      <c r="X384" s="135">
        <v>45755.493055555555</v>
      </c>
      <c r="Y384" s="28" t="s">
        <v>5103</v>
      </c>
      <c r="Z384" s="28">
        <v>0.2</v>
      </c>
      <c r="AA384" s="28"/>
      <c r="AB384" s="28" t="s">
        <v>1720</v>
      </c>
      <c r="AC384" s="30" t="s">
        <v>6916</v>
      </c>
      <c r="AD384" s="28"/>
      <c r="AE384" s="28"/>
      <c r="AF384" s="28"/>
      <c r="AG384" s="28"/>
      <c r="AH384" s="28"/>
      <c r="AI384" s="28"/>
      <c r="AJ384" s="28"/>
      <c r="AK384" s="28" t="s">
        <v>1721</v>
      </c>
      <c r="AL384" s="325">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5105</v>
      </c>
      <c r="R385" s="31" t="s">
        <v>52</v>
      </c>
      <c r="S385" s="31" t="s">
        <v>4110</v>
      </c>
      <c r="T385" s="31">
        <v>1</v>
      </c>
      <c r="U385" s="31" t="s">
        <v>1719</v>
      </c>
      <c r="V385" s="31" t="s">
        <v>5106</v>
      </c>
      <c r="W385" s="31" t="s">
        <v>5107</v>
      </c>
      <c r="X385" s="211">
        <v>45754.461111111108</v>
      </c>
      <c r="Y385" s="31"/>
      <c r="Z385" s="31">
        <v>1.1000000000000001</v>
      </c>
      <c r="AA385" s="31"/>
      <c r="AB385" s="31" t="s">
        <v>1720</v>
      </c>
      <c r="AC385" s="33" t="s">
        <v>5051</v>
      </c>
      <c r="AD385" s="31" t="s">
        <v>1721</v>
      </c>
      <c r="AE385" s="31"/>
      <c r="AF385" s="31"/>
      <c r="AG385" s="31"/>
      <c r="AH385" s="31"/>
      <c r="AI385" s="31"/>
      <c r="AJ385" s="31" t="s">
        <v>1721</v>
      </c>
      <c r="AK385" s="31" t="s">
        <v>1721</v>
      </c>
      <c r="AL385" s="325" t="e">
        <f t="shared" si="14"/>
        <v>#VALUE!</v>
      </c>
    </row>
    <row r="386" spans="1:38" ht="21.6" customHeight="1">
      <c r="A386" s="28">
        <v>17</v>
      </c>
      <c r="B386" s="28" t="s">
        <v>5033</v>
      </c>
      <c r="C386" s="28">
        <v>2025040719</v>
      </c>
      <c r="D386" s="28" t="s">
        <v>6917</v>
      </c>
      <c r="E386" s="28" t="s">
        <v>5035</v>
      </c>
      <c r="F386" s="28">
        <v>2759</v>
      </c>
      <c r="G386" s="28" t="s">
        <v>1459</v>
      </c>
      <c r="H386" s="28" t="s">
        <v>1747</v>
      </c>
      <c r="I386" s="28" t="s">
        <v>6918</v>
      </c>
      <c r="J386" s="28" t="s">
        <v>5038</v>
      </c>
      <c r="K386" s="28" t="s">
        <v>5039</v>
      </c>
      <c r="L386" s="28" t="s">
        <v>5505</v>
      </c>
      <c r="M386" s="29" t="s">
        <v>5506</v>
      </c>
      <c r="N386" s="28">
        <v>2403</v>
      </c>
      <c r="O386" s="29" t="s">
        <v>6919</v>
      </c>
      <c r="P386" s="30" t="s">
        <v>6920</v>
      </c>
      <c r="Q386" s="28" t="s">
        <v>5120</v>
      </c>
      <c r="R386" s="28" t="s">
        <v>52</v>
      </c>
      <c r="S386" s="28" t="s">
        <v>4110</v>
      </c>
      <c r="T386" s="28">
        <v>1</v>
      </c>
      <c r="U386" s="28" t="s">
        <v>1719</v>
      </c>
      <c r="V386" s="28" t="s">
        <v>6921</v>
      </c>
      <c r="W386" s="28" t="s">
        <v>6922</v>
      </c>
      <c r="X386" s="135">
        <v>45755.462500000001</v>
      </c>
      <c r="Y386" s="28" t="s">
        <v>6923</v>
      </c>
      <c r="Z386" s="28">
        <v>0.4</v>
      </c>
      <c r="AA386" s="28"/>
      <c r="AB386" s="28" t="s">
        <v>1720</v>
      </c>
      <c r="AC386" s="30" t="s">
        <v>6924</v>
      </c>
      <c r="AD386" s="28"/>
      <c r="AE386" s="28"/>
      <c r="AF386" s="28"/>
      <c r="AG386" s="28"/>
      <c r="AH386" s="28"/>
      <c r="AI386" s="28"/>
      <c r="AJ386" s="28"/>
      <c r="AK386" s="28" t="s">
        <v>1721</v>
      </c>
      <c r="AL386" s="325">
        <f t="shared" ref="AL386:AL428" si="15">DATEVALUE(TEXT(I386, "yyyy/mm/dd"))</f>
        <v>45754</v>
      </c>
    </row>
    <row r="387" spans="1:38" ht="21.6" customHeight="1">
      <c r="A387" s="31">
        <v>18</v>
      </c>
      <c r="B387" s="31" t="s">
        <v>5033</v>
      </c>
      <c r="C387" s="31">
        <v>2025040742</v>
      </c>
      <c r="D387" s="31" t="s">
        <v>6925</v>
      </c>
      <c r="E387" s="31" t="s">
        <v>5035</v>
      </c>
      <c r="F387" s="31">
        <v>4326</v>
      </c>
      <c r="G387" s="31" t="s">
        <v>365</v>
      </c>
      <c r="H387" s="31" t="s">
        <v>1746</v>
      </c>
      <c r="I387" s="31" t="s">
        <v>6926</v>
      </c>
      <c r="J387" s="31" t="s">
        <v>5038</v>
      </c>
      <c r="K387" s="31" t="s">
        <v>5039</v>
      </c>
      <c r="L387" s="31" t="s">
        <v>5271</v>
      </c>
      <c r="M387" s="32" t="s">
        <v>5272</v>
      </c>
      <c r="N387" s="31" t="s">
        <v>663</v>
      </c>
      <c r="O387" s="32" t="s">
        <v>5273</v>
      </c>
      <c r="P387" s="33" t="s">
        <v>6927</v>
      </c>
      <c r="Q387" s="31" t="s">
        <v>5113</v>
      </c>
      <c r="R387" s="31" t="s">
        <v>52</v>
      </c>
      <c r="S387" s="31" t="s">
        <v>16</v>
      </c>
      <c r="T387" s="31">
        <v>1</v>
      </c>
      <c r="U387" s="31" t="s">
        <v>1719</v>
      </c>
      <c r="V387" s="31" t="s">
        <v>6928</v>
      </c>
      <c r="W387" s="31" t="s">
        <v>6929</v>
      </c>
      <c r="X387" s="211">
        <v>45755.4375</v>
      </c>
      <c r="Y387" s="31" t="s">
        <v>6930</v>
      </c>
      <c r="Z387" s="31">
        <v>0.5</v>
      </c>
      <c r="AA387" s="31"/>
      <c r="AB387" s="31" t="s">
        <v>1720</v>
      </c>
      <c r="AC387" s="33" t="s">
        <v>6931</v>
      </c>
      <c r="AD387" s="31"/>
      <c r="AE387" s="31"/>
      <c r="AF387" s="31"/>
      <c r="AG387" s="31"/>
      <c r="AH387" s="31"/>
      <c r="AI387" s="31"/>
      <c r="AJ387" s="31"/>
      <c r="AK387" s="31" t="s">
        <v>1721</v>
      </c>
      <c r="AL387" s="325">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5099</v>
      </c>
      <c r="R388" s="28" t="s">
        <v>52</v>
      </c>
      <c r="S388" s="28" t="s">
        <v>16</v>
      </c>
      <c r="T388" s="28">
        <v>1</v>
      </c>
      <c r="U388" s="28" t="s">
        <v>1719</v>
      </c>
      <c r="V388" s="28" t="s">
        <v>5108</v>
      </c>
      <c r="W388" s="28" t="s">
        <v>5102</v>
      </c>
      <c r="X388" s="135">
        <v>45754.583333333336</v>
      </c>
      <c r="Y388" s="28"/>
      <c r="Z388" s="28">
        <v>0.5</v>
      </c>
      <c r="AA388" s="28"/>
      <c r="AB388" s="28" t="s">
        <v>1720</v>
      </c>
      <c r="AC388" s="30" t="s">
        <v>5109</v>
      </c>
      <c r="AD388" s="28" t="s">
        <v>1721</v>
      </c>
      <c r="AE388" s="28"/>
      <c r="AF388" s="28"/>
      <c r="AG388" s="28"/>
      <c r="AH388" s="28"/>
      <c r="AI388" s="28"/>
      <c r="AJ388" s="28" t="s">
        <v>1721</v>
      </c>
      <c r="AK388" s="28" t="s">
        <v>1721</v>
      </c>
      <c r="AL388" s="325"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5110</v>
      </c>
      <c r="R389" s="31" t="s">
        <v>52</v>
      </c>
      <c r="S389" s="31" t="s">
        <v>4110</v>
      </c>
      <c r="T389" s="31">
        <v>1</v>
      </c>
      <c r="U389" s="31" t="s">
        <v>1719</v>
      </c>
      <c r="V389" s="31" t="s">
        <v>5111</v>
      </c>
      <c r="W389" s="31" t="s">
        <v>5112</v>
      </c>
      <c r="X389" s="211">
        <v>45754.672222222223</v>
      </c>
      <c r="Y389" s="31"/>
      <c r="Z389" s="31">
        <v>1.6</v>
      </c>
      <c r="AA389" s="31"/>
      <c r="AB389" s="31" t="s">
        <v>1720</v>
      </c>
      <c r="AC389" s="33" t="s">
        <v>5051</v>
      </c>
      <c r="AD389" s="31" t="s">
        <v>1721</v>
      </c>
      <c r="AE389" s="31"/>
      <c r="AF389" s="31"/>
      <c r="AG389" s="31"/>
      <c r="AH389" s="31"/>
      <c r="AI389" s="31"/>
      <c r="AJ389" s="31" t="s">
        <v>1721</v>
      </c>
      <c r="AK389" s="31" t="s">
        <v>1721</v>
      </c>
      <c r="AL389" s="325"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5113</v>
      </c>
      <c r="R390" s="28" t="s">
        <v>52</v>
      </c>
      <c r="S390" s="28" t="s">
        <v>16</v>
      </c>
      <c r="T390" s="28">
        <v>1</v>
      </c>
      <c r="U390" s="28" t="s">
        <v>1719</v>
      </c>
      <c r="V390" s="28" t="s">
        <v>5114</v>
      </c>
      <c r="W390" s="28" t="s">
        <v>5115</v>
      </c>
      <c r="X390" s="135">
        <v>45755.479166666664</v>
      </c>
      <c r="Y390" s="28"/>
      <c r="Z390" s="28">
        <v>1</v>
      </c>
      <c r="AA390" s="28"/>
      <c r="AB390" s="28" t="s">
        <v>1720</v>
      </c>
      <c r="AC390" s="30" t="s">
        <v>5116</v>
      </c>
      <c r="AD390" s="28" t="s">
        <v>1721</v>
      </c>
      <c r="AE390" s="28"/>
      <c r="AF390" s="28"/>
      <c r="AG390" s="28"/>
      <c r="AH390" s="28"/>
      <c r="AI390" s="28"/>
      <c r="AJ390" s="28" t="s">
        <v>1721</v>
      </c>
      <c r="AK390" s="28" t="s">
        <v>1721</v>
      </c>
      <c r="AL390" s="325"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5113</v>
      </c>
      <c r="R391" s="31" t="s">
        <v>52</v>
      </c>
      <c r="S391" s="31" t="s">
        <v>16</v>
      </c>
      <c r="T391" s="31">
        <v>1</v>
      </c>
      <c r="U391" s="31" t="s">
        <v>1719</v>
      </c>
      <c r="V391" s="31" t="s">
        <v>5117</v>
      </c>
      <c r="W391" s="31" t="s">
        <v>5115</v>
      </c>
      <c r="X391" s="211">
        <v>45755.479166666664</v>
      </c>
      <c r="Y391" s="31"/>
      <c r="Z391" s="31">
        <v>1</v>
      </c>
      <c r="AA391" s="31"/>
      <c r="AB391" s="31" t="s">
        <v>1720</v>
      </c>
      <c r="AC391" s="33" t="s">
        <v>5116</v>
      </c>
      <c r="AD391" s="31" t="s">
        <v>1721</v>
      </c>
      <c r="AE391" s="31"/>
      <c r="AF391" s="31"/>
      <c r="AG391" s="31"/>
      <c r="AH391" s="31"/>
      <c r="AI391" s="31"/>
      <c r="AJ391" s="31" t="s">
        <v>1721</v>
      </c>
      <c r="AK391" s="31" t="s">
        <v>1721</v>
      </c>
      <c r="AL391" s="325"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5113</v>
      </c>
      <c r="R392" s="28" t="s">
        <v>52</v>
      </c>
      <c r="S392" s="28" t="s">
        <v>16</v>
      </c>
      <c r="T392" s="28">
        <v>1</v>
      </c>
      <c r="U392" s="28" t="s">
        <v>1719</v>
      </c>
      <c r="V392" s="28" t="s">
        <v>5118</v>
      </c>
      <c r="W392" s="28" t="s">
        <v>5115</v>
      </c>
      <c r="X392" s="135">
        <v>45755.479166666664</v>
      </c>
      <c r="Y392" s="28"/>
      <c r="Z392" s="28">
        <v>1</v>
      </c>
      <c r="AA392" s="28"/>
      <c r="AB392" s="28" t="s">
        <v>1720</v>
      </c>
      <c r="AC392" s="30" t="s">
        <v>5051</v>
      </c>
      <c r="AD392" s="28" t="s">
        <v>1721</v>
      </c>
      <c r="AE392" s="28"/>
      <c r="AF392" s="28"/>
      <c r="AG392" s="28"/>
      <c r="AH392" s="28"/>
      <c r="AI392" s="28"/>
      <c r="AJ392" s="28" t="s">
        <v>1721</v>
      </c>
      <c r="AK392" s="28" t="s">
        <v>1721</v>
      </c>
      <c r="AL392" s="325"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5113</v>
      </c>
      <c r="R393" s="31" t="s">
        <v>52</v>
      </c>
      <c r="S393" s="31" t="s">
        <v>16</v>
      </c>
      <c r="T393" s="31">
        <v>1</v>
      </c>
      <c r="U393" s="31" t="s">
        <v>1719</v>
      </c>
      <c r="V393" s="31" t="s">
        <v>5119</v>
      </c>
      <c r="W393" s="31" t="s">
        <v>5115</v>
      </c>
      <c r="X393" s="211">
        <v>45755.479166666664</v>
      </c>
      <c r="Y393" s="31"/>
      <c r="Z393" s="31">
        <v>1</v>
      </c>
      <c r="AA393" s="31"/>
      <c r="AB393" s="31" t="s">
        <v>1720</v>
      </c>
      <c r="AC393" s="33" t="s">
        <v>5051</v>
      </c>
      <c r="AD393" s="31" t="s">
        <v>1721</v>
      </c>
      <c r="AE393" s="31"/>
      <c r="AF393" s="31"/>
      <c r="AG393" s="31"/>
      <c r="AH393" s="31"/>
      <c r="AI393" s="31"/>
      <c r="AJ393" s="31" t="s">
        <v>1721</v>
      </c>
      <c r="AK393" s="31" t="s">
        <v>1721</v>
      </c>
      <c r="AL393" s="325"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5120</v>
      </c>
      <c r="R394" s="28" t="s">
        <v>52</v>
      </c>
      <c r="S394" s="28" t="s">
        <v>4110</v>
      </c>
      <c r="T394" s="28">
        <v>1</v>
      </c>
      <c r="U394" s="28" t="s">
        <v>1719</v>
      </c>
      <c r="V394" s="28" t="s">
        <v>5121</v>
      </c>
      <c r="W394" s="28" t="s">
        <v>5122</v>
      </c>
      <c r="X394" s="135">
        <v>45755.508333333331</v>
      </c>
      <c r="Y394" s="28"/>
      <c r="Z394" s="28">
        <v>1</v>
      </c>
      <c r="AA394" s="28"/>
      <c r="AB394" s="28" t="s">
        <v>1720</v>
      </c>
      <c r="AC394" s="30" t="s">
        <v>5051</v>
      </c>
      <c r="AD394" s="28" t="s">
        <v>1721</v>
      </c>
      <c r="AE394" s="28"/>
      <c r="AF394" s="28"/>
      <c r="AG394" s="28"/>
      <c r="AH394" s="28"/>
      <c r="AI394" s="28"/>
      <c r="AJ394" s="28" t="s">
        <v>1721</v>
      </c>
      <c r="AK394" s="28" t="s">
        <v>1721</v>
      </c>
      <c r="AL394" s="325"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5123</v>
      </c>
      <c r="R395" s="31" t="s">
        <v>52</v>
      </c>
      <c r="S395" s="31" t="s">
        <v>1157</v>
      </c>
      <c r="T395" s="31">
        <v>1</v>
      </c>
      <c r="U395" s="31" t="s">
        <v>1719</v>
      </c>
      <c r="V395" s="31" t="s">
        <v>5124</v>
      </c>
      <c r="W395" s="31" t="s">
        <v>5125</v>
      </c>
      <c r="X395" s="211">
        <v>45755.538194444445</v>
      </c>
      <c r="Y395" s="31"/>
      <c r="Z395" s="31">
        <v>1</v>
      </c>
      <c r="AA395" s="31"/>
      <c r="AB395" s="31" t="s">
        <v>1720</v>
      </c>
      <c r="AC395" s="33" t="s">
        <v>5051</v>
      </c>
      <c r="AD395" s="31" t="s">
        <v>1721</v>
      </c>
      <c r="AE395" s="31"/>
      <c r="AF395" s="31"/>
      <c r="AG395" s="31"/>
      <c r="AH395" s="31"/>
      <c r="AI395" s="31"/>
      <c r="AJ395" s="31" t="s">
        <v>1721</v>
      </c>
      <c r="AK395" s="31" t="s">
        <v>1721</v>
      </c>
      <c r="AL395" s="325"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5126</v>
      </c>
      <c r="R396" s="28" t="s">
        <v>52</v>
      </c>
      <c r="S396" s="28" t="s">
        <v>16</v>
      </c>
      <c r="T396" s="28">
        <v>1</v>
      </c>
      <c r="U396" s="28" t="s">
        <v>1719</v>
      </c>
      <c r="V396" s="28" t="s">
        <v>5127</v>
      </c>
      <c r="W396" s="28" t="s">
        <v>5103</v>
      </c>
      <c r="X396" s="135">
        <v>45755.552083333336</v>
      </c>
      <c r="Y396" s="28"/>
      <c r="Z396" s="28">
        <v>0.3</v>
      </c>
      <c r="AA396" s="28"/>
      <c r="AB396" s="28" t="s">
        <v>1720</v>
      </c>
      <c r="AC396" s="30" t="s">
        <v>5109</v>
      </c>
      <c r="AD396" s="28" t="s">
        <v>1721</v>
      </c>
      <c r="AE396" s="28"/>
      <c r="AF396" s="28"/>
      <c r="AG396" s="28"/>
      <c r="AH396" s="28"/>
      <c r="AI396" s="28"/>
      <c r="AJ396" s="28"/>
      <c r="AK396" s="28" t="s">
        <v>1721</v>
      </c>
      <c r="AL396" s="325"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5128</v>
      </c>
      <c r="R397" s="31" t="s">
        <v>52</v>
      </c>
      <c r="S397" s="31" t="s">
        <v>4110</v>
      </c>
      <c r="T397" s="31">
        <v>1</v>
      </c>
      <c r="U397" s="31" t="s">
        <v>1719</v>
      </c>
      <c r="V397" s="31" t="s">
        <v>5129</v>
      </c>
      <c r="W397" s="31" t="s">
        <v>5130</v>
      </c>
      <c r="X397" s="211">
        <v>45755.572916666664</v>
      </c>
      <c r="Y397" s="31"/>
      <c r="Z397" s="31">
        <v>0.9</v>
      </c>
      <c r="AA397" s="31"/>
      <c r="AB397" s="31" t="s">
        <v>1720</v>
      </c>
      <c r="AC397" s="33" t="s">
        <v>5051</v>
      </c>
      <c r="AD397" s="31" t="s">
        <v>1721</v>
      </c>
      <c r="AE397" s="31"/>
      <c r="AF397" s="31"/>
      <c r="AG397" s="31"/>
      <c r="AH397" s="31"/>
      <c r="AI397" s="31"/>
      <c r="AJ397" s="31" t="s">
        <v>1721</v>
      </c>
      <c r="AK397" s="31" t="s">
        <v>1721</v>
      </c>
      <c r="AL397" s="325"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5131</v>
      </c>
      <c r="R398" s="28" t="s">
        <v>52</v>
      </c>
      <c r="S398" s="28" t="s">
        <v>4110</v>
      </c>
      <c r="T398" s="28">
        <v>1</v>
      </c>
      <c r="U398" s="28" t="s">
        <v>1719</v>
      </c>
      <c r="V398" s="28" t="s">
        <v>5132</v>
      </c>
      <c r="W398" s="28" t="s">
        <v>5133</v>
      </c>
      <c r="X398" s="135">
        <v>45755.693749999999</v>
      </c>
      <c r="Y398" s="28"/>
      <c r="Z398" s="28">
        <v>1.1000000000000001</v>
      </c>
      <c r="AA398" s="28"/>
      <c r="AB398" s="28" t="s">
        <v>1720</v>
      </c>
      <c r="AC398" s="30" t="s">
        <v>5051</v>
      </c>
      <c r="AD398" s="28" t="s">
        <v>1721</v>
      </c>
      <c r="AE398" s="28"/>
      <c r="AF398" s="28"/>
      <c r="AG398" s="28"/>
      <c r="AH398" s="28"/>
      <c r="AI398" s="28"/>
      <c r="AJ398" s="28" t="s">
        <v>1721</v>
      </c>
      <c r="AK398" s="28" t="s">
        <v>1721</v>
      </c>
      <c r="AL398" s="325"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5134</v>
      </c>
      <c r="R399" s="31" t="s">
        <v>52</v>
      </c>
      <c r="S399" s="31" t="s">
        <v>4110</v>
      </c>
      <c r="T399" s="31">
        <v>1</v>
      </c>
      <c r="U399" s="31" t="s">
        <v>1719</v>
      </c>
      <c r="V399" s="31" t="s">
        <v>5135</v>
      </c>
      <c r="W399" s="31" t="s">
        <v>5136</v>
      </c>
      <c r="X399" s="211">
        <v>45755.740277777775</v>
      </c>
      <c r="Y399" s="31"/>
      <c r="Z399" s="31">
        <v>0.9</v>
      </c>
      <c r="AA399" s="31"/>
      <c r="AB399" s="31" t="s">
        <v>1720</v>
      </c>
      <c r="AC399" s="33" t="s">
        <v>5051</v>
      </c>
      <c r="AD399" s="31" t="s">
        <v>1721</v>
      </c>
      <c r="AE399" s="31"/>
      <c r="AF399" s="31"/>
      <c r="AG399" s="31"/>
      <c r="AH399" s="31"/>
      <c r="AI399" s="31"/>
      <c r="AJ399" s="31" t="s">
        <v>1721</v>
      </c>
      <c r="AK399" s="31" t="s">
        <v>1721</v>
      </c>
      <c r="AL399" s="325" t="e">
        <f t="shared" si="15"/>
        <v>#VALUE!</v>
      </c>
    </row>
    <row r="400" spans="1:38" ht="21.6" customHeight="1">
      <c r="A400" s="28">
        <v>31</v>
      </c>
      <c r="B400" s="28" t="s">
        <v>5033</v>
      </c>
      <c r="C400" s="28">
        <v>2025041072</v>
      </c>
      <c r="D400" s="28" t="s">
        <v>6932</v>
      </c>
      <c r="E400" s="28" t="s">
        <v>5035</v>
      </c>
      <c r="F400" s="28">
        <v>3851</v>
      </c>
      <c r="G400" s="28" t="s">
        <v>244</v>
      </c>
      <c r="H400" s="28" t="s">
        <v>1748</v>
      </c>
      <c r="I400" s="28" t="s">
        <v>6933</v>
      </c>
      <c r="J400" s="28" t="s">
        <v>5066</v>
      </c>
      <c r="K400" s="28" t="s">
        <v>5067</v>
      </c>
      <c r="L400" s="28" t="s">
        <v>5068</v>
      </c>
      <c r="M400" s="29" t="s">
        <v>1723</v>
      </c>
      <c r="N400" s="28">
        <v>2307</v>
      </c>
      <c r="O400" s="29" t="s">
        <v>5383</v>
      </c>
      <c r="P400" s="30" t="s">
        <v>6934</v>
      </c>
      <c r="Q400" s="28" t="s">
        <v>5174</v>
      </c>
      <c r="R400" s="28" t="s">
        <v>52</v>
      </c>
      <c r="S400" s="28" t="s">
        <v>16</v>
      </c>
      <c r="T400" s="28">
        <v>1</v>
      </c>
      <c r="U400" s="28" t="s">
        <v>1719</v>
      </c>
      <c r="V400" s="28" t="s">
        <v>6935</v>
      </c>
      <c r="W400" s="28" t="s">
        <v>6936</v>
      </c>
      <c r="X400" s="135">
        <v>45757.416666666664</v>
      </c>
      <c r="Y400" s="28" t="s">
        <v>6937</v>
      </c>
      <c r="Z400" s="28">
        <v>1</v>
      </c>
      <c r="AA400" s="28"/>
      <c r="AB400" s="28" t="s">
        <v>1720</v>
      </c>
      <c r="AC400" s="30" t="s">
        <v>6938</v>
      </c>
      <c r="AD400" s="28"/>
      <c r="AE400" s="28"/>
      <c r="AF400" s="28"/>
      <c r="AG400" s="28"/>
      <c r="AH400" s="28"/>
      <c r="AI400" s="28"/>
      <c r="AJ400" s="28"/>
      <c r="AK400" s="28" t="s">
        <v>1721</v>
      </c>
      <c r="AL400" s="325">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5137</v>
      </c>
      <c r="R401" s="31" t="s">
        <v>52</v>
      </c>
      <c r="S401" s="31" t="s">
        <v>16</v>
      </c>
      <c r="T401" s="31">
        <v>1</v>
      </c>
      <c r="U401" s="31" t="s">
        <v>1719</v>
      </c>
      <c r="V401" s="31" t="s">
        <v>5138</v>
      </c>
      <c r="W401" s="31" t="s">
        <v>5139</v>
      </c>
      <c r="X401" s="211">
        <v>45756.451388888891</v>
      </c>
      <c r="Y401" s="31"/>
      <c r="Z401" s="31">
        <v>0.8</v>
      </c>
      <c r="AA401" s="31"/>
      <c r="AB401" s="31" t="s">
        <v>1720</v>
      </c>
      <c r="AC401" s="33" t="s">
        <v>5051</v>
      </c>
      <c r="AD401" s="31" t="s">
        <v>1721</v>
      </c>
      <c r="AE401" s="31"/>
      <c r="AF401" s="31"/>
      <c r="AG401" s="31"/>
      <c r="AH401" s="31"/>
      <c r="AI401" s="31"/>
      <c r="AJ401" s="31" t="s">
        <v>1721</v>
      </c>
      <c r="AK401" s="31" t="s">
        <v>1721</v>
      </c>
      <c r="AL401" s="325"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5141</v>
      </c>
      <c r="R402" s="28" t="s">
        <v>52</v>
      </c>
      <c r="S402" s="28" t="s">
        <v>4110</v>
      </c>
      <c r="T402" s="28">
        <v>1</v>
      </c>
      <c r="U402" s="28" t="s">
        <v>1719</v>
      </c>
      <c r="V402" s="28" t="s">
        <v>5142</v>
      </c>
      <c r="W402" s="28" t="s">
        <v>5140</v>
      </c>
      <c r="X402" s="135">
        <v>45756.497916666667</v>
      </c>
      <c r="Y402" s="28"/>
      <c r="Z402" s="28">
        <v>1.1000000000000001</v>
      </c>
      <c r="AA402" s="28"/>
      <c r="AB402" s="28" t="s">
        <v>1720</v>
      </c>
      <c r="AC402" s="30" t="s">
        <v>5051</v>
      </c>
      <c r="AD402" s="28" t="s">
        <v>1721</v>
      </c>
      <c r="AE402" s="28"/>
      <c r="AF402" s="28"/>
      <c r="AG402" s="28"/>
      <c r="AH402" s="28"/>
      <c r="AI402" s="28"/>
      <c r="AJ402" s="28" t="s">
        <v>1721</v>
      </c>
      <c r="AK402" s="28" t="s">
        <v>1721</v>
      </c>
      <c r="AL402" s="325" t="e">
        <f t="shared" si="15"/>
        <v>#VALUE!</v>
      </c>
    </row>
    <row r="403" spans="1:38" ht="21.6" customHeight="1">
      <c r="A403" s="31">
        <v>34</v>
      </c>
      <c r="B403" s="31" t="s">
        <v>5033</v>
      </c>
      <c r="C403" s="31">
        <v>2025041130</v>
      </c>
      <c r="D403" s="31" t="s">
        <v>5143</v>
      </c>
      <c r="E403" s="31" t="s">
        <v>5035</v>
      </c>
      <c r="F403" s="31">
        <v>5316</v>
      </c>
      <c r="G403" s="31" t="s">
        <v>5144</v>
      </c>
      <c r="H403" s="31" t="s">
        <v>1747</v>
      </c>
      <c r="I403" s="31" t="s">
        <v>5145</v>
      </c>
      <c r="J403" s="31" t="s">
        <v>5066</v>
      </c>
      <c r="K403" s="31" t="s">
        <v>5039</v>
      </c>
      <c r="L403" s="31" t="s">
        <v>5040</v>
      </c>
      <c r="M403" s="32" t="s">
        <v>4057</v>
      </c>
      <c r="N403" s="31">
        <v>2501</v>
      </c>
      <c r="O403" s="32" t="s">
        <v>5041</v>
      </c>
      <c r="P403" s="33" t="s">
        <v>5146</v>
      </c>
      <c r="Q403" s="31" t="s">
        <v>5147</v>
      </c>
      <c r="R403" s="31" t="s">
        <v>52</v>
      </c>
      <c r="S403" s="31" t="s">
        <v>4110</v>
      </c>
      <c r="T403" s="31">
        <v>1</v>
      </c>
      <c r="U403" s="31" t="s">
        <v>1719</v>
      </c>
      <c r="V403" s="31" t="s">
        <v>5148</v>
      </c>
      <c r="W403" s="31" t="s">
        <v>5149</v>
      </c>
      <c r="X403" s="211">
        <v>45756.632638888892</v>
      </c>
      <c r="Y403" s="31" t="s">
        <v>5150</v>
      </c>
      <c r="Z403" s="31">
        <v>0.5</v>
      </c>
      <c r="AA403" s="31"/>
      <c r="AB403" s="31" t="s">
        <v>1720</v>
      </c>
      <c r="AC403" s="33" t="s">
        <v>5151</v>
      </c>
      <c r="AD403" s="31"/>
      <c r="AE403" s="31"/>
      <c r="AF403" s="31"/>
      <c r="AG403" s="31"/>
      <c r="AH403" s="31"/>
      <c r="AI403" s="31"/>
      <c r="AJ403" s="31"/>
      <c r="AK403" s="31" t="s">
        <v>1721</v>
      </c>
      <c r="AL403" s="325">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5152</v>
      </c>
      <c r="R404" s="28" t="s">
        <v>52</v>
      </c>
      <c r="S404" s="28" t="s">
        <v>4110</v>
      </c>
      <c r="T404" s="28">
        <v>1</v>
      </c>
      <c r="U404" s="28" t="s">
        <v>1719</v>
      </c>
      <c r="V404" s="28" t="s">
        <v>5153</v>
      </c>
      <c r="W404" s="28" t="s">
        <v>5154</v>
      </c>
      <c r="X404" s="135">
        <v>45756.560416666667</v>
      </c>
      <c r="Y404" s="28"/>
      <c r="Z404" s="28">
        <v>1.1000000000000001</v>
      </c>
      <c r="AA404" s="28"/>
      <c r="AB404" s="28" t="s">
        <v>1720</v>
      </c>
      <c r="AC404" s="30" t="s">
        <v>5051</v>
      </c>
      <c r="AD404" s="28" t="s">
        <v>1721</v>
      </c>
      <c r="AE404" s="28"/>
      <c r="AF404" s="28"/>
      <c r="AG404" s="28"/>
      <c r="AH404" s="28"/>
      <c r="AI404" s="28"/>
      <c r="AJ404" s="28" t="s">
        <v>1721</v>
      </c>
      <c r="AK404" s="28" t="s">
        <v>1721</v>
      </c>
      <c r="AL404" s="325"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5155</v>
      </c>
      <c r="R405" s="31" t="s">
        <v>52</v>
      </c>
      <c r="S405" s="31" t="s">
        <v>4110</v>
      </c>
      <c r="T405" s="31">
        <v>1</v>
      </c>
      <c r="U405" s="31" t="s">
        <v>1719</v>
      </c>
      <c r="V405" s="31" t="s">
        <v>5156</v>
      </c>
      <c r="W405" s="31" t="s">
        <v>5157</v>
      </c>
      <c r="X405" s="211">
        <v>45756.634027777778</v>
      </c>
      <c r="Y405" s="31"/>
      <c r="Z405" s="31">
        <v>0.3</v>
      </c>
      <c r="AA405" s="31"/>
      <c r="AB405" s="31" t="s">
        <v>1720</v>
      </c>
      <c r="AC405" s="33" t="s">
        <v>5109</v>
      </c>
      <c r="AD405" s="31" t="s">
        <v>1721</v>
      </c>
      <c r="AE405" s="31"/>
      <c r="AF405" s="31"/>
      <c r="AG405" s="31"/>
      <c r="AH405" s="31"/>
      <c r="AI405" s="31"/>
      <c r="AJ405" s="31"/>
      <c r="AK405" s="31" t="s">
        <v>1721</v>
      </c>
      <c r="AL405" s="325" t="e">
        <f t="shared" si="15"/>
        <v>#VALUE!</v>
      </c>
    </row>
    <row r="406" spans="1:38" ht="21.6" customHeight="1">
      <c r="A406" s="28">
        <v>37</v>
      </c>
      <c r="B406" s="28" t="s">
        <v>1724</v>
      </c>
      <c r="C406" s="28">
        <v>2025041185</v>
      </c>
      <c r="D406" s="28"/>
      <c r="E406" s="28"/>
      <c r="F406" s="28">
        <v>5316</v>
      </c>
      <c r="G406" s="28" t="s">
        <v>5144</v>
      </c>
      <c r="H406" s="28" t="s">
        <v>1747</v>
      </c>
      <c r="I406" s="28"/>
      <c r="J406" s="28"/>
      <c r="K406" s="28"/>
      <c r="L406" s="28"/>
      <c r="M406" s="29"/>
      <c r="N406" s="28"/>
      <c r="O406" s="29"/>
      <c r="P406" s="30"/>
      <c r="Q406" s="28" t="s">
        <v>5147</v>
      </c>
      <c r="R406" s="28" t="s">
        <v>52</v>
      </c>
      <c r="S406" s="28" t="s">
        <v>4110</v>
      </c>
      <c r="T406" s="28">
        <v>1</v>
      </c>
      <c r="U406" s="28" t="s">
        <v>1719</v>
      </c>
      <c r="V406" s="28" t="s">
        <v>5158</v>
      </c>
      <c r="W406" s="28" t="s">
        <v>5159</v>
      </c>
      <c r="X406" s="135">
        <v>45756.638888888891</v>
      </c>
      <c r="Y406" s="28"/>
      <c r="Z406" s="28">
        <v>0.3</v>
      </c>
      <c r="AA406" s="28"/>
      <c r="AB406" s="28" t="s">
        <v>1720</v>
      </c>
      <c r="AC406" s="30" t="s">
        <v>5109</v>
      </c>
      <c r="AD406" s="28" t="s">
        <v>1721</v>
      </c>
      <c r="AE406" s="28"/>
      <c r="AF406" s="28"/>
      <c r="AG406" s="28"/>
      <c r="AH406" s="28"/>
      <c r="AI406" s="28"/>
      <c r="AJ406" s="28"/>
      <c r="AK406" s="28" t="s">
        <v>1721</v>
      </c>
      <c r="AL406" s="325" t="e">
        <f t="shared" si="15"/>
        <v>#VALUE!</v>
      </c>
    </row>
    <row r="407" spans="1:38" ht="21.6" customHeight="1">
      <c r="A407" s="31">
        <v>38</v>
      </c>
      <c r="B407" s="31" t="s">
        <v>1724</v>
      </c>
      <c r="C407" s="31">
        <v>2025041254</v>
      </c>
      <c r="D407" s="31"/>
      <c r="E407" s="31" t="s">
        <v>5170</v>
      </c>
      <c r="F407" s="31">
        <v>4528</v>
      </c>
      <c r="G407" s="31" t="s">
        <v>427</v>
      </c>
      <c r="H407" s="31" t="s">
        <v>3319</v>
      </c>
      <c r="I407" s="31"/>
      <c r="J407" s="31"/>
      <c r="K407" s="31"/>
      <c r="L407" s="31"/>
      <c r="M407" s="32"/>
      <c r="N407" s="31"/>
      <c r="O407" s="32"/>
      <c r="P407" s="33"/>
      <c r="Q407" s="31" t="s">
        <v>5171</v>
      </c>
      <c r="R407" s="31" t="s">
        <v>52</v>
      </c>
      <c r="S407" s="31" t="s">
        <v>4110</v>
      </c>
      <c r="T407" s="31">
        <v>1</v>
      </c>
      <c r="U407" s="31" t="s">
        <v>1719</v>
      </c>
      <c r="V407" s="31" t="s">
        <v>5172</v>
      </c>
      <c r="W407" s="31" t="s">
        <v>5173</v>
      </c>
      <c r="X407" s="211">
        <v>45757.463194444441</v>
      </c>
      <c r="Y407" s="31"/>
      <c r="Z407" s="31">
        <v>0.3</v>
      </c>
      <c r="AA407" s="31"/>
      <c r="AB407" s="31" t="s">
        <v>1720</v>
      </c>
      <c r="AC407" s="33" t="s">
        <v>5109</v>
      </c>
      <c r="AD407" s="31" t="s">
        <v>1721</v>
      </c>
      <c r="AE407" s="31"/>
      <c r="AF407" s="31"/>
      <c r="AG407" s="31"/>
      <c r="AH407" s="31"/>
      <c r="AI407" s="31"/>
      <c r="AJ407" s="31"/>
      <c r="AK407" s="31" t="s">
        <v>1721</v>
      </c>
      <c r="AL407" s="325"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5174</v>
      </c>
      <c r="R408" s="28" t="s">
        <v>52</v>
      </c>
      <c r="S408" s="28" t="s">
        <v>16</v>
      </c>
      <c r="T408" s="28">
        <v>1</v>
      </c>
      <c r="U408" s="28" t="s">
        <v>1719</v>
      </c>
      <c r="V408" s="28" t="s">
        <v>5175</v>
      </c>
      <c r="W408" s="28" t="s">
        <v>5176</v>
      </c>
      <c r="X408" s="135">
        <v>45757.496527777781</v>
      </c>
      <c r="Y408" s="28"/>
      <c r="Z408" s="28">
        <v>0.9</v>
      </c>
      <c r="AA408" s="28"/>
      <c r="AB408" s="28" t="s">
        <v>1720</v>
      </c>
      <c r="AC408" s="30" t="s">
        <v>5051</v>
      </c>
      <c r="AD408" s="28" t="s">
        <v>1721</v>
      </c>
      <c r="AE408" s="28"/>
      <c r="AF408" s="28"/>
      <c r="AG408" s="28"/>
      <c r="AH408" s="28"/>
      <c r="AI408" s="28"/>
      <c r="AJ408" s="28" t="s">
        <v>1721</v>
      </c>
      <c r="AK408" s="28" t="s">
        <v>1721</v>
      </c>
      <c r="AL408" s="325"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5177</v>
      </c>
      <c r="R409" s="31" t="s">
        <v>52</v>
      </c>
      <c r="S409" s="31" t="s">
        <v>4110</v>
      </c>
      <c r="T409" s="31">
        <v>1</v>
      </c>
      <c r="U409" s="31" t="s">
        <v>1719</v>
      </c>
      <c r="V409" s="31" t="s">
        <v>5178</v>
      </c>
      <c r="W409" s="31" t="s">
        <v>5179</v>
      </c>
      <c r="X409" s="211">
        <v>45757.509027777778</v>
      </c>
      <c r="Y409" s="31"/>
      <c r="Z409" s="31">
        <v>0.9</v>
      </c>
      <c r="AA409" s="31"/>
      <c r="AB409" s="31" t="s">
        <v>1720</v>
      </c>
      <c r="AC409" s="33" t="s">
        <v>5051</v>
      </c>
      <c r="AD409" s="31" t="s">
        <v>1721</v>
      </c>
      <c r="AE409" s="31"/>
      <c r="AF409" s="31"/>
      <c r="AG409" s="31"/>
      <c r="AH409" s="31"/>
      <c r="AI409" s="31"/>
      <c r="AJ409" s="31" t="s">
        <v>1721</v>
      </c>
      <c r="AK409" s="31" t="s">
        <v>1721</v>
      </c>
      <c r="AL409" s="325"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5180</v>
      </c>
      <c r="R410" s="28" t="s">
        <v>52</v>
      </c>
      <c r="S410" s="28" t="s">
        <v>4110</v>
      </c>
      <c r="T410" s="28">
        <v>1</v>
      </c>
      <c r="U410" s="28" t="s">
        <v>1719</v>
      </c>
      <c r="V410" s="28" t="s">
        <v>5181</v>
      </c>
      <c r="W410" s="28" t="s">
        <v>5182</v>
      </c>
      <c r="X410" s="135">
        <v>45757.544444444444</v>
      </c>
      <c r="Y410" s="28"/>
      <c r="Z410" s="28">
        <v>0.8</v>
      </c>
      <c r="AA410" s="28"/>
      <c r="AB410" s="28" t="s">
        <v>1720</v>
      </c>
      <c r="AC410" s="30" t="s">
        <v>5051</v>
      </c>
      <c r="AD410" s="28" t="s">
        <v>1721</v>
      </c>
      <c r="AE410" s="28"/>
      <c r="AF410" s="28"/>
      <c r="AG410" s="28"/>
      <c r="AH410" s="28"/>
      <c r="AI410" s="28"/>
      <c r="AJ410" s="28" t="s">
        <v>1721</v>
      </c>
      <c r="AK410" s="28" t="s">
        <v>1721</v>
      </c>
      <c r="AL410" s="325"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5183</v>
      </c>
      <c r="R411" s="31" t="s">
        <v>52</v>
      </c>
      <c r="S411" s="31" t="s">
        <v>4110</v>
      </c>
      <c r="T411" s="31">
        <v>1</v>
      </c>
      <c r="U411" s="31" t="s">
        <v>1719</v>
      </c>
      <c r="V411" s="31" t="s">
        <v>5184</v>
      </c>
      <c r="W411" s="31" t="s">
        <v>5185</v>
      </c>
      <c r="X411" s="211">
        <v>45757.611805555556</v>
      </c>
      <c r="Y411" s="31"/>
      <c r="Z411" s="31">
        <v>0.3</v>
      </c>
      <c r="AA411" s="31"/>
      <c r="AB411" s="31" t="s">
        <v>1720</v>
      </c>
      <c r="AC411" s="33" t="s">
        <v>5109</v>
      </c>
      <c r="AD411" s="31" t="s">
        <v>1721</v>
      </c>
      <c r="AE411" s="31"/>
      <c r="AF411" s="31"/>
      <c r="AG411" s="31"/>
      <c r="AH411" s="31"/>
      <c r="AI411" s="31"/>
      <c r="AJ411" s="31"/>
      <c r="AK411" s="31" t="s">
        <v>1721</v>
      </c>
      <c r="AL411" s="325"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5186</v>
      </c>
      <c r="R412" s="28" t="s">
        <v>52</v>
      </c>
      <c r="S412" s="28" t="s">
        <v>4110</v>
      </c>
      <c r="T412" s="28">
        <v>1</v>
      </c>
      <c r="U412" s="28" t="s">
        <v>1719</v>
      </c>
      <c r="V412" s="28" t="s">
        <v>5187</v>
      </c>
      <c r="W412" s="28" t="s">
        <v>5188</v>
      </c>
      <c r="X412" s="135">
        <v>45757.661805555559</v>
      </c>
      <c r="Y412" s="28"/>
      <c r="Z412" s="28">
        <v>0.9</v>
      </c>
      <c r="AA412" s="28"/>
      <c r="AB412" s="28" t="s">
        <v>1720</v>
      </c>
      <c r="AC412" s="30" t="s">
        <v>5051</v>
      </c>
      <c r="AD412" s="28" t="s">
        <v>1721</v>
      </c>
      <c r="AE412" s="28"/>
      <c r="AF412" s="28"/>
      <c r="AG412" s="28"/>
      <c r="AH412" s="28"/>
      <c r="AI412" s="28"/>
      <c r="AJ412" s="28" t="s">
        <v>1721</v>
      </c>
      <c r="AK412" s="28" t="s">
        <v>1721</v>
      </c>
      <c r="AL412" s="325"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5189</v>
      </c>
      <c r="R413" s="31" t="s">
        <v>52</v>
      </c>
      <c r="S413" s="31" t="s">
        <v>4110</v>
      </c>
      <c r="T413" s="31">
        <v>1</v>
      </c>
      <c r="U413" s="31" t="s">
        <v>1719</v>
      </c>
      <c r="V413" s="31" t="s">
        <v>5190</v>
      </c>
      <c r="W413" s="31" t="s">
        <v>5191</v>
      </c>
      <c r="X413" s="211">
        <v>45757.680555555555</v>
      </c>
      <c r="Y413" s="31"/>
      <c r="Z413" s="31">
        <v>0.3</v>
      </c>
      <c r="AA413" s="31"/>
      <c r="AB413" s="31" t="s">
        <v>1720</v>
      </c>
      <c r="AC413" s="33" t="s">
        <v>5109</v>
      </c>
      <c r="AD413" s="31" t="s">
        <v>1721</v>
      </c>
      <c r="AE413" s="31"/>
      <c r="AF413" s="31"/>
      <c r="AG413" s="31"/>
      <c r="AH413" s="31"/>
      <c r="AI413" s="31"/>
      <c r="AJ413" s="31"/>
      <c r="AK413" s="31" t="s">
        <v>1721</v>
      </c>
      <c r="AL413" s="325" t="e">
        <f t="shared" si="15"/>
        <v>#VALUE!</v>
      </c>
    </row>
    <row r="414" spans="1:38" ht="21.6" customHeight="1">
      <c r="A414" s="28">
        <v>45</v>
      </c>
      <c r="B414" s="28" t="s">
        <v>5033</v>
      </c>
      <c r="C414" s="28">
        <v>2025041378</v>
      </c>
      <c r="D414" s="28" t="s">
        <v>6939</v>
      </c>
      <c r="E414" s="28" t="s">
        <v>5035</v>
      </c>
      <c r="F414" s="28">
        <v>3752</v>
      </c>
      <c r="G414" s="28" t="s">
        <v>4047</v>
      </c>
      <c r="H414" s="28" t="s">
        <v>1722</v>
      </c>
      <c r="I414" s="28" t="s">
        <v>6940</v>
      </c>
      <c r="J414" s="28" t="s">
        <v>5096</v>
      </c>
      <c r="K414" s="28" t="s">
        <v>5039</v>
      </c>
      <c r="L414" s="28" t="s">
        <v>5856</v>
      </c>
      <c r="M414" s="29" t="s">
        <v>5857</v>
      </c>
      <c r="N414" s="28" t="s">
        <v>5858</v>
      </c>
      <c r="O414" s="29" t="s">
        <v>5859</v>
      </c>
      <c r="P414" s="30" t="s">
        <v>6941</v>
      </c>
      <c r="Q414" s="28" t="s">
        <v>5209</v>
      </c>
      <c r="R414" s="28" t="s">
        <v>52</v>
      </c>
      <c r="S414" s="28" t="s">
        <v>1157</v>
      </c>
      <c r="T414" s="28">
        <v>1</v>
      </c>
      <c r="U414" s="28" t="s">
        <v>1719</v>
      </c>
      <c r="V414" s="28" t="s">
        <v>6942</v>
      </c>
      <c r="W414" s="28" t="s">
        <v>5211</v>
      </c>
      <c r="X414" s="135">
        <v>45758.645833333336</v>
      </c>
      <c r="Y414" s="28" t="s">
        <v>6943</v>
      </c>
      <c r="Z414" s="28">
        <v>0.8</v>
      </c>
      <c r="AA414" s="28"/>
      <c r="AB414" s="28" t="s">
        <v>1720</v>
      </c>
      <c r="AC414" s="30" t="s">
        <v>6944</v>
      </c>
      <c r="AD414" s="28"/>
      <c r="AE414" s="28"/>
      <c r="AF414" s="28"/>
      <c r="AG414" s="28"/>
      <c r="AH414" s="28"/>
      <c r="AI414" s="28"/>
      <c r="AJ414" s="28"/>
      <c r="AK414" s="28" t="s">
        <v>1721</v>
      </c>
      <c r="AL414" s="325">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5192</v>
      </c>
      <c r="R415" s="31" t="s">
        <v>52</v>
      </c>
      <c r="S415" s="31" t="s">
        <v>4110</v>
      </c>
      <c r="T415" s="31">
        <v>1</v>
      </c>
      <c r="U415" s="31" t="s">
        <v>1719</v>
      </c>
      <c r="V415" s="31" t="s">
        <v>5193</v>
      </c>
      <c r="W415" s="31" t="s">
        <v>5194</v>
      </c>
      <c r="X415" s="211">
        <v>45757.727777777778</v>
      </c>
      <c r="Y415" s="31"/>
      <c r="Z415" s="31">
        <v>0.9</v>
      </c>
      <c r="AA415" s="31"/>
      <c r="AB415" s="31" t="s">
        <v>1720</v>
      </c>
      <c r="AC415" s="33" t="s">
        <v>5051</v>
      </c>
      <c r="AD415" s="31" t="s">
        <v>1721</v>
      </c>
      <c r="AE415" s="31"/>
      <c r="AF415" s="31"/>
      <c r="AG415" s="31"/>
      <c r="AH415" s="31"/>
      <c r="AI415" s="31"/>
      <c r="AJ415" s="31" t="s">
        <v>1721</v>
      </c>
      <c r="AK415" s="31" t="s">
        <v>1721</v>
      </c>
      <c r="AL415" s="325"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5195</v>
      </c>
      <c r="R416" s="28" t="s">
        <v>52</v>
      </c>
      <c r="S416" s="28" t="s">
        <v>4110</v>
      </c>
      <c r="T416" s="28">
        <v>1</v>
      </c>
      <c r="U416" s="28" t="s">
        <v>1719</v>
      </c>
      <c r="V416" s="28" t="s">
        <v>5196</v>
      </c>
      <c r="W416" s="28" t="s">
        <v>5197</v>
      </c>
      <c r="X416" s="135">
        <v>45757.754166666666</v>
      </c>
      <c r="Y416" s="28"/>
      <c r="Z416" s="28">
        <v>0.6</v>
      </c>
      <c r="AA416" s="28"/>
      <c r="AB416" s="28" t="s">
        <v>1720</v>
      </c>
      <c r="AC416" s="30" t="s">
        <v>5051</v>
      </c>
      <c r="AD416" s="28" t="s">
        <v>1721</v>
      </c>
      <c r="AE416" s="28"/>
      <c r="AF416" s="28"/>
      <c r="AG416" s="28"/>
      <c r="AH416" s="28"/>
      <c r="AI416" s="28"/>
      <c r="AJ416" s="28" t="s">
        <v>1721</v>
      </c>
      <c r="AK416" s="28" t="s">
        <v>1721</v>
      </c>
      <c r="AL416" s="325"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5198</v>
      </c>
      <c r="R417" s="31" t="s">
        <v>52</v>
      </c>
      <c r="S417" s="31" t="s">
        <v>16</v>
      </c>
      <c r="T417" s="31">
        <v>1</v>
      </c>
      <c r="U417" s="31" t="s">
        <v>1719</v>
      </c>
      <c r="V417" s="31" t="s">
        <v>5199</v>
      </c>
      <c r="W417" s="31" t="s">
        <v>5200</v>
      </c>
      <c r="X417" s="211">
        <v>45758.451388888891</v>
      </c>
      <c r="Y417" s="31"/>
      <c r="Z417" s="31">
        <v>0.8</v>
      </c>
      <c r="AA417" s="31"/>
      <c r="AB417" s="31" t="s">
        <v>1720</v>
      </c>
      <c r="AC417" s="33" t="s">
        <v>5051</v>
      </c>
      <c r="AD417" s="31" t="s">
        <v>1721</v>
      </c>
      <c r="AE417" s="31"/>
      <c r="AF417" s="31"/>
      <c r="AG417" s="31"/>
      <c r="AH417" s="31"/>
      <c r="AI417" s="31"/>
      <c r="AJ417" s="31" t="s">
        <v>1721</v>
      </c>
      <c r="AK417" s="31"/>
      <c r="AL417" s="325"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5201</v>
      </c>
      <c r="R418" s="28" t="s">
        <v>52</v>
      </c>
      <c r="S418" s="28" t="s">
        <v>16</v>
      </c>
      <c r="T418" s="28">
        <v>1</v>
      </c>
      <c r="U418" s="28" t="s">
        <v>1719</v>
      </c>
      <c r="V418" s="28" t="s">
        <v>5202</v>
      </c>
      <c r="W418" s="28" t="s">
        <v>5203</v>
      </c>
      <c r="X418" s="135">
        <v>45758.493055555555</v>
      </c>
      <c r="Y418" s="28"/>
      <c r="Z418" s="28">
        <v>0.8</v>
      </c>
      <c r="AA418" s="28"/>
      <c r="AB418" s="28" t="s">
        <v>1720</v>
      </c>
      <c r="AC418" s="30" t="s">
        <v>5051</v>
      </c>
      <c r="AD418" s="28" t="s">
        <v>1721</v>
      </c>
      <c r="AE418" s="28"/>
      <c r="AF418" s="28"/>
      <c r="AG418" s="28"/>
      <c r="AH418" s="28"/>
      <c r="AI418" s="28"/>
      <c r="AJ418" s="28" t="s">
        <v>1721</v>
      </c>
      <c r="AK418" s="28" t="s">
        <v>1721</v>
      </c>
      <c r="AL418" s="325"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5204</v>
      </c>
      <c r="R419" s="31" t="s">
        <v>52</v>
      </c>
      <c r="S419" s="31" t="s">
        <v>4110</v>
      </c>
      <c r="T419" s="31">
        <v>1</v>
      </c>
      <c r="U419" s="31" t="s">
        <v>1719</v>
      </c>
      <c r="V419" s="31" t="s">
        <v>5205</v>
      </c>
      <c r="W419" s="31" t="s">
        <v>5203</v>
      </c>
      <c r="X419" s="211">
        <v>45758.502083333333</v>
      </c>
      <c r="Y419" s="31"/>
      <c r="Z419" s="31">
        <v>1.1000000000000001</v>
      </c>
      <c r="AA419" s="31"/>
      <c r="AB419" s="31" t="s">
        <v>1720</v>
      </c>
      <c r="AC419" s="33" t="s">
        <v>5051</v>
      </c>
      <c r="AD419" s="31" t="s">
        <v>1721</v>
      </c>
      <c r="AE419" s="31"/>
      <c r="AF419" s="31"/>
      <c r="AG419" s="31"/>
      <c r="AH419" s="31"/>
      <c r="AI419" s="31"/>
      <c r="AJ419" s="31" t="s">
        <v>1721</v>
      </c>
      <c r="AK419" s="31" t="s">
        <v>1721</v>
      </c>
      <c r="AL419" s="325"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5206</v>
      </c>
      <c r="R420" s="28" t="s">
        <v>52</v>
      </c>
      <c r="S420" s="28" t="s">
        <v>4110</v>
      </c>
      <c r="T420" s="28">
        <v>1</v>
      </c>
      <c r="U420" s="28" t="s">
        <v>1719</v>
      </c>
      <c r="V420" s="28" t="s">
        <v>5207</v>
      </c>
      <c r="W420" s="28" t="s">
        <v>5208</v>
      </c>
      <c r="X420" s="135">
        <v>45758.548611111109</v>
      </c>
      <c r="Y420" s="28"/>
      <c r="Z420" s="28">
        <v>1</v>
      </c>
      <c r="AA420" s="28"/>
      <c r="AB420" s="28" t="s">
        <v>1720</v>
      </c>
      <c r="AC420" s="30" t="s">
        <v>5051</v>
      </c>
      <c r="AD420" s="28" t="s">
        <v>1721</v>
      </c>
      <c r="AE420" s="28"/>
      <c r="AF420" s="28"/>
      <c r="AG420" s="28"/>
      <c r="AH420" s="28"/>
      <c r="AI420" s="28"/>
      <c r="AJ420" s="28" t="s">
        <v>1721</v>
      </c>
      <c r="AK420" s="28" t="s">
        <v>1721</v>
      </c>
      <c r="AL420" s="325"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5209</v>
      </c>
      <c r="R421" s="31" t="s">
        <v>52</v>
      </c>
      <c r="S421" s="31" t="s">
        <v>1157</v>
      </c>
      <c r="T421" s="31">
        <v>1</v>
      </c>
      <c r="U421" s="31" t="s">
        <v>1719</v>
      </c>
      <c r="V421" s="31" t="s">
        <v>5210</v>
      </c>
      <c r="W421" s="31" t="s">
        <v>5211</v>
      </c>
      <c r="X421" s="211">
        <v>45758.645833333336</v>
      </c>
      <c r="Y421" s="31"/>
      <c r="Z421" s="31">
        <v>0.8</v>
      </c>
      <c r="AA421" s="31"/>
      <c r="AB421" s="31" t="s">
        <v>1720</v>
      </c>
      <c r="AC421" s="33" t="s">
        <v>5051</v>
      </c>
      <c r="AD421" s="31" t="s">
        <v>1721</v>
      </c>
      <c r="AE421" s="31"/>
      <c r="AF421" s="31"/>
      <c r="AG421" s="31"/>
      <c r="AH421" s="31"/>
      <c r="AI421" s="31"/>
      <c r="AJ421" s="31" t="s">
        <v>1721</v>
      </c>
      <c r="AK421" s="31" t="s">
        <v>1721</v>
      </c>
      <c r="AL421" s="325"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5212</v>
      </c>
      <c r="R422" s="28" t="s">
        <v>52</v>
      </c>
      <c r="S422" s="28" t="s">
        <v>1157</v>
      </c>
      <c r="T422" s="28">
        <v>1</v>
      </c>
      <c r="U422" s="28" t="s">
        <v>1719</v>
      </c>
      <c r="V422" s="28" t="s">
        <v>5213</v>
      </c>
      <c r="W422" s="28" t="s">
        <v>5214</v>
      </c>
      <c r="X422" s="135">
        <v>45758.659722222219</v>
      </c>
      <c r="Y422" s="28"/>
      <c r="Z422" s="28">
        <v>0.3</v>
      </c>
      <c r="AA422" s="28"/>
      <c r="AB422" s="28" t="s">
        <v>1720</v>
      </c>
      <c r="AC422" s="30" t="s">
        <v>5109</v>
      </c>
      <c r="AD422" s="28" t="s">
        <v>1721</v>
      </c>
      <c r="AE422" s="28"/>
      <c r="AF422" s="28"/>
      <c r="AG422" s="28"/>
      <c r="AH422" s="28"/>
      <c r="AI422" s="28"/>
      <c r="AJ422" s="28" t="s">
        <v>1721</v>
      </c>
      <c r="AK422" s="28" t="s">
        <v>1721</v>
      </c>
      <c r="AL422" s="325" t="e">
        <f t="shared" si="15"/>
        <v>#VALUE!</v>
      </c>
    </row>
    <row r="423" spans="1:39" ht="21.6" customHeight="1">
      <c r="A423" s="31">
        <v>54</v>
      </c>
      <c r="B423" s="31" t="s">
        <v>5033</v>
      </c>
      <c r="C423" s="31">
        <v>2025041603</v>
      </c>
      <c r="D423" s="31" t="s">
        <v>5224</v>
      </c>
      <c r="E423" s="31" t="s">
        <v>5035</v>
      </c>
      <c r="F423" s="31">
        <v>5003</v>
      </c>
      <c r="G423" s="31" t="s">
        <v>578</v>
      </c>
      <c r="H423" s="31" t="s">
        <v>3317</v>
      </c>
      <c r="I423" s="31" t="s">
        <v>5225</v>
      </c>
      <c r="J423" s="31" t="s">
        <v>5226</v>
      </c>
      <c r="K423" s="31" t="s">
        <v>5039</v>
      </c>
      <c r="L423" s="31" t="s">
        <v>5227</v>
      </c>
      <c r="M423" s="32" t="s">
        <v>5228</v>
      </c>
      <c r="N423" s="31" t="s">
        <v>5229</v>
      </c>
      <c r="O423" s="32" t="s">
        <v>5230</v>
      </c>
      <c r="P423" s="33" t="s">
        <v>5231</v>
      </c>
      <c r="Q423" s="31" t="s">
        <v>5232</v>
      </c>
      <c r="R423" s="31" t="s">
        <v>52</v>
      </c>
      <c r="S423" s="31" t="s">
        <v>16</v>
      </c>
      <c r="T423" s="31">
        <v>1</v>
      </c>
      <c r="U423" s="31" t="s">
        <v>1719</v>
      </c>
      <c r="V423" s="31" t="s">
        <v>5233</v>
      </c>
      <c r="W423" s="31" t="s">
        <v>5234</v>
      </c>
      <c r="X423" s="211">
        <v>45761.604166666664</v>
      </c>
      <c r="Y423" s="31" t="s">
        <v>5236</v>
      </c>
      <c r="Z423" s="31">
        <v>0.5</v>
      </c>
      <c r="AA423" s="31"/>
      <c r="AB423" s="31" t="s">
        <v>1720</v>
      </c>
      <c r="AC423" s="33" t="s">
        <v>5237</v>
      </c>
      <c r="AD423" s="31"/>
      <c r="AE423" s="31"/>
      <c r="AF423" s="31"/>
      <c r="AG423" s="31"/>
      <c r="AH423" s="31"/>
      <c r="AI423" s="31"/>
      <c r="AJ423" s="31"/>
      <c r="AK423" s="31" t="s">
        <v>1721</v>
      </c>
      <c r="AL423" s="325">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5238</v>
      </c>
      <c r="R424" s="28" t="s">
        <v>52</v>
      </c>
      <c r="S424" s="28" t="s">
        <v>16</v>
      </c>
      <c r="T424" s="28">
        <v>1</v>
      </c>
      <c r="U424" s="28" t="s">
        <v>1719</v>
      </c>
      <c r="V424" s="28" t="s">
        <v>5239</v>
      </c>
      <c r="W424" s="28" t="s">
        <v>5240</v>
      </c>
      <c r="X424" s="135">
        <v>45761.479166666664</v>
      </c>
      <c r="Y424" s="28"/>
      <c r="Z424" s="28">
        <v>1</v>
      </c>
      <c r="AA424" s="28"/>
      <c r="AB424" s="28" t="s">
        <v>1720</v>
      </c>
      <c r="AC424" s="30" t="s">
        <v>5116</v>
      </c>
      <c r="AD424" s="28" t="s">
        <v>1721</v>
      </c>
      <c r="AE424" s="28"/>
      <c r="AF424" s="28"/>
      <c r="AG424" s="28"/>
      <c r="AH424" s="28"/>
      <c r="AI424" s="28"/>
      <c r="AJ424" s="28" t="s">
        <v>1721</v>
      </c>
      <c r="AK424" s="28" t="s">
        <v>1721</v>
      </c>
      <c r="AL424" s="325"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5241</v>
      </c>
      <c r="R425" s="31" t="s">
        <v>52</v>
      </c>
      <c r="S425" s="31" t="s">
        <v>4110</v>
      </c>
      <c r="T425" s="31">
        <v>1</v>
      </c>
      <c r="U425" s="31" t="s">
        <v>1719</v>
      </c>
      <c r="V425" s="31" t="s">
        <v>5242</v>
      </c>
      <c r="W425" s="31" t="s">
        <v>5240</v>
      </c>
      <c r="X425" s="211">
        <v>45761.48333333333</v>
      </c>
      <c r="Y425" s="31"/>
      <c r="Z425" s="31">
        <v>1.1000000000000001</v>
      </c>
      <c r="AA425" s="31"/>
      <c r="AB425" s="31" t="s">
        <v>1720</v>
      </c>
      <c r="AC425" s="33" t="s">
        <v>5051</v>
      </c>
      <c r="AD425" s="31" t="s">
        <v>1721</v>
      </c>
      <c r="AE425" s="31"/>
      <c r="AF425" s="31"/>
      <c r="AG425" s="31"/>
      <c r="AH425" s="31"/>
      <c r="AI425" s="31"/>
      <c r="AJ425" s="31" t="s">
        <v>1721</v>
      </c>
      <c r="AK425" s="31" t="s">
        <v>1721</v>
      </c>
      <c r="AL425" s="325"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5243</v>
      </c>
      <c r="R426" s="28" t="s">
        <v>52</v>
      </c>
      <c r="S426" s="28" t="s">
        <v>4110</v>
      </c>
      <c r="T426" s="28">
        <v>1</v>
      </c>
      <c r="U426" s="28" t="s">
        <v>1719</v>
      </c>
      <c r="V426" s="28" t="s">
        <v>5244</v>
      </c>
      <c r="W426" s="28" t="s">
        <v>5245</v>
      </c>
      <c r="X426" s="135">
        <v>45761.527083333334</v>
      </c>
      <c r="Y426" s="28"/>
      <c r="Z426" s="28">
        <v>1</v>
      </c>
      <c r="AA426" s="28"/>
      <c r="AB426" s="28" t="s">
        <v>1720</v>
      </c>
      <c r="AC426" s="30" t="s">
        <v>5051</v>
      </c>
      <c r="AD426" s="28" t="s">
        <v>1721</v>
      </c>
      <c r="AE426" s="28"/>
      <c r="AF426" s="28"/>
      <c r="AG426" s="28"/>
      <c r="AH426" s="28"/>
      <c r="AI426" s="28"/>
      <c r="AJ426" s="28" t="s">
        <v>1721</v>
      </c>
      <c r="AK426" s="28" t="s">
        <v>1721</v>
      </c>
      <c r="AL426" s="325"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5232</v>
      </c>
      <c r="R427" s="31" t="s">
        <v>52</v>
      </c>
      <c r="S427" s="31" t="s">
        <v>16</v>
      </c>
      <c r="T427" s="31">
        <v>1</v>
      </c>
      <c r="U427" s="31" t="s">
        <v>1719</v>
      </c>
      <c r="V427" s="31" t="s">
        <v>5246</v>
      </c>
      <c r="W427" s="31" t="s">
        <v>5235</v>
      </c>
      <c r="X427" s="211">
        <v>45761.618055555555</v>
      </c>
      <c r="Y427" s="31"/>
      <c r="Z427" s="31">
        <v>0.3</v>
      </c>
      <c r="AA427" s="31"/>
      <c r="AB427" s="31" t="s">
        <v>1720</v>
      </c>
      <c r="AC427" s="33" t="s">
        <v>5109</v>
      </c>
      <c r="AD427" s="31" t="s">
        <v>1721</v>
      </c>
      <c r="AE427" s="31"/>
      <c r="AF427" s="31"/>
      <c r="AG427" s="31"/>
      <c r="AH427" s="31"/>
      <c r="AI427" s="31"/>
      <c r="AJ427" s="31" t="s">
        <v>1721</v>
      </c>
      <c r="AK427" s="31" t="s">
        <v>1721</v>
      </c>
      <c r="AL427" s="325"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5247</v>
      </c>
      <c r="R428" s="28" t="s">
        <v>52</v>
      </c>
      <c r="S428" s="28" t="s">
        <v>16</v>
      </c>
      <c r="T428" s="28">
        <v>1</v>
      </c>
      <c r="U428" s="28" t="s">
        <v>1719</v>
      </c>
      <c r="V428" s="28" t="s">
        <v>5248</v>
      </c>
      <c r="W428" s="28" t="s">
        <v>5249</v>
      </c>
      <c r="X428" s="135">
        <v>45761.645833333336</v>
      </c>
      <c r="Y428" s="28"/>
      <c r="Z428" s="28">
        <v>0.5</v>
      </c>
      <c r="AA428" s="28"/>
      <c r="AB428" s="28" t="s">
        <v>1720</v>
      </c>
      <c r="AC428" s="29" t="s">
        <v>5116</v>
      </c>
      <c r="AD428" s="28" t="s">
        <v>1721</v>
      </c>
      <c r="AE428" s="28"/>
      <c r="AF428" s="28"/>
      <c r="AG428" s="28"/>
      <c r="AH428" s="28"/>
      <c r="AI428" s="28"/>
      <c r="AJ428" s="28" t="s">
        <v>1721</v>
      </c>
      <c r="AK428" s="28" t="s">
        <v>1721</v>
      </c>
      <c r="AL428" s="325" t="e">
        <f t="shared" si="15"/>
        <v>#VALUE!</v>
      </c>
    </row>
    <row r="429" spans="1:39" s="27" customFormat="1" ht="21.6" customHeight="1">
      <c r="A429" s="28">
        <v>61</v>
      </c>
      <c r="B429" s="28" t="s">
        <v>5033</v>
      </c>
      <c r="C429" s="28">
        <v>2025041747</v>
      </c>
      <c r="D429" s="28" t="s">
        <v>6946</v>
      </c>
      <c r="E429" s="28" t="s">
        <v>5035</v>
      </c>
      <c r="F429" s="28">
        <v>4046</v>
      </c>
      <c r="G429" s="28" t="s">
        <v>295</v>
      </c>
      <c r="H429" s="28" t="s">
        <v>1722</v>
      </c>
      <c r="I429" s="28" t="s">
        <v>6947</v>
      </c>
      <c r="J429" s="28" t="s">
        <v>5038</v>
      </c>
      <c r="K429" s="28" t="s">
        <v>5039</v>
      </c>
      <c r="L429" s="28" t="s">
        <v>5040</v>
      </c>
      <c r="M429" s="29" t="s">
        <v>4057</v>
      </c>
      <c r="N429" s="28">
        <v>2501</v>
      </c>
      <c r="O429" s="29" t="s">
        <v>5041</v>
      </c>
      <c r="P429" s="30" t="s">
        <v>6948</v>
      </c>
      <c r="Q429" s="28" t="s">
        <v>6710</v>
      </c>
      <c r="R429" s="28" t="s">
        <v>52</v>
      </c>
      <c r="S429" s="28" t="s">
        <v>1157</v>
      </c>
      <c r="T429" s="28">
        <v>1</v>
      </c>
      <c r="U429" s="28" t="s">
        <v>1719</v>
      </c>
      <c r="V429" s="28" t="s">
        <v>6949</v>
      </c>
      <c r="W429" s="28" t="s">
        <v>6950</v>
      </c>
      <c r="X429" s="135">
        <v>45762.621527777781</v>
      </c>
      <c r="Y429" s="28" t="s">
        <v>6951</v>
      </c>
      <c r="Z429" s="28">
        <v>1</v>
      </c>
      <c r="AA429" s="28"/>
      <c r="AB429" s="28" t="s">
        <v>1720</v>
      </c>
      <c r="AC429" s="30" t="s">
        <v>6952</v>
      </c>
      <c r="AD429" s="28"/>
      <c r="AE429" s="28"/>
      <c r="AF429" s="28"/>
      <c r="AG429" s="28"/>
      <c r="AH429" s="28"/>
      <c r="AI429" s="28"/>
      <c r="AJ429" s="28"/>
      <c r="AK429" s="28" t="s">
        <v>1721</v>
      </c>
      <c r="AL429" s="325">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5247</v>
      </c>
      <c r="R430" s="31" t="s">
        <v>52</v>
      </c>
      <c r="S430" s="31" t="s">
        <v>16</v>
      </c>
      <c r="T430" s="31">
        <v>1</v>
      </c>
      <c r="U430" s="31" t="s">
        <v>1719</v>
      </c>
      <c r="V430" s="31" t="s">
        <v>6953</v>
      </c>
      <c r="W430" s="31" t="s">
        <v>5249</v>
      </c>
      <c r="X430" s="211">
        <v>45761.645833333336</v>
      </c>
      <c r="Y430" s="31"/>
      <c r="Z430" s="31">
        <v>0.5</v>
      </c>
      <c r="AA430" s="31"/>
      <c r="AB430" s="31" t="s">
        <v>1720</v>
      </c>
      <c r="AC430" s="33" t="s">
        <v>5051</v>
      </c>
      <c r="AD430" s="31" t="s">
        <v>1721</v>
      </c>
      <c r="AE430" s="31"/>
      <c r="AF430" s="31"/>
      <c r="AG430" s="31"/>
      <c r="AH430" s="31"/>
      <c r="AI430" s="31"/>
      <c r="AJ430" s="31" t="s">
        <v>1721</v>
      </c>
      <c r="AK430" s="31" t="s">
        <v>1721</v>
      </c>
      <c r="AL430" s="325"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5238</v>
      </c>
      <c r="R431" s="28" t="s">
        <v>52</v>
      </c>
      <c r="S431" s="28" t="s">
        <v>16</v>
      </c>
      <c r="T431" s="28">
        <v>1</v>
      </c>
      <c r="U431" s="28" t="s">
        <v>1719</v>
      </c>
      <c r="V431" s="28" t="s">
        <v>6954</v>
      </c>
      <c r="W431" s="28" t="s">
        <v>5240</v>
      </c>
      <c r="X431" s="135">
        <v>45761.479166666664</v>
      </c>
      <c r="Y431" s="28"/>
      <c r="Z431" s="28">
        <v>1</v>
      </c>
      <c r="AA431" s="28"/>
      <c r="AB431" s="28" t="s">
        <v>1720</v>
      </c>
      <c r="AC431" s="30" t="s">
        <v>5051</v>
      </c>
      <c r="AD431" s="28" t="s">
        <v>1721</v>
      </c>
      <c r="AE431" s="28"/>
      <c r="AF431" s="28"/>
      <c r="AG431" s="28"/>
      <c r="AH431" s="28"/>
      <c r="AI431" s="28"/>
      <c r="AJ431" s="28" t="s">
        <v>1721</v>
      </c>
      <c r="AK431" s="28" t="s">
        <v>1721</v>
      </c>
      <c r="AL431" s="325"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5477</v>
      </c>
      <c r="R432" s="31" t="s">
        <v>52</v>
      </c>
      <c r="S432" s="31" t="s">
        <v>4110</v>
      </c>
      <c r="T432" s="31">
        <v>1</v>
      </c>
      <c r="U432" s="31" t="s">
        <v>1719</v>
      </c>
      <c r="V432" s="31" t="s">
        <v>6955</v>
      </c>
      <c r="W432" s="31" t="s">
        <v>6956</v>
      </c>
      <c r="X432" s="211">
        <v>45762.490972222222</v>
      </c>
      <c r="Y432" s="31"/>
      <c r="Z432" s="31">
        <v>1</v>
      </c>
      <c r="AA432" s="31"/>
      <c r="AB432" s="31" t="s">
        <v>1720</v>
      </c>
      <c r="AC432" s="33" t="s">
        <v>5051</v>
      </c>
      <c r="AD432" s="31" t="s">
        <v>1721</v>
      </c>
      <c r="AE432" s="31"/>
      <c r="AF432" s="31"/>
      <c r="AG432" s="31"/>
      <c r="AH432" s="31"/>
      <c r="AI432" s="31"/>
      <c r="AJ432" s="31" t="s">
        <v>1721</v>
      </c>
      <c r="AK432" s="31" t="s">
        <v>1721</v>
      </c>
      <c r="AL432" s="325"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5372</v>
      </c>
      <c r="R433" s="28" t="s">
        <v>52</v>
      </c>
      <c r="S433" s="28" t="s">
        <v>16</v>
      </c>
      <c r="T433" s="28">
        <v>1</v>
      </c>
      <c r="U433" s="28" t="s">
        <v>1719</v>
      </c>
      <c r="V433" s="28" t="s">
        <v>6957</v>
      </c>
      <c r="W433" s="28" t="s">
        <v>6958</v>
      </c>
      <c r="X433" s="135">
        <v>45762.541666666664</v>
      </c>
      <c r="Y433" s="28"/>
      <c r="Z433" s="28">
        <v>0.5</v>
      </c>
      <c r="AA433" s="28"/>
      <c r="AB433" s="28" t="s">
        <v>1720</v>
      </c>
      <c r="AC433" s="30" t="s">
        <v>5051</v>
      </c>
      <c r="AD433" s="28" t="s">
        <v>1721</v>
      </c>
      <c r="AE433" s="28"/>
      <c r="AF433" s="28"/>
      <c r="AG433" s="28"/>
      <c r="AH433" s="28"/>
      <c r="AI433" s="28"/>
      <c r="AJ433" s="28" t="s">
        <v>1721</v>
      </c>
      <c r="AK433" s="28" t="s">
        <v>1721</v>
      </c>
      <c r="AL433" s="325"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5485</v>
      </c>
      <c r="R434" s="31" t="s">
        <v>52</v>
      </c>
      <c r="S434" s="31" t="s">
        <v>4110</v>
      </c>
      <c r="T434" s="31">
        <v>1</v>
      </c>
      <c r="U434" s="31" t="s">
        <v>1719</v>
      </c>
      <c r="V434" s="31" t="s">
        <v>6959</v>
      </c>
      <c r="W434" s="31" t="s">
        <v>6958</v>
      </c>
      <c r="X434" s="211">
        <v>45762.557638888888</v>
      </c>
      <c r="Y434" s="31"/>
      <c r="Z434" s="31">
        <v>0.9</v>
      </c>
      <c r="AA434" s="31"/>
      <c r="AB434" s="31" t="s">
        <v>1720</v>
      </c>
      <c r="AC434" s="33" t="s">
        <v>5051</v>
      </c>
      <c r="AD434" s="31" t="s">
        <v>1721</v>
      </c>
      <c r="AE434" s="31"/>
      <c r="AF434" s="31"/>
      <c r="AG434" s="31"/>
      <c r="AH434" s="31"/>
      <c r="AI434" s="31"/>
      <c r="AJ434" s="31" t="s">
        <v>1721</v>
      </c>
      <c r="AK434" s="31" t="s">
        <v>1721</v>
      </c>
      <c r="AL434" s="325"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5480</v>
      </c>
      <c r="R435" s="28" t="s">
        <v>52</v>
      </c>
      <c r="S435" s="28" t="s">
        <v>16</v>
      </c>
      <c r="T435" s="28">
        <v>1</v>
      </c>
      <c r="U435" s="28" t="s">
        <v>1719</v>
      </c>
      <c r="V435" s="28" t="s">
        <v>6960</v>
      </c>
      <c r="W435" s="28" t="s">
        <v>6961</v>
      </c>
      <c r="X435" s="135">
        <v>45762.576388888891</v>
      </c>
      <c r="Y435" s="28"/>
      <c r="Z435" s="28">
        <v>0.7</v>
      </c>
      <c r="AA435" s="28"/>
      <c r="AB435" s="28" t="s">
        <v>1720</v>
      </c>
      <c r="AC435" s="30" t="s">
        <v>5051</v>
      </c>
      <c r="AD435" s="28" t="s">
        <v>1721</v>
      </c>
      <c r="AE435" s="28"/>
      <c r="AF435" s="28"/>
      <c r="AG435" s="28"/>
      <c r="AH435" s="28"/>
      <c r="AI435" s="28"/>
      <c r="AJ435" s="28" t="s">
        <v>1721</v>
      </c>
      <c r="AK435" s="28" t="s">
        <v>1721</v>
      </c>
      <c r="AL435" s="325"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5474</v>
      </c>
      <c r="R436" s="31" t="s">
        <v>52</v>
      </c>
      <c r="S436" s="31" t="s">
        <v>16</v>
      </c>
      <c r="T436" s="31">
        <v>1</v>
      </c>
      <c r="U436" s="31" t="s">
        <v>1719</v>
      </c>
      <c r="V436" s="31" t="s">
        <v>6963</v>
      </c>
      <c r="W436" s="31" t="s">
        <v>6962</v>
      </c>
      <c r="X436" s="211">
        <v>45762.583333333336</v>
      </c>
      <c r="Y436" s="31"/>
      <c r="Z436" s="31">
        <v>0.2</v>
      </c>
      <c r="AA436" s="31"/>
      <c r="AB436" s="31" t="s">
        <v>1720</v>
      </c>
      <c r="AC436" s="33" t="s">
        <v>6965</v>
      </c>
      <c r="AD436" s="31" t="s">
        <v>1721</v>
      </c>
      <c r="AE436" s="31"/>
      <c r="AF436" s="31"/>
      <c r="AG436" s="31"/>
      <c r="AH436" s="31"/>
      <c r="AI436" s="31"/>
      <c r="AJ436" s="31"/>
      <c r="AK436" s="31" t="s">
        <v>1721</v>
      </c>
      <c r="AL436" s="325"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6710</v>
      </c>
      <c r="R437" s="28" t="s">
        <v>52</v>
      </c>
      <c r="S437" s="28" t="s">
        <v>1157</v>
      </c>
      <c r="T437" s="28">
        <v>1</v>
      </c>
      <c r="U437" s="28" t="s">
        <v>1719</v>
      </c>
      <c r="V437" s="28" t="s">
        <v>6966</v>
      </c>
      <c r="W437" s="28" t="s">
        <v>6950</v>
      </c>
      <c r="X437" s="135">
        <v>45762.621527777781</v>
      </c>
      <c r="Y437" s="28"/>
      <c r="Z437" s="28">
        <v>1</v>
      </c>
      <c r="AA437" s="28"/>
      <c r="AB437" s="28" t="s">
        <v>1720</v>
      </c>
      <c r="AC437" s="30" t="s">
        <v>5051</v>
      </c>
      <c r="AD437" s="28" t="s">
        <v>1721</v>
      </c>
      <c r="AE437" s="28"/>
      <c r="AF437" s="28"/>
      <c r="AG437" s="28"/>
      <c r="AH437" s="28"/>
      <c r="AI437" s="28"/>
      <c r="AJ437" s="28" t="s">
        <v>1721</v>
      </c>
      <c r="AK437" s="28" t="s">
        <v>1721</v>
      </c>
      <c r="AL437" s="325"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5417</v>
      </c>
      <c r="R438" s="31" t="s">
        <v>52</v>
      </c>
      <c r="S438" s="31" t="s">
        <v>4110</v>
      </c>
      <c r="T438" s="31">
        <v>1</v>
      </c>
      <c r="U438" s="31" t="s">
        <v>1719</v>
      </c>
      <c r="V438" s="31" t="s">
        <v>6967</v>
      </c>
      <c r="W438" s="31" t="s">
        <v>6964</v>
      </c>
      <c r="X438" s="211">
        <v>45762.629166666666</v>
      </c>
      <c r="Y438" s="31"/>
      <c r="Z438" s="31">
        <v>1.1000000000000001</v>
      </c>
      <c r="AA438" s="31"/>
      <c r="AB438" s="31" t="s">
        <v>1720</v>
      </c>
      <c r="AC438" s="33" t="s">
        <v>5051</v>
      </c>
      <c r="AD438" s="31" t="s">
        <v>1721</v>
      </c>
      <c r="AE438" s="31"/>
      <c r="AF438" s="31"/>
      <c r="AG438" s="31"/>
      <c r="AH438" s="31"/>
      <c r="AI438" s="31"/>
      <c r="AJ438" s="31" t="s">
        <v>1721</v>
      </c>
      <c r="AK438" s="31" t="s">
        <v>1721</v>
      </c>
      <c r="AL438" s="325"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5953</v>
      </c>
      <c r="R439" s="28" t="s">
        <v>52</v>
      </c>
      <c r="S439" s="28" t="s">
        <v>16</v>
      </c>
      <c r="T439" s="28">
        <v>1</v>
      </c>
      <c r="U439" s="28" t="s">
        <v>1719</v>
      </c>
      <c r="V439" s="28" t="s">
        <v>6968</v>
      </c>
      <c r="W439" s="28" t="s">
        <v>6969</v>
      </c>
      <c r="X439" s="135">
        <v>45762.65625</v>
      </c>
      <c r="Y439" s="28"/>
      <c r="Z439" s="28">
        <v>0.5</v>
      </c>
      <c r="AA439" s="28"/>
      <c r="AB439" s="28" t="s">
        <v>1720</v>
      </c>
      <c r="AC439" s="30" t="s">
        <v>6970</v>
      </c>
      <c r="AD439" s="28" t="s">
        <v>1721</v>
      </c>
      <c r="AE439" s="28"/>
      <c r="AF439" s="28"/>
      <c r="AG439" s="28"/>
      <c r="AH439" s="28"/>
      <c r="AI439" s="28"/>
      <c r="AJ439" s="28" t="s">
        <v>1721</v>
      </c>
      <c r="AK439" s="28" t="s">
        <v>1721</v>
      </c>
      <c r="AL439" s="325" t="e">
        <f t="shared" si="16"/>
        <v>#VALUE!</v>
      </c>
      <c r="AM439"/>
    </row>
    <row r="440" spans="1:39" s="27" customFormat="1" ht="21.6" customHeight="1">
      <c r="A440" s="31">
        <v>72</v>
      </c>
      <c r="B440" s="31" t="s">
        <v>5033</v>
      </c>
      <c r="C440" s="31">
        <v>2025042056</v>
      </c>
      <c r="D440" s="31" t="s">
        <v>6971</v>
      </c>
      <c r="E440" s="31" t="s">
        <v>5035</v>
      </c>
      <c r="F440" s="31">
        <v>4917</v>
      </c>
      <c r="G440" s="31" t="s">
        <v>558</v>
      </c>
      <c r="H440" s="31" t="s">
        <v>1722</v>
      </c>
      <c r="I440" s="31" t="s">
        <v>6972</v>
      </c>
      <c r="J440" s="31" t="s">
        <v>5066</v>
      </c>
      <c r="K440" s="31" t="s">
        <v>5039</v>
      </c>
      <c r="L440" s="31" t="s">
        <v>5227</v>
      </c>
      <c r="M440" s="32" t="s">
        <v>5228</v>
      </c>
      <c r="N440" s="31" t="s">
        <v>6069</v>
      </c>
      <c r="O440" s="32" t="s">
        <v>5751</v>
      </c>
      <c r="P440" s="33" t="s">
        <v>6973</v>
      </c>
      <c r="Q440" s="31" t="s">
        <v>6869</v>
      </c>
      <c r="R440" s="31" t="s">
        <v>52</v>
      </c>
      <c r="S440" s="31" t="s">
        <v>1157</v>
      </c>
      <c r="T440" s="31">
        <v>1</v>
      </c>
      <c r="U440" s="31" t="s">
        <v>1719</v>
      </c>
      <c r="V440" s="31" t="s">
        <v>6974</v>
      </c>
      <c r="W440" s="31" t="s">
        <v>6975</v>
      </c>
      <c r="X440" s="211">
        <v>45763.510416666664</v>
      </c>
      <c r="Y440" s="31" t="s">
        <v>6976</v>
      </c>
      <c r="Z440" s="31">
        <v>0.9</v>
      </c>
      <c r="AA440" s="31"/>
      <c r="AB440" s="31" t="s">
        <v>1720</v>
      </c>
      <c r="AC440" s="33" t="s">
        <v>6977</v>
      </c>
      <c r="AD440" s="31"/>
      <c r="AE440" s="31"/>
      <c r="AF440" s="31"/>
      <c r="AG440" s="31"/>
      <c r="AH440" s="31"/>
      <c r="AI440" s="31"/>
      <c r="AJ440" s="31"/>
      <c r="AK440" s="31" t="s">
        <v>1721</v>
      </c>
      <c r="AL440" s="325">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6869</v>
      </c>
      <c r="R441" s="28" t="s">
        <v>52</v>
      </c>
      <c r="S441" s="28" t="s">
        <v>1157</v>
      </c>
      <c r="T441" s="28">
        <v>1</v>
      </c>
      <c r="U441" s="28" t="s">
        <v>1719</v>
      </c>
      <c r="V441" s="28" t="s">
        <v>6978</v>
      </c>
      <c r="W441" s="28" t="s">
        <v>6975</v>
      </c>
      <c r="X441" s="135">
        <v>45763.510416666664</v>
      </c>
      <c r="Y441" s="28"/>
      <c r="Z441" s="28">
        <v>0.9</v>
      </c>
      <c r="AA441" s="28"/>
      <c r="AB441" s="28" t="s">
        <v>1720</v>
      </c>
      <c r="AC441" s="30" t="s">
        <v>5051</v>
      </c>
      <c r="AD441" s="28" t="s">
        <v>1721</v>
      </c>
      <c r="AE441" s="28"/>
      <c r="AF441" s="28"/>
      <c r="AG441" s="28"/>
      <c r="AH441" s="28"/>
      <c r="AI441" s="28"/>
      <c r="AJ441" s="28" t="s">
        <v>1721</v>
      </c>
      <c r="AK441" s="28" t="s">
        <v>1721</v>
      </c>
      <c r="AL441" s="325"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5517</v>
      </c>
      <c r="R442" s="31" t="s">
        <v>52</v>
      </c>
      <c r="S442" s="31" t="s">
        <v>4110</v>
      </c>
      <c r="T442" s="31">
        <v>1</v>
      </c>
      <c r="U442" s="31" t="s">
        <v>1719</v>
      </c>
      <c r="V442" s="31" t="s">
        <v>6979</v>
      </c>
      <c r="W442" s="31" t="s">
        <v>6980</v>
      </c>
      <c r="X442" s="211">
        <v>45763.635416666664</v>
      </c>
      <c r="Y442" s="31"/>
      <c r="Z442" s="31">
        <v>1.1000000000000001</v>
      </c>
      <c r="AA442" s="31"/>
      <c r="AB442" s="31" t="s">
        <v>1720</v>
      </c>
      <c r="AC442" s="33" t="s">
        <v>5051</v>
      </c>
      <c r="AD442" s="31" t="s">
        <v>1721</v>
      </c>
      <c r="AE442" s="31"/>
      <c r="AF442" s="31"/>
      <c r="AG442" s="31"/>
      <c r="AH442" s="31"/>
      <c r="AI442" s="31"/>
      <c r="AJ442" s="31" t="s">
        <v>1721</v>
      </c>
      <c r="AK442" s="31" t="s">
        <v>1721</v>
      </c>
      <c r="AL442" s="325"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5490</v>
      </c>
      <c r="R443" s="28" t="s">
        <v>52</v>
      </c>
      <c r="S443" s="28" t="s">
        <v>4110</v>
      </c>
      <c r="T443" s="28">
        <v>1</v>
      </c>
      <c r="U443" s="28" t="s">
        <v>1719</v>
      </c>
      <c r="V443" s="28" t="s">
        <v>6981</v>
      </c>
      <c r="W443" s="28" t="s">
        <v>6982</v>
      </c>
      <c r="X443" s="135">
        <v>45763.681250000001</v>
      </c>
      <c r="Y443" s="28"/>
      <c r="Z443" s="28">
        <v>1</v>
      </c>
      <c r="AA443" s="28"/>
      <c r="AB443" s="28" t="s">
        <v>1720</v>
      </c>
      <c r="AC443" s="29" t="s">
        <v>5051</v>
      </c>
      <c r="AD443" s="28" t="s">
        <v>1721</v>
      </c>
      <c r="AE443" s="28"/>
      <c r="AF443" s="28"/>
      <c r="AG443" s="28"/>
      <c r="AH443" s="28"/>
      <c r="AI443" s="28"/>
      <c r="AJ443" s="28" t="s">
        <v>1721</v>
      </c>
      <c r="AK443" s="28" t="s">
        <v>1721</v>
      </c>
      <c r="AL443" s="325"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5940</v>
      </c>
      <c r="R444" s="28" t="s">
        <v>52</v>
      </c>
      <c r="S444" s="28" t="s">
        <v>4110</v>
      </c>
      <c r="T444" s="28">
        <v>1</v>
      </c>
      <c r="U444" s="28" t="s">
        <v>1719</v>
      </c>
      <c r="V444" s="28" t="s">
        <v>6984</v>
      </c>
      <c r="W444" s="28" t="s">
        <v>6985</v>
      </c>
      <c r="X444" s="135">
        <v>45764.495833333334</v>
      </c>
      <c r="Y444" s="28"/>
      <c r="Z444" s="28">
        <v>1.2</v>
      </c>
      <c r="AA444" s="28"/>
      <c r="AB444" s="28" t="s">
        <v>1720</v>
      </c>
      <c r="AC444" s="30" t="s">
        <v>5051</v>
      </c>
      <c r="AD444" s="28" t="s">
        <v>1721</v>
      </c>
      <c r="AE444" s="28"/>
      <c r="AF444" s="28"/>
      <c r="AG444" s="28"/>
      <c r="AH444" s="28"/>
      <c r="AI444" s="28"/>
      <c r="AJ444" s="28" t="s">
        <v>1721</v>
      </c>
      <c r="AK444" s="28" t="s">
        <v>1721</v>
      </c>
      <c r="AL444" s="325"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6075</v>
      </c>
      <c r="R445" s="31" t="s">
        <v>52</v>
      </c>
      <c r="S445" s="31" t="s">
        <v>4110</v>
      </c>
      <c r="T445" s="31">
        <v>1</v>
      </c>
      <c r="U445" s="31" t="s">
        <v>1719</v>
      </c>
      <c r="V445" s="31" t="s">
        <v>6986</v>
      </c>
      <c r="W445" s="31" t="s">
        <v>6987</v>
      </c>
      <c r="X445" s="211">
        <v>45764.577777777777</v>
      </c>
      <c r="Y445" s="31"/>
      <c r="Z445" s="31">
        <v>1.1000000000000001</v>
      </c>
      <c r="AA445" s="31"/>
      <c r="AB445" s="31" t="s">
        <v>1720</v>
      </c>
      <c r="AC445" s="33" t="s">
        <v>5051</v>
      </c>
      <c r="AD445" s="31" t="s">
        <v>1721</v>
      </c>
      <c r="AE445" s="31"/>
      <c r="AF445" s="31"/>
      <c r="AG445" s="31"/>
      <c r="AH445" s="31"/>
      <c r="AI445" s="31"/>
      <c r="AJ445" s="31" t="s">
        <v>1721</v>
      </c>
      <c r="AK445" s="31" t="s">
        <v>1721</v>
      </c>
      <c r="AL445" s="325"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5567</v>
      </c>
      <c r="R446" s="28" t="s">
        <v>52</v>
      </c>
      <c r="S446" s="28" t="s">
        <v>4110</v>
      </c>
      <c r="T446" s="28">
        <v>1</v>
      </c>
      <c r="U446" s="28" t="s">
        <v>1719</v>
      </c>
      <c r="V446" s="28" t="s">
        <v>6988</v>
      </c>
      <c r="W446" s="28" t="s">
        <v>6989</v>
      </c>
      <c r="X446" s="135">
        <v>45765.463888888888</v>
      </c>
      <c r="Y446" s="28"/>
      <c r="Z446" s="28">
        <v>1.1000000000000001</v>
      </c>
      <c r="AA446" s="28"/>
      <c r="AB446" s="28" t="s">
        <v>1720</v>
      </c>
      <c r="AC446" s="29" t="s">
        <v>5051</v>
      </c>
      <c r="AD446" s="28" t="s">
        <v>1721</v>
      </c>
      <c r="AE446" s="28"/>
      <c r="AF446" s="28"/>
      <c r="AG446" s="28"/>
      <c r="AH446" s="28"/>
      <c r="AI446" s="28"/>
      <c r="AJ446" s="28" t="s">
        <v>1721</v>
      </c>
      <c r="AK446" s="28" t="s">
        <v>1721</v>
      </c>
      <c r="AL446" s="325"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5564</v>
      </c>
      <c r="R447" s="31" t="s">
        <v>52</v>
      </c>
      <c r="S447" s="31" t="s">
        <v>4110</v>
      </c>
      <c r="T447" s="31">
        <v>1</v>
      </c>
      <c r="U447" s="31" t="s">
        <v>1719</v>
      </c>
      <c r="V447" s="31" t="s">
        <v>6990</v>
      </c>
      <c r="W447" s="31" t="s">
        <v>6991</v>
      </c>
      <c r="X447" s="211">
        <v>45765.504166666666</v>
      </c>
      <c r="Y447" s="31"/>
      <c r="Z447" s="31">
        <v>0.9</v>
      </c>
      <c r="AA447" s="31"/>
      <c r="AB447" s="31" t="s">
        <v>1720</v>
      </c>
      <c r="AC447" s="33" t="s">
        <v>5051</v>
      </c>
      <c r="AD447" s="31" t="s">
        <v>1721</v>
      </c>
      <c r="AE447" s="31"/>
      <c r="AF447" s="31"/>
      <c r="AG447" s="31"/>
      <c r="AH447" s="31"/>
      <c r="AI447" s="31"/>
      <c r="AJ447" s="31" t="s">
        <v>1721</v>
      </c>
      <c r="AK447" s="31" t="s">
        <v>1721</v>
      </c>
      <c r="AL447" s="325"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6734</v>
      </c>
      <c r="R448" s="28" t="s">
        <v>52</v>
      </c>
      <c r="S448" s="28" t="s">
        <v>16</v>
      </c>
      <c r="T448" s="28">
        <v>1</v>
      </c>
      <c r="U448" s="28" t="s">
        <v>1719</v>
      </c>
      <c r="V448" s="28" t="s">
        <v>6992</v>
      </c>
      <c r="W448" s="28" t="s">
        <v>6993</v>
      </c>
      <c r="X448" s="135">
        <v>45765.645833333336</v>
      </c>
      <c r="Y448" s="28"/>
      <c r="Z448" s="28">
        <v>1</v>
      </c>
      <c r="AA448" s="28"/>
      <c r="AB448" s="28" t="s">
        <v>1720</v>
      </c>
      <c r="AC448" s="30" t="s">
        <v>5051</v>
      </c>
      <c r="AD448" s="28" t="s">
        <v>1721</v>
      </c>
      <c r="AE448" s="28"/>
      <c r="AF448" s="28"/>
      <c r="AG448" s="28"/>
      <c r="AH448" s="28"/>
      <c r="AI448" s="28"/>
      <c r="AJ448" s="28" t="s">
        <v>1721</v>
      </c>
      <c r="AK448" s="28" t="s">
        <v>1721</v>
      </c>
      <c r="AL448" s="325"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5807</v>
      </c>
      <c r="R449" s="31" t="s">
        <v>52</v>
      </c>
      <c r="S449" s="31" t="s">
        <v>1157</v>
      </c>
      <c r="T449" s="31">
        <v>1</v>
      </c>
      <c r="U449" s="31" t="s">
        <v>1719</v>
      </c>
      <c r="V449" s="31" t="s">
        <v>6995</v>
      </c>
      <c r="W449" s="31" t="s">
        <v>6996</v>
      </c>
      <c r="X449" s="211">
        <v>45765.642361111109</v>
      </c>
      <c r="Y449" s="31"/>
      <c r="Z449" s="31">
        <v>0.3</v>
      </c>
      <c r="AA449" s="31"/>
      <c r="AB449" s="31" t="s">
        <v>1720</v>
      </c>
      <c r="AC449" s="33" t="s">
        <v>5109</v>
      </c>
      <c r="AD449" s="31" t="s">
        <v>1721</v>
      </c>
      <c r="AE449" s="31"/>
      <c r="AF449" s="31"/>
      <c r="AG449" s="31"/>
      <c r="AH449" s="31"/>
      <c r="AI449" s="31"/>
      <c r="AJ449" s="31" t="s">
        <v>1721</v>
      </c>
      <c r="AK449" s="31" t="s">
        <v>1721</v>
      </c>
      <c r="AL449" s="325"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5496</v>
      </c>
      <c r="R450" s="28" t="s">
        <v>52</v>
      </c>
      <c r="S450" s="28" t="s">
        <v>16</v>
      </c>
      <c r="T450" s="28">
        <v>1</v>
      </c>
      <c r="U450" s="28" t="s">
        <v>1719</v>
      </c>
      <c r="V450" s="28" t="s">
        <v>6997</v>
      </c>
      <c r="W450" s="28" t="s">
        <v>6994</v>
      </c>
      <c r="X450" s="135">
        <v>45765.677083333336</v>
      </c>
      <c r="Y450" s="28"/>
      <c r="Z450" s="28">
        <v>0.8</v>
      </c>
      <c r="AA450" s="28"/>
      <c r="AB450" s="28" t="s">
        <v>1720</v>
      </c>
      <c r="AC450" s="30" t="s">
        <v>5051</v>
      </c>
      <c r="AD450" s="28" t="s">
        <v>1721</v>
      </c>
      <c r="AE450" s="28"/>
      <c r="AF450" s="28"/>
      <c r="AG450" s="28"/>
      <c r="AH450" s="28"/>
      <c r="AI450" s="28"/>
      <c r="AJ450" s="28" t="s">
        <v>1721</v>
      </c>
      <c r="AK450" s="28" t="s">
        <v>1721</v>
      </c>
      <c r="AL450" s="325"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5509</v>
      </c>
      <c r="R451" s="31" t="s">
        <v>52</v>
      </c>
      <c r="S451" s="31" t="s">
        <v>1157</v>
      </c>
      <c r="T451" s="31">
        <v>1</v>
      </c>
      <c r="U451" s="31" t="s">
        <v>1719</v>
      </c>
      <c r="V451" s="31" t="s">
        <v>6998</v>
      </c>
      <c r="W451" s="31" t="s">
        <v>6999</v>
      </c>
      <c r="X451" s="211">
        <v>45765.677083333336</v>
      </c>
      <c r="Y451" s="31"/>
      <c r="Z451" s="31">
        <v>0.7</v>
      </c>
      <c r="AA451" s="31"/>
      <c r="AB451" s="31" t="s">
        <v>1720</v>
      </c>
      <c r="AC451" s="32" t="s">
        <v>5051</v>
      </c>
      <c r="AD451" s="31" t="s">
        <v>1721</v>
      </c>
      <c r="AE451" s="31"/>
      <c r="AF451" s="31"/>
      <c r="AG451" s="31"/>
      <c r="AH451" s="31"/>
      <c r="AI451" s="31"/>
      <c r="AJ451" s="31" t="s">
        <v>1721</v>
      </c>
      <c r="AK451" s="31" t="s">
        <v>1721</v>
      </c>
      <c r="AL451" s="325" t="e">
        <f t="shared" si="18"/>
        <v>#VALUE!</v>
      </c>
      <c r="AM451"/>
    </row>
    <row r="452" spans="1:39" s="27" customFormat="1" ht="21.6" customHeight="1">
      <c r="A452" s="28">
        <v>87</v>
      </c>
      <c r="B452" s="28" t="s">
        <v>5033</v>
      </c>
      <c r="C452" s="28">
        <v>2025042517</v>
      </c>
      <c r="D452" s="28" t="s">
        <v>7000</v>
      </c>
      <c r="E452" s="28" t="s">
        <v>5035</v>
      </c>
      <c r="F452" s="28">
        <v>4845</v>
      </c>
      <c r="G452" s="28" t="s">
        <v>541</v>
      </c>
      <c r="H452" s="28" t="s">
        <v>3325</v>
      </c>
      <c r="I452" s="28" t="s">
        <v>7001</v>
      </c>
      <c r="J452" s="28" t="s">
        <v>5575</v>
      </c>
      <c r="K452" s="28" t="s">
        <v>5451</v>
      </c>
      <c r="L452" s="28" t="s">
        <v>5068</v>
      </c>
      <c r="M452" s="29" t="s">
        <v>1723</v>
      </c>
      <c r="N452" s="28">
        <v>2302</v>
      </c>
      <c r="O452" s="29" t="s">
        <v>5282</v>
      </c>
      <c r="P452" s="30" t="s">
        <v>7002</v>
      </c>
      <c r="Q452" s="28" t="s">
        <v>5774</v>
      </c>
      <c r="R452" s="28" t="s">
        <v>52</v>
      </c>
      <c r="S452" s="28" t="s">
        <v>4110</v>
      </c>
      <c r="T452" s="28">
        <v>1</v>
      </c>
      <c r="U452" s="28" t="s">
        <v>1719</v>
      </c>
      <c r="V452" s="28" t="s">
        <v>7003</v>
      </c>
      <c r="W452" s="28" t="s">
        <v>7004</v>
      </c>
      <c r="X452" s="135">
        <v>45769.500694444447</v>
      </c>
      <c r="Y452" s="28" t="s">
        <v>7005</v>
      </c>
      <c r="Z452" s="28">
        <v>0.5</v>
      </c>
      <c r="AA452" s="28"/>
      <c r="AB452" s="28" t="s">
        <v>1720</v>
      </c>
      <c r="AC452" s="30" t="s">
        <v>7006</v>
      </c>
      <c r="AD452" s="28"/>
      <c r="AE452" s="28"/>
      <c r="AF452" s="28"/>
      <c r="AG452" s="28"/>
      <c r="AH452" s="28"/>
      <c r="AI452" s="28"/>
      <c r="AJ452" s="28"/>
      <c r="AK452" s="28" t="s">
        <v>1721</v>
      </c>
      <c r="AL452" s="325">
        <f t="shared" ref="AL452:AL465" si="19">DATEVALUE(TEXT(I452, "yyyy/mm/dd"))</f>
        <v>45766</v>
      </c>
      <c r="AM452"/>
    </row>
    <row r="453" spans="1:39" s="27" customFormat="1" ht="21.6" customHeight="1">
      <c r="A453" s="31">
        <v>88</v>
      </c>
      <c r="B453" s="31" t="s">
        <v>5033</v>
      </c>
      <c r="C453" s="31">
        <v>2025042518</v>
      </c>
      <c r="D453" s="31" t="s">
        <v>7007</v>
      </c>
      <c r="E453" s="31" t="s">
        <v>5035</v>
      </c>
      <c r="F453" s="31">
        <v>4046</v>
      </c>
      <c r="G453" s="31" t="s">
        <v>295</v>
      </c>
      <c r="H453" s="31" t="s">
        <v>1722</v>
      </c>
      <c r="I453" s="31" t="s">
        <v>7008</v>
      </c>
      <c r="J453" s="31" t="s">
        <v>5575</v>
      </c>
      <c r="K453" s="31" t="s">
        <v>5067</v>
      </c>
      <c r="L453" s="31" t="s">
        <v>5040</v>
      </c>
      <c r="M453" s="32" t="s">
        <v>4057</v>
      </c>
      <c r="N453" s="31">
        <v>2501</v>
      </c>
      <c r="O453" s="32" t="s">
        <v>5041</v>
      </c>
      <c r="P453" s="33" t="s">
        <v>7009</v>
      </c>
      <c r="Q453" s="31" t="s">
        <v>6710</v>
      </c>
      <c r="R453" s="31" t="s">
        <v>52</v>
      </c>
      <c r="S453" s="31" t="s">
        <v>1157</v>
      </c>
      <c r="T453" s="31">
        <v>1</v>
      </c>
      <c r="U453" s="31" t="s">
        <v>1719</v>
      </c>
      <c r="V453" s="31" t="s">
        <v>7010</v>
      </c>
      <c r="W453" s="31" t="s">
        <v>7011</v>
      </c>
      <c r="X453" s="211">
        <v>45769.472222222219</v>
      </c>
      <c r="Y453" s="31" t="s">
        <v>7005</v>
      </c>
      <c r="Z453" s="31">
        <v>0.1</v>
      </c>
      <c r="AA453" s="31"/>
      <c r="AB453" s="31" t="s">
        <v>1720</v>
      </c>
      <c r="AC453" s="33" t="s">
        <v>7012</v>
      </c>
      <c r="AD453" s="31"/>
      <c r="AE453" s="31"/>
      <c r="AF453" s="31"/>
      <c r="AG453" s="31"/>
      <c r="AH453" s="31"/>
      <c r="AI453" s="31"/>
      <c r="AJ453" s="31"/>
      <c r="AK453" s="31" t="s">
        <v>1721</v>
      </c>
      <c r="AL453" s="325">
        <f t="shared" si="19"/>
        <v>45766</v>
      </c>
      <c r="AM453"/>
    </row>
    <row r="454" spans="1:39" s="27" customFormat="1" ht="21.6" customHeight="1">
      <c r="A454" s="28">
        <v>89</v>
      </c>
      <c r="B454" s="28" t="s">
        <v>5033</v>
      </c>
      <c r="C454" s="28">
        <v>2025042547</v>
      </c>
      <c r="D454" s="28" t="s">
        <v>7013</v>
      </c>
      <c r="E454" s="28" t="s">
        <v>5035</v>
      </c>
      <c r="F454" s="28">
        <v>4528</v>
      </c>
      <c r="G454" s="28" t="s">
        <v>427</v>
      </c>
      <c r="H454" s="28" t="s">
        <v>3319</v>
      </c>
      <c r="I454" s="28" t="s">
        <v>7014</v>
      </c>
      <c r="J454" s="28" t="s">
        <v>5038</v>
      </c>
      <c r="K454" s="28" t="s">
        <v>5451</v>
      </c>
      <c r="L454" s="28" t="s">
        <v>6586</v>
      </c>
      <c r="M454" s="29" t="s">
        <v>6587</v>
      </c>
      <c r="N454" s="28">
        <v>2901</v>
      </c>
      <c r="O454" s="29" t="s">
        <v>5273</v>
      </c>
      <c r="P454" s="30" t="s">
        <v>7015</v>
      </c>
      <c r="Q454" s="28" t="s">
        <v>5171</v>
      </c>
      <c r="R454" s="28" t="s">
        <v>52</v>
      </c>
      <c r="S454" s="28" t="s">
        <v>4110</v>
      </c>
      <c r="T454" s="28">
        <v>1</v>
      </c>
      <c r="U454" s="28" t="s">
        <v>1719</v>
      </c>
      <c r="V454" s="28" t="s">
        <v>7016</v>
      </c>
      <c r="W454" s="28" t="s">
        <v>7017</v>
      </c>
      <c r="X454" s="135">
        <v>45769.44027777778</v>
      </c>
      <c r="Y454" s="28" t="s">
        <v>7018</v>
      </c>
      <c r="Z454" s="28">
        <v>0.5</v>
      </c>
      <c r="AA454" s="28"/>
      <c r="AB454" s="28" t="s">
        <v>1720</v>
      </c>
      <c r="AC454" s="30" t="s">
        <v>7019</v>
      </c>
      <c r="AD454" s="28"/>
      <c r="AE454" s="28"/>
      <c r="AF454" s="28"/>
      <c r="AG454" s="28"/>
      <c r="AH454" s="28"/>
      <c r="AI454" s="28"/>
      <c r="AJ454" s="28"/>
      <c r="AK454" s="28" t="s">
        <v>1721</v>
      </c>
      <c r="AL454" s="325">
        <f t="shared" si="19"/>
        <v>45768</v>
      </c>
      <c r="AM454"/>
    </row>
    <row r="455" spans="1:39" s="27" customFormat="1" ht="21.6" customHeight="1">
      <c r="A455" s="31">
        <v>90</v>
      </c>
      <c r="B455" s="31" t="s">
        <v>5033</v>
      </c>
      <c r="C455" s="31">
        <v>2025042676</v>
      </c>
      <c r="D455" s="31" t="s">
        <v>7020</v>
      </c>
      <c r="E455" s="31" t="s">
        <v>5035</v>
      </c>
      <c r="F455" s="31">
        <v>2154</v>
      </c>
      <c r="G455" s="31" t="s">
        <v>67</v>
      </c>
      <c r="H455" s="31" t="s">
        <v>1722</v>
      </c>
      <c r="I455" s="31" t="s">
        <v>7021</v>
      </c>
      <c r="J455" s="31" t="s">
        <v>5038</v>
      </c>
      <c r="K455" s="31" t="s">
        <v>5039</v>
      </c>
      <c r="L455" s="31" t="s">
        <v>5068</v>
      </c>
      <c r="M455" s="32" t="s">
        <v>1723</v>
      </c>
      <c r="N455" s="31">
        <v>2308</v>
      </c>
      <c r="O455" s="32" t="s">
        <v>5606</v>
      </c>
      <c r="P455" s="33" t="s">
        <v>7022</v>
      </c>
      <c r="Q455" s="31" t="s">
        <v>6830</v>
      </c>
      <c r="R455" s="31" t="s">
        <v>52</v>
      </c>
      <c r="S455" s="31" t="s">
        <v>1157</v>
      </c>
      <c r="T455" s="31">
        <v>1</v>
      </c>
      <c r="U455" s="31" t="s">
        <v>1719</v>
      </c>
      <c r="V455" s="31" t="s">
        <v>7023</v>
      </c>
      <c r="W455" s="31" t="s">
        <v>7024</v>
      </c>
      <c r="X455" s="211">
        <v>45769.570138888892</v>
      </c>
      <c r="Y455" s="31" t="s">
        <v>7025</v>
      </c>
      <c r="Z455" s="31">
        <v>1.9</v>
      </c>
      <c r="AA455" s="31"/>
      <c r="AB455" s="31" t="s">
        <v>1720</v>
      </c>
      <c r="AC455" s="33" t="s">
        <v>7026</v>
      </c>
      <c r="AD455" s="31"/>
      <c r="AE455" s="31"/>
      <c r="AF455" s="31"/>
      <c r="AG455" s="31"/>
      <c r="AH455" s="31"/>
      <c r="AI455" s="31"/>
      <c r="AJ455" s="31"/>
      <c r="AK455" s="31" t="s">
        <v>1721</v>
      </c>
      <c r="AL455" s="325">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5934</v>
      </c>
      <c r="R456" s="28" t="s">
        <v>52</v>
      </c>
      <c r="S456" s="28" t="s">
        <v>16</v>
      </c>
      <c r="T456" s="28">
        <v>1</v>
      </c>
      <c r="U456" s="28" t="s">
        <v>1719</v>
      </c>
      <c r="V456" s="28" t="s">
        <v>7027</v>
      </c>
      <c r="W456" s="28" t="s">
        <v>7028</v>
      </c>
      <c r="X456" s="135">
        <v>45768.708333333336</v>
      </c>
      <c r="Y456" s="28"/>
      <c r="Z456" s="28">
        <v>0.5</v>
      </c>
      <c r="AA456" s="28"/>
      <c r="AB456" s="28" t="s">
        <v>1720</v>
      </c>
      <c r="AC456" s="30" t="s">
        <v>5051</v>
      </c>
      <c r="AD456" s="28" t="s">
        <v>1721</v>
      </c>
      <c r="AE456" s="28"/>
      <c r="AF456" s="28"/>
      <c r="AG456" s="28"/>
      <c r="AH456" s="28"/>
      <c r="AI456" s="28"/>
      <c r="AJ456" s="28" t="s">
        <v>1721</v>
      </c>
      <c r="AK456" s="28" t="s">
        <v>1721</v>
      </c>
      <c r="AL456" s="325"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5934</v>
      </c>
      <c r="R457" s="31" t="s">
        <v>52</v>
      </c>
      <c r="S457" s="31" t="s">
        <v>16</v>
      </c>
      <c r="T457" s="31">
        <v>1</v>
      </c>
      <c r="U457" s="31" t="s">
        <v>1719</v>
      </c>
      <c r="V457" s="31" t="s">
        <v>7029</v>
      </c>
      <c r="W457" s="31" t="s">
        <v>7030</v>
      </c>
      <c r="X457" s="211">
        <v>45768.701388888891</v>
      </c>
      <c r="Y457" s="31"/>
      <c r="Z457" s="31">
        <v>0.7</v>
      </c>
      <c r="AA457" s="31"/>
      <c r="AB457" s="31" t="s">
        <v>1720</v>
      </c>
      <c r="AC457" s="33" t="s">
        <v>7031</v>
      </c>
      <c r="AD457" s="31"/>
      <c r="AE457" s="31"/>
      <c r="AF457" s="31"/>
      <c r="AG457" s="31"/>
      <c r="AH457" s="31"/>
      <c r="AI457" s="31"/>
      <c r="AJ457" s="31" t="s">
        <v>1721</v>
      </c>
      <c r="AK457" s="31" t="s">
        <v>1721</v>
      </c>
      <c r="AL457" s="325" t="e">
        <f t="shared" si="19"/>
        <v>#VALUE!</v>
      </c>
      <c r="AM457"/>
    </row>
    <row r="458" spans="1:39" s="27" customFormat="1" ht="21.6" customHeight="1">
      <c r="A458" s="28">
        <v>93</v>
      </c>
      <c r="B458" s="28" t="s">
        <v>1724</v>
      </c>
      <c r="C458" s="28">
        <v>2025042738</v>
      </c>
      <c r="D458" s="28"/>
      <c r="E458" s="28"/>
      <c r="F458" s="28">
        <v>5341</v>
      </c>
      <c r="G458" s="28" t="s">
        <v>7032</v>
      </c>
      <c r="H458" s="28" t="s">
        <v>1725</v>
      </c>
      <c r="I458" s="28"/>
      <c r="J458" s="28"/>
      <c r="K458" s="28"/>
      <c r="L458" s="28"/>
      <c r="M458" s="29"/>
      <c r="N458" s="28"/>
      <c r="O458" s="29"/>
      <c r="P458" s="30"/>
      <c r="Q458" s="28" t="s">
        <v>7033</v>
      </c>
      <c r="R458" s="28" t="s">
        <v>52</v>
      </c>
      <c r="S458" s="28" t="s">
        <v>16</v>
      </c>
      <c r="T458" s="28">
        <v>1</v>
      </c>
      <c r="U458" s="28" t="s">
        <v>1719</v>
      </c>
      <c r="V458" s="28" t="s">
        <v>7034</v>
      </c>
      <c r="W458" s="28" t="s">
        <v>7035</v>
      </c>
      <c r="X458" s="135">
        <v>45768.625</v>
      </c>
      <c r="Y458" s="28"/>
      <c r="Z458" s="28">
        <v>5.5</v>
      </c>
      <c r="AA458" s="28"/>
      <c r="AB458" s="28" t="s">
        <v>1720</v>
      </c>
      <c r="AC458" s="30" t="s">
        <v>7036</v>
      </c>
      <c r="AD458" s="28"/>
      <c r="AE458" s="28"/>
      <c r="AF458" s="28"/>
      <c r="AG458" s="28"/>
      <c r="AH458" s="28"/>
      <c r="AI458" s="28"/>
      <c r="AJ458" s="28" t="s">
        <v>1721</v>
      </c>
      <c r="AK458" s="28" t="s">
        <v>1721</v>
      </c>
      <c r="AL458" s="325" t="e">
        <f t="shared" si="19"/>
        <v>#VALUE!</v>
      </c>
      <c r="AM458"/>
    </row>
    <row r="459" spans="1:39" s="27" customFormat="1" ht="21.6" customHeight="1">
      <c r="A459" s="31">
        <v>94</v>
      </c>
      <c r="B459" s="31" t="s">
        <v>1724</v>
      </c>
      <c r="C459" s="31">
        <v>2025042758</v>
      </c>
      <c r="D459" s="31"/>
      <c r="E459" s="31"/>
      <c r="F459" s="31">
        <v>5341</v>
      </c>
      <c r="G459" s="31" t="s">
        <v>7032</v>
      </c>
      <c r="H459" s="31" t="s">
        <v>1725</v>
      </c>
      <c r="I459" s="31"/>
      <c r="J459" s="31"/>
      <c r="K459" s="31"/>
      <c r="L459" s="31"/>
      <c r="M459" s="32"/>
      <c r="N459" s="31"/>
      <c r="O459" s="32"/>
      <c r="P459" s="33"/>
      <c r="Q459" s="31" t="s">
        <v>7033</v>
      </c>
      <c r="R459" s="31" t="s">
        <v>52</v>
      </c>
      <c r="S459" s="31" t="s">
        <v>4110</v>
      </c>
      <c r="T459" s="31">
        <v>1</v>
      </c>
      <c r="U459" s="31" t="s">
        <v>1719</v>
      </c>
      <c r="V459" s="31" t="s">
        <v>7037</v>
      </c>
      <c r="W459" s="31" t="s">
        <v>7038</v>
      </c>
      <c r="X459" s="211">
        <v>45768.82916666667</v>
      </c>
      <c r="Y459" s="31"/>
      <c r="Z459" s="31">
        <v>8.9</v>
      </c>
      <c r="AA459" s="31"/>
      <c r="AB459" s="31" t="s">
        <v>1720</v>
      </c>
      <c r="AC459" s="33" t="s">
        <v>7039</v>
      </c>
      <c r="AD459" s="31"/>
      <c r="AE459" s="31" t="s">
        <v>1721</v>
      </c>
      <c r="AF459" s="31"/>
      <c r="AG459" s="31"/>
      <c r="AH459" s="31"/>
      <c r="AI459" s="31"/>
      <c r="AJ459" s="31"/>
      <c r="AK459" s="31" t="s">
        <v>1721</v>
      </c>
      <c r="AL459" s="325" t="e">
        <f t="shared" si="19"/>
        <v>#VALUE!</v>
      </c>
      <c r="AM459"/>
    </row>
    <row r="460" spans="1:39" s="27" customFormat="1" ht="21.6" customHeight="1">
      <c r="A460" s="28">
        <v>95</v>
      </c>
      <c r="B460" s="28" t="s">
        <v>5033</v>
      </c>
      <c r="C460" s="28">
        <v>2025042760</v>
      </c>
      <c r="D460" s="28" t="s">
        <v>7040</v>
      </c>
      <c r="E460" s="28" t="s">
        <v>5035</v>
      </c>
      <c r="F460" s="28">
        <v>4406</v>
      </c>
      <c r="G460" s="28" t="s">
        <v>388</v>
      </c>
      <c r="H460" s="28" t="s">
        <v>1722</v>
      </c>
      <c r="I460" s="28" t="s">
        <v>7041</v>
      </c>
      <c r="J460" s="28" t="s">
        <v>5252</v>
      </c>
      <c r="K460" s="28" t="s">
        <v>5451</v>
      </c>
      <c r="L460" s="28" t="s">
        <v>6030</v>
      </c>
      <c r="M460" s="29" t="s">
        <v>6031</v>
      </c>
      <c r="N460" s="28">
        <v>6003</v>
      </c>
      <c r="O460" s="29" t="s">
        <v>5751</v>
      </c>
      <c r="P460" s="30" t="s">
        <v>7042</v>
      </c>
      <c r="Q460" s="28" t="s">
        <v>5807</v>
      </c>
      <c r="R460" s="28" t="s">
        <v>52</v>
      </c>
      <c r="S460" s="28" t="s">
        <v>1157</v>
      </c>
      <c r="T460" s="28">
        <v>1</v>
      </c>
      <c r="U460" s="28" t="s">
        <v>1719</v>
      </c>
      <c r="V460" s="28" t="s">
        <v>7043</v>
      </c>
      <c r="W460" s="28" t="s">
        <v>7044</v>
      </c>
      <c r="X460" s="135">
        <v>45769.695138888892</v>
      </c>
      <c r="Y460" s="28" t="s">
        <v>7045</v>
      </c>
      <c r="Z460" s="28">
        <v>0.4</v>
      </c>
      <c r="AA460" s="28"/>
      <c r="AB460" s="28" t="s">
        <v>1720</v>
      </c>
      <c r="AC460" s="30" t="s">
        <v>7046</v>
      </c>
      <c r="AD460" s="28"/>
      <c r="AE460" s="28"/>
      <c r="AF460" s="28"/>
      <c r="AG460" s="28"/>
      <c r="AH460" s="28"/>
      <c r="AI460" s="28"/>
      <c r="AJ460" s="28"/>
      <c r="AK460" s="28" t="s">
        <v>1721</v>
      </c>
      <c r="AL460" s="325">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6640</v>
      </c>
      <c r="R461" s="31" t="s">
        <v>52</v>
      </c>
      <c r="S461" s="31" t="s">
        <v>16</v>
      </c>
      <c r="T461" s="31">
        <v>1</v>
      </c>
      <c r="U461" s="31" t="s">
        <v>1719</v>
      </c>
      <c r="V461" s="31" t="s">
        <v>7047</v>
      </c>
      <c r="W461" s="31" t="s">
        <v>7048</v>
      </c>
      <c r="X461" s="211">
        <v>45769.416666666664</v>
      </c>
      <c r="Y461" s="31"/>
      <c r="Z461" s="31">
        <v>1</v>
      </c>
      <c r="AA461" s="31"/>
      <c r="AB461" s="31" t="s">
        <v>1720</v>
      </c>
      <c r="AC461" s="33" t="s">
        <v>5051</v>
      </c>
      <c r="AD461" s="31" t="s">
        <v>1721</v>
      </c>
      <c r="AE461" s="31"/>
      <c r="AF461" s="31"/>
      <c r="AG461" s="31"/>
      <c r="AH461" s="31"/>
      <c r="AI461" s="31"/>
      <c r="AJ461" s="31" t="s">
        <v>1721</v>
      </c>
      <c r="AK461" s="31" t="s">
        <v>1721</v>
      </c>
      <c r="AL461" s="325" t="e">
        <f t="shared" si="19"/>
        <v>#VALUE!</v>
      </c>
      <c r="AM461"/>
    </row>
    <row r="462" spans="1:39" s="27" customFormat="1" ht="21.6" customHeight="1">
      <c r="A462" s="28">
        <v>97</v>
      </c>
      <c r="B462" s="28" t="s">
        <v>5033</v>
      </c>
      <c r="C462" s="28">
        <v>2025042786</v>
      </c>
      <c r="D462" s="28" t="s">
        <v>7049</v>
      </c>
      <c r="E462" s="28" t="s">
        <v>5035</v>
      </c>
      <c r="F462" s="28">
        <v>3416</v>
      </c>
      <c r="G462" s="28" t="s">
        <v>4043</v>
      </c>
      <c r="H462" s="28" t="s">
        <v>1722</v>
      </c>
      <c r="I462" s="28" t="s">
        <v>7050</v>
      </c>
      <c r="J462" s="28" t="s">
        <v>5252</v>
      </c>
      <c r="K462" s="28" t="s">
        <v>5067</v>
      </c>
      <c r="L462" s="28" t="s">
        <v>6030</v>
      </c>
      <c r="M462" s="29" t="s">
        <v>6031</v>
      </c>
      <c r="N462" s="28">
        <v>6003</v>
      </c>
      <c r="O462" s="29" t="s">
        <v>5751</v>
      </c>
      <c r="P462" s="30" t="s">
        <v>7051</v>
      </c>
      <c r="Q462" s="28" t="s">
        <v>6850</v>
      </c>
      <c r="R462" s="28" t="s">
        <v>52</v>
      </c>
      <c r="S462" s="28" t="s">
        <v>1157</v>
      </c>
      <c r="T462" s="28">
        <v>1</v>
      </c>
      <c r="U462" s="28" t="s">
        <v>1719</v>
      </c>
      <c r="V462" s="28" t="s">
        <v>7052</v>
      </c>
      <c r="W462" s="28" t="s">
        <v>7053</v>
      </c>
      <c r="X462" s="135">
        <v>45769.51458333333</v>
      </c>
      <c r="Y462" s="28" t="s">
        <v>7054</v>
      </c>
      <c r="Z462" s="28">
        <v>0.5</v>
      </c>
      <c r="AA462" s="28"/>
      <c r="AB462" s="28" t="s">
        <v>5562</v>
      </c>
      <c r="AC462" s="30" t="s">
        <v>5389</v>
      </c>
      <c r="AD462" s="28"/>
      <c r="AE462" s="28"/>
      <c r="AF462" s="28"/>
      <c r="AG462" s="28"/>
      <c r="AH462" s="28"/>
      <c r="AI462" s="28"/>
      <c r="AJ462" s="28"/>
      <c r="AK462" s="28" t="s">
        <v>1721</v>
      </c>
      <c r="AL462" s="325">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5774</v>
      </c>
      <c r="R463" s="31" t="s">
        <v>52</v>
      </c>
      <c r="S463" s="31" t="s">
        <v>4110</v>
      </c>
      <c r="T463" s="31">
        <v>1</v>
      </c>
      <c r="U463" s="31" t="s">
        <v>1719</v>
      </c>
      <c r="V463" s="31" t="s">
        <v>7055</v>
      </c>
      <c r="W463" s="31" t="s">
        <v>7056</v>
      </c>
      <c r="X463" s="211">
        <v>45769.544444444444</v>
      </c>
      <c r="Y463" s="31"/>
      <c r="Z463" s="31">
        <v>1.1000000000000001</v>
      </c>
      <c r="AA463" s="31"/>
      <c r="AB463" s="31" t="s">
        <v>1720</v>
      </c>
      <c r="AC463" s="33" t="s">
        <v>5051</v>
      </c>
      <c r="AD463" s="31" t="s">
        <v>1721</v>
      </c>
      <c r="AE463" s="31"/>
      <c r="AF463" s="31"/>
      <c r="AG463" s="31"/>
      <c r="AH463" s="31"/>
      <c r="AI463" s="31"/>
      <c r="AJ463" s="31" t="s">
        <v>1721</v>
      </c>
      <c r="AK463" s="31" t="s">
        <v>1721</v>
      </c>
      <c r="AL463" s="325"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6830</v>
      </c>
      <c r="R464" s="28" t="s">
        <v>52</v>
      </c>
      <c r="S464" s="28" t="s">
        <v>1157</v>
      </c>
      <c r="T464" s="28">
        <v>1</v>
      </c>
      <c r="U464" s="28" t="s">
        <v>1719</v>
      </c>
      <c r="V464" s="28" t="s">
        <v>7057</v>
      </c>
      <c r="W464" s="28" t="s">
        <v>7024</v>
      </c>
      <c r="X464" s="135">
        <v>45769.570138888892</v>
      </c>
      <c r="Y464" s="28"/>
      <c r="Z464" s="28">
        <v>1.9</v>
      </c>
      <c r="AA464" s="28"/>
      <c r="AB464" s="28" t="s">
        <v>1720</v>
      </c>
      <c r="AC464" s="30" t="s">
        <v>5109</v>
      </c>
      <c r="AD464" s="28" t="s">
        <v>1721</v>
      </c>
      <c r="AE464" s="28"/>
      <c r="AF464" s="28"/>
      <c r="AG464" s="28"/>
      <c r="AH464" s="28"/>
      <c r="AI464" s="28"/>
      <c r="AJ464" s="28" t="s">
        <v>1721</v>
      </c>
      <c r="AK464" s="28" t="s">
        <v>1721</v>
      </c>
      <c r="AL464" s="325" t="e">
        <f t="shared" si="19"/>
        <v>#VALUE!</v>
      </c>
      <c r="AM464"/>
    </row>
    <row r="465" spans="1:39" s="27" customFormat="1" ht="21.6" customHeight="1">
      <c r="A465" s="31">
        <v>100</v>
      </c>
      <c r="B465" s="31" t="s">
        <v>5033</v>
      </c>
      <c r="C465" s="31">
        <v>2025042812</v>
      </c>
      <c r="D465" s="31" t="s">
        <v>7058</v>
      </c>
      <c r="E465" s="31" t="s">
        <v>5035</v>
      </c>
      <c r="F465" s="31">
        <v>4145</v>
      </c>
      <c r="G465" s="31" t="s">
        <v>313</v>
      </c>
      <c r="H465" s="31" t="s">
        <v>1722</v>
      </c>
      <c r="I465" s="31" t="s">
        <v>7059</v>
      </c>
      <c r="J465" s="31" t="s">
        <v>5252</v>
      </c>
      <c r="K465" s="31" t="s">
        <v>5039</v>
      </c>
      <c r="L465" s="31" t="s">
        <v>5068</v>
      </c>
      <c r="M465" s="32" t="s">
        <v>1723</v>
      </c>
      <c r="N465" s="31">
        <v>2307</v>
      </c>
      <c r="O465" s="32" t="s">
        <v>5383</v>
      </c>
      <c r="P465" s="32" t="s">
        <v>7060</v>
      </c>
      <c r="Q465" s="31" t="s">
        <v>5385</v>
      </c>
      <c r="R465" s="31" t="s">
        <v>52</v>
      </c>
      <c r="S465" s="31" t="s">
        <v>1157</v>
      </c>
      <c r="T465" s="31">
        <v>1</v>
      </c>
      <c r="U465" s="31" t="s">
        <v>1719</v>
      </c>
      <c r="V465" s="31" t="s">
        <v>7061</v>
      </c>
      <c r="W465" s="31" t="s">
        <v>7062</v>
      </c>
      <c r="X465" s="211">
        <v>45769.684027777781</v>
      </c>
      <c r="Y465" s="31" t="s">
        <v>7063</v>
      </c>
      <c r="Z465" s="31">
        <v>0.6</v>
      </c>
      <c r="AA465" s="31"/>
      <c r="AB465" s="31" t="s">
        <v>1720</v>
      </c>
      <c r="AC465" s="32" t="s">
        <v>7064</v>
      </c>
      <c r="AD465" s="31"/>
      <c r="AE465" s="31"/>
      <c r="AF465" s="31"/>
      <c r="AG465" s="31"/>
      <c r="AH465" s="31"/>
      <c r="AI465" s="31"/>
      <c r="AJ465" s="31"/>
      <c r="AK465" s="31" t="s">
        <v>1721</v>
      </c>
      <c r="AL465" s="325">
        <f t="shared" si="19"/>
        <v>45769</v>
      </c>
      <c r="AM465"/>
    </row>
    <row r="466" spans="1:39" s="27" customFormat="1" ht="21.6" customHeight="1">
      <c r="A466" s="31">
        <v>102</v>
      </c>
      <c r="B466" s="31" t="s">
        <v>5033</v>
      </c>
      <c r="C466" s="31">
        <v>2025042985</v>
      </c>
      <c r="D466" s="31" t="s">
        <v>7065</v>
      </c>
      <c r="E466" s="31" t="s">
        <v>5035</v>
      </c>
      <c r="F466" s="31">
        <v>4260</v>
      </c>
      <c r="G466" s="31" t="s">
        <v>346</v>
      </c>
      <c r="H466" s="31" t="s">
        <v>1747</v>
      </c>
      <c r="I466" s="31" t="s">
        <v>7066</v>
      </c>
      <c r="J466" s="31" t="s">
        <v>5066</v>
      </c>
      <c r="K466" s="31" t="s">
        <v>5451</v>
      </c>
      <c r="L466" s="31" t="s">
        <v>5068</v>
      </c>
      <c r="M466" s="32" t="s">
        <v>1723</v>
      </c>
      <c r="N466" s="31">
        <v>2301</v>
      </c>
      <c r="O466" s="32" t="s">
        <v>6435</v>
      </c>
      <c r="P466" s="33" t="s">
        <v>7067</v>
      </c>
      <c r="Q466" s="31" t="s">
        <v>5078</v>
      </c>
      <c r="R466" s="31" t="s">
        <v>52</v>
      </c>
      <c r="S466" s="31" t="s">
        <v>4110</v>
      </c>
      <c r="T466" s="31">
        <v>1</v>
      </c>
      <c r="U466" s="31" t="s">
        <v>1719</v>
      </c>
      <c r="V466" s="31" t="s">
        <v>7068</v>
      </c>
      <c r="W466" s="31" t="s">
        <v>7069</v>
      </c>
      <c r="X466" s="211">
        <v>45770.570833333331</v>
      </c>
      <c r="Y466" s="31" t="s">
        <v>7070</v>
      </c>
      <c r="Z466" s="31">
        <v>2.7</v>
      </c>
      <c r="AA466" s="31"/>
      <c r="AB466" s="31" t="s">
        <v>1720</v>
      </c>
      <c r="AC466" s="33" t="s">
        <v>7071</v>
      </c>
      <c r="AD466" s="31"/>
      <c r="AE466" s="31"/>
      <c r="AF466" s="31"/>
      <c r="AG466" s="31"/>
      <c r="AH466" s="31"/>
      <c r="AI466" s="31"/>
      <c r="AJ466" s="31"/>
      <c r="AK466" s="31" t="s">
        <v>1721</v>
      </c>
      <c r="AL466" s="325">
        <f t="shared" ref="AL466:AL478" si="20">DATEVALUE(TEXT(I466, "yyyy/mm/dd"))</f>
        <v>45770</v>
      </c>
      <c r="AM466"/>
    </row>
    <row r="467" spans="1:39" s="27" customFormat="1" ht="21.6" customHeight="1">
      <c r="A467" s="28">
        <v>103</v>
      </c>
      <c r="B467" s="28" t="s">
        <v>5033</v>
      </c>
      <c r="C467" s="28">
        <v>2025042987</v>
      </c>
      <c r="D467" s="28" t="s">
        <v>7072</v>
      </c>
      <c r="E467" s="28" t="s">
        <v>5035</v>
      </c>
      <c r="F467" s="28">
        <v>2535</v>
      </c>
      <c r="G467" s="28" t="s">
        <v>106</v>
      </c>
      <c r="H467" s="28" t="s">
        <v>3317</v>
      </c>
      <c r="I467" s="28" t="s">
        <v>7073</v>
      </c>
      <c r="J467" s="28" t="s">
        <v>5066</v>
      </c>
      <c r="K467" s="28" t="s">
        <v>5451</v>
      </c>
      <c r="L467" s="28" t="s">
        <v>5068</v>
      </c>
      <c r="M467" s="29" t="s">
        <v>1723</v>
      </c>
      <c r="N467" s="28">
        <v>2305</v>
      </c>
      <c r="O467" s="29" t="s">
        <v>5069</v>
      </c>
      <c r="P467" s="30" t="s">
        <v>7074</v>
      </c>
      <c r="Q467" s="28" t="s">
        <v>6899</v>
      </c>
      <c r="R467" s="28" t="s">
        <v>52</v>
      </c>
      <c r="S467" s="28" t="s">
        <v>16</v>
      </c>
      <c r="T467" s="28">
        <v>1</v>
      </c>
      <c r="U467" s="28" t="s">
        <v>1719</v>
      </c>
      <c r="V467" s="28" t="s">
        <v>7075</v>
      </c>
      <c r="W467" s="28" t="s">
        <v>7076</v>
      </c>
      <c r="X467" s="135">
        <v>45770.583333333336</v>
      </c>
      <c r="Y467" s="28" t="s">
        <v>7077</v>
      </c>
      <c r="Z467" s="28">
        <v>0.5</v>
      </c>
      <c r="AA467" s="28"/>
      <c r="AB467" s="28" t="s">
        <v>1720</v>
      </c>
      <c r="AC467" s="30" t="s">
        <v>7078</v>
      </c>
      <c r="AD467" s="28"/>
      <c r="AE467" s="28"/>
      <c r="AF467" s="28"/>
      <c r="AG467" s="28"/>
      <c r="AH467" s="28"/>
      <c r="AI467" s="28"/>
      <c r="AJ467" s="28"/>
      <c r="AK467" s="28" t="s">
        <v>1721</v>
      </c>
      <c r="AL467" s="325">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6644</v>
      </c>
      <c r="R468" s="31" t="s">
        <v>52</v>
      </c>
      <c r="S468" s="31" t="s">
        <v>4110</v>
      </c>
      <c r="T468" s="31">
        <v>1</v>
      </c>
      <c r="U468" s="31" t="s">
        <v>1719</v>
      </c>
      <c r="V468" s="31" t="s">
        <v>7079</v>
      </c>
      <c r="W468" s="31" t="s">
        <v>7080</v>
      </c>
      <c r="X468" s="211">
        <v>45770.666666666664</v>
      </c>
      <c r="Y468" s="31"/>
      <c r="Z468" s="31">
        <v>0.3</v>
      </c>
      <c r="AA468" s="31"/>
      <c r="AB468" s="31" t="s">
        <v>1720</v>
      </c>
      <c r="AC468" s="33" t="s">
        <v>5109</v>
      </c>
      <c r="AD468" s="31" t="s">
        <v>1721</v>
      </c>
      <c r="AE468" s="31"/>
      <c r="AF468" s="31"/>
      <c r="AG468" s="31"/>
      <c r="AH468" s="31"/>
      <c r="AI468" s="31"/>
      <c r="AJ468" s="31"/>
      <c r="AK468" s="31" t="s">
        <v>1721</v>
      </c>
      <c r="AL468" s="325" t="e">
        <f t="shared" si="20"/>
        <v>#VALUE!</v>
      </c>
      <c r="AM468"/>
    </row>
    <row r="469" spans="1:39" s="27" customFormat="1" ht="21.6" customHeight="1">
      <c r="A469" s="28">
        <v>105</v>
      </c>
      <c r="B469" s="28" t="s">
        <v>5033</v>
      </c>
      <c r="C469" s="28">
        <v>2025043182</v>
      </c>
      <c r="D469" s="28" t="s">
        <v>7081</v>
      </c>
      <c r="E469" s="28" t="s">
        <v>5035</v>
      </c>
      <c r="F469" s="28">
        <v>2267</v>
      </c>
      <c r="G469" s="28" t="s">
        <v>79</v>
      </c>
      <c r="H469" s="28" t="s">
        <v>3308</v>
      </c>
      <c r="I469" s="28" t="s">
        <v>7082</v>
      </c>
      <c r="J469" s="28" t="s">
        <v>5096</v>
      </c>
      <c r="K469" s="28" t="s">
        <v>5039</v>
      </c>
      <c r="L469" s="28" t="s">
        <v>5068</v>
      </c>
      <c r="M469" s="29" t="s">
        <v>1723</v>
      </c>
      <c r="N469" s="28">
        <v>2305</v>
      </c>
      <c r="O469" s="29" t="s">
        <v>5069</v>
      </c>
      <c r="P469" s="30" t="s">
        <v>7083</v>
      </c>
      <c r="Q469" s="28" t="s">
        <v>5768</v>
      </c>
      <c r="R469" s="28" t="s">
        <v>52</v>
      </c>
      <c r="S469" s="28" t="s">
        <v>4110</v>
      </c>
      <c r="T469" s="28">
        <v>1</v>
      </c>
      <c r="U469" s="28" t="s">
        <v>1719</v>
      </c>
      <c r="V469" s="28" t="s">
        <v>7084</v>
      </c>
      <c r="W469" s="28" t="s">
        <v>7085</v>
      </c>
      <c r="X469" s="135">
        <v>45772.566666666666</v>
      </c>
      <c r="Y469" s="28" t="s">
        <v>7086</v>
      </c>
      <c r="Z469" s="28">
        <v>0.5</v>
      </c>
      <c r="AA469" s="28"/>
      <c r="AB469" s="28" t="s">
        <v>1720</v>
      </c>
      <c r="AC469" s="30" t="s">
        <v>7087</v>
      </c>
      <c r="AD469" s="28"/>
      <c r="AE469" s="28"/>
      <c r="AF469" s="28"/>
      <c r="AG469" s="28"/>
      <c r="AH469" s="28"/>
      <c r="AI469" s="28"/>
      <c r="AJ469" s="28"/>
      <c r="AK469" s="28" t="s">
        <v>1721</v>
      </c>
      <c r="AL469" s="325">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5877</v>
      </c>
      <c r="R470" s="31" t="s">
        <v>52</v>
      </c>
      <c r="S470" s="31" t="s">
        <v>4110</v>
      </c>
      <c r="T470" s="31">
        <v>1</v>
      </c>
      <c r="U470" s="31" t="s">
        <v>1719</v>
      </c>
      <c r="V470" s="31" t="s">
        <v>7088</v>
      </c>
      <c r="W470" s="31" t="s">
        <v>7089</v>
      </c>
      <c r="X470" s="211">
        <v>45771.614583333336</v>
      </c>
      <c r="Y470" s="31"/>
      <c r="Z470" s="31">
        <v>1</v>
      </c>
      <c r="AA470" s="31"/>
      <c r="AB470" s="31" t="s">
        <v>1720</v>
      </c>
      <c r="AC470" s="33" t="s">
        <v>5051</v>
      </c>
      <c r="AD470" s="31" t="s">
        <v>1721</v>
      </c>
      <c r="AE470" s="31"/>
      <c r="AF470" s="31"/>
      <c r="AG470" s="31"/>
      <c r="AH470" s="31"/>
      <c r="AI470" s="31"/>
      <c r="AJ470" s="31" t="s">
        <v>1721</v>
      </c>
      <c r="AK470" s="31" t="s">
        <v>1721</v>
      </c>
      <c r="AL470" s="325"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5880</v>
      </c>
      <c r="R471" s="28" t="s">
        <v>52</v>
      </c>
      <c r="S471" s="28" t="s">
        <v>4110</v>
      </c>
      <c r="T471" s="28">
        <v>1</v>
      </c>
      <c r="U471" s="28" t="s">
        <v>1719</v>
      </c>
      <c r="V471" s="28" t="s">
        <v>7090</v>
      </c>
      <c r="W471" s="28" t="s">
        <v>7091</v>
      </c>
      <c r="X471" s="135">
        <v>45771.677777777775</v>
      </c>
      <c r="Y471" s="28"/>
      <c r="Z471" s="28">
        <v>1.1000000000000001</v>
      </c>
      <c r="AA471" s="28"/>
      <c r="AB471" s="28" t="s">
        <v>1720</v>
      </c>
      <c r="AC471" s="30" t="s">
        <v>5051</v>
      </c>
      <c r="AD471" s="28" t="s">
        <v>1721</v>
      </c>
      <c r="AE471" s="28"/>
      <c r="AF471" s="28"/>
      <c r="AG471" s="28"/>
      <c r="AH471" s="28"/>
      <c r="AI471" s="28"/>
      <c r="AJ471" s="28" t="s">
        <v>1721</v>
      </c>
      <c r="AK471" s="28" t="s">
        <v>1721</v>
      </c>
      <c r="AL471" s="325"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5768</v>
      </c>
      <c r="R472" s="31" t="s">
        <v>52</v>
      </c>
      <c r="S472" s="31" t="s">
        <v>4110</v>
      </c>
      <c r="T472" s="31">
        <v>1</v>
      </c>
      <c r="U472" s="31" t="s">
        <v>1719</v>
      </c>
      <c r="V472" s="31" t="s">
        <v>7092</v>
      </c>
      <c r="W472" s="31" t="s">
        <v>7093</v>
      </c>
      <c r="X472" s="211">
        <v>45772.586805555555</v>
      </c>
      <c r="Y472" s="31"/>
      <c r="Z472" s="31">
        <v>1.1000000000000001</v>
      </c>
      <c r="AA472" s="31"/>
      <c r="AB472" s="31" t="s">
        <v>1720</v>
      </c>
      <c r="AC472" s="33" t="s">
        <v>5051</v>
      </c>
      <c r="AD472" s="31" t="s">
        <v>1721</v>
      </c>
      <c r="AE472" s="31"/>
      <c r="AF472" s="31"/>
      <c r="AG472" s="31"/>
      <c r="AH472" s="31"/>
      <c r="AI472" s="31"/>
      <c r="AJ472" s="31" t="s">
        <v>1721</v>
      </c>
      <c r="AK472" s="31" t="s">
        <v>1721</v>
      </c>
      <c r="AL472" s="325" t="e">
        <f t="shared" si="20"/>
        <v>#VALUE!</v>
      </c>
      <c r="AM472"/>
    </row>
    <row r="473" spans="1:39" s="27" customFormat="1" ht="21.6" customHeight="1">
      <c r="A473" s="31">
        <v>110</v>
      </c>
      <c r="B473" s="31" t="s">
        <v>5033</v>
      </c>
      <c r="C473" s="31">
        <v>2025043366</v>
      </c>
      <c r="D473" s="31" t="s">
        <v>7094</v>
      </c>
      <c r="E473" s="31" t="s">
        <v>5035</v>
      </c>
      <c r="F473" s="31">
        <v>4397</v>
      </c>
      <c r="G473" s="31" t="s">
        <v>385</v>
      </c>
      <c r="H473" s="31" t="s">
        <v>1747</v>
      </c>
      <c r="I473" s="31" t="s">
        <v>7095</v>
      </c>
      <c r="J473" s="31" t="s">
        <v>5226</v>
      </c>
      <c r="K473" s="31" t="s">
        <v>5067</v>
      </c>
      <c r="L473" s="31" t="s">
        <v>5040</v>
      </c>
      <c r="M473" s="32" t="s">
        <v>4057</v>
      </c>
      <c r="N473" s="31">
        <v>2501</v>
      </c>
      <c r="O473" s="32" t="s">
        <v>5041</v>
      </c>
      <c r="P473" s="33" t="s">
        <v>7096</v>
      </c>
      <c r="Q473" s="31" t="s">
        <v>5594</v>
      </c>
      <c r="R473" s="31" t="s">
        <v>52</v>
      </c>
      <c r="S473" s="31" t="s">
        <v>4110</v>
      </c>
      <c r="T473" s="31">
        <v>1</v>
      </c>
      <c r="U473" s="31" t="s">
        <v>1719</v>
      </c>
      <c r="V473" s="31" t="s">
        <v>7097</v>
      </c>
      <c r="W473" s="31" t="s">
        <v>7098</v>
      </c>
      <c r="X473" s="211">
        <v>45774.640972222223</v>
      </c>
      <c r="Y473" s="31" t="s">
        <v>7099</v>
      </c>
      <c r="Z473" s="31">
        <v>0.6</v>
      </c>
      <c r="AA473" s="31"/>
      <c r="AB473" s="31" t="s">
        <v>1720</v>
      </c>
      <c r="AC473" s="33" t="s">
        <v>7100</v>
      </c>
      <c r="AD473" s="31"/>
      <c r="AE473" s="31"/>
      <c r="AF473" s="31"/>
      <c r="AG473" s="31"/>
      <c r="AH473" s="31"/>
      <c r="AI473" s="31"/>
      <c r="AJ473" s="31"/>
      <c r="AK473" s="31" t="s">
        <v>1721</v>
      </c>
      <c r="AL473" s="325">
        <f t="shared" si="20"/>
        <v>45774</v>
      </c>
      <c r="AM473"/>
    </row>
    <row r="474" spans="1:39" s="27" customFormat="1" ht="21.6" customHeight="1">
      <c r="A474" s="28">
        <v>111</v>
      </c>
      <c r="B474" s="28" t="s">
        <v>5033</v>
      </c>
      <c r="C474" s="28">
        <v>2025043367</v>
      </c>
      <c r="D474" s="28" t="s">
        <v>7101</v>
      </c>
      <c r="E474" s="28" t="s">
        <v>5503</v>
      </c>
      <c r="F474" s="28">
        <v>4397</v>
      </c>
      <c r="G474" s="28" t="s">
        <v>385</v>
      </c>
      <c r="H474" s="28" t="s">
        <v>1747</v>
      </c>
      <c r="I474" s="28" t="s">
        <v>7102</v>
      </c>
      <c r="J474" s="28" t="s">
        <v>5226</v>
      </c>
      <c r="K474" s="28" t="s">
        <v>5067</v>
      </c>
      <c r="L474" s="28" t="s">
        <v>5040</v>
      </c>
      <c r="M474" s="29" t="s">
        <v>4057</v>
      </c>
      <c r="N474" s="28">
        <v>2501</v>
      </c>
      <c r="O474" s="29" t="s">
        <v>5041</v>
      </c>
      <c r="P474" s="30" t="s">
        <v>7103</v>
      </c>
      <c r="Q474" s="28" t="s">
        <v>5594</v>
      </c>
      <c r="R474" s="28" t="s">
        <v>52</v>
      </c>
      <c r="S474" s="28" t="s">
        <v>4110</v>
      </c>
      <c r="T474" s="28">
        <v>1</v>
      </c>
      <c r="U474" s="28" t="s">
        <v>1719</v>
      </c>
      <c r="V474" s="28" t="s">
        <v>7104</v>
      </c>
      <c r="W474" s="28" t="s">
        <v>7098</v>
      </c>
      <c r="X474" s="135">
        <v>45774.63958333333</v>
      </c>
      <c r="Y474" s="28" t="s">
        <v>7105</v>
      </c>
      <c r="Z474" s="28">
        <v>0.6</v>
      </c>
      <c r="AA474" s="28"/>
      <c r="AB474" s="28" t="s">
        <v>1720</v>
      </c>
      <c r="AC474" s="30" t="s">
        <v>7100</v>
      </c>
      <c r="AD474" s="28"/>
      <c r="AE474" s="28"/>
      <c r="AF474" s="28"/>
      <c r="AG474" s="28"/>
      <c r="AH474" s="28"/>
      <c r="AI474" s="28"/>
      <c r="AJ474" s="28"/>
      <c r="AK474" s="28" t="s">
        <v>1721</v>
      </c>
      <c r="AL474" s="325">
        <f t="shared" si="20"/>
        <v>45774</v>
      </c>
      <c r="AM474"/>
    </row>
    <row r="475" spans="1:39" s="27" customFormat="1" ht="21.6" customHeight="1">
      <c r="A475" s="31">
        <v>112</v>
      </c>
      <c r="B475" s="31" t="s">
        <v>1724</v>
      </c>
      <c r="C475" s="31">
        <v>2025043415</v>
      </c>
      <c r="D475" s="31"/>
      <c r="E475" s="31"/>
      <c r="F475" s="31">
        <v>5352</v>
      </c>
      <c r="G475" s="31" t="s">
        <v>5222</v>
      </c>
      <c r="H475" s="31" t="s">
        <v>1747</v>
      </c>
      <c r="I475" s="31"/>
      <c r="J475" s="31"/>
      <c r="K475" s="31"/>
      <c r="L475" s="31"/>
      <c r="M475" s="32"/>
      <c r="N475" s="31"/>
      <c r="O475" s="32"/>
      <c r="P475" s="33"/>
      <c r="Q475" s="31" t="s">
        <v>7106</v>
      </c>
      <c r="R475" s="31" t="s">
        <v>52</v>
      </c>
      <c r="S475" s="31" t="s">
        <v>16</v>
      </c>
      <c r="T475" s="31">
        <v>1</v>
      </c>
      <c r="U475" s="31" t="s">
        <v>1719</v>
      </c>
      <c r="V475" s="31" t="s">
        <v>7107</v>
      </c>
      <c r="W475" s="31" t="s">
        <v>7108</v>
      </c>
      <c r="X475" s="211">
        <v>45775.545138888891</v>
      </c>
      <c r="Y475" s="31"/>
      <c r="Z475" s="31">
        <v>2.6</v>
      </c>
      <c r="AA475" s="31"/>
      <c r="AB475" s="31" t="s">
        <v>1720</v>
      </c>
      <c r="AC475" s="33" t="s">
        <v>7109</v>
      </c>
      <c r="AD475" s="31"/>
      <c r="AE475" s="31" t="s">
        <v>1721</v>
      </c>
      <c r="AF475" s="31"/>
      <c r="AG475" s="31"/>
      <c r="AH475" s="31"/>
      <c r="AI475" s="31"/>
      <c r="AJ475" s="31"/>
      <c r="AK475" s="31" t="s">
        <v>1721</v>
      </c>
      <c r="AL475" s="325" t="e">
        <f t="shared" si="20"/>
        <v>#VALUE!</v>
      </c>
      <c r="AM475"/>
    </row>
    <row r="476" spans="1:39" s="27" customFormat="1" ht="21.6" customHeight="1">
      <c r="A476" s="28">
        <v>113</v>
      </c>
      <c r="B476" s="28" t="s">
        <v>1724</v>
      </c>
      <c r="C476" s="28">
        <v>2025043420</v>
      </c>
      <c r="D476" s="28"/>
      <c r="E476" s="28"/>
      <c r="F476" s="28">
        <v>5352</v>
      </c>
      <c r="G476" s="28" t="s">
        <v>5222</v>
      </c>
      <c r="H476" s="28" t="s">
        <v>1747</v>
      </c>
      <c r="I476" s="28"/>
      <c r="J476" s="28"/>
      <c r="K476" s="28"/>
      <c r="L476" s="28"/>
      <c r="M476" s="29"/>
      <c r="N476" s="28"/>
      <c r="O476" s="29"/>
      <c r="P476" s="30"/>
      <c r="Q476" s="28" t="s">
        <v>7106</v>
      </c>
      <c r="R476" s="28" t="s">
        <v>52</v>
      </c>
      <c r="S476" s="28" t="s">
        <v>4110</v>
      </c>
      <c r="T476" s="28">
        <v>1</v>
      </c>
      <c r="U476" s="28" t="s">
        <v>1719</v>
      </c>
      <c r="V476" s="28" t="s">
        <v>7110</v>
      </c>
      <c r="W476" s="28" t="s">
        <v>7108</v>
      </c>
      <c r="X476" s="135">
        <v>45775.563888888886</v>
      </c>
      <c r="Y476" s="28"/>
      <c r="Z476" s="28">
        <v>3</v>
      </c>
      <c r="AA476" s="28"/>
      <c r="AB476" s="28" t="s">
        <v>1720</v>
      </c>
      <c r="AC476" s="30" t="s">
        <v>7039</v>
      </c>
      <c r="AD476" s="28"/>
      <c r="AE476" s="28" t="s">
        <v>1721</v>
      </c>
      <c r="AF476" s="28"/>
      <c r="AG476" s="28"/>
      <c r="AH476" s="28"/>
      <c r="AI476" s="28"/>
      <c r="AJ476" s="28"/>
      <c r="AK476" s="28"/>
      <c r="AL476" s="325" t="e">
        <f t="shared" si="20"/>
        <v>#VALUE!</v>
      </c>
      <c r="AM476"/>
    </row>
    <row r="477" spans="1:39" s="27" customFormat="1" ht="21.6" customHeight="1">
      <c r="A477" s="31">
        <v>114</v>
      </c>
      <c r="B477" s="31" t="s">
        <v>5033</v>
      </c>
      <c r="C477" s="31">
        <v>2025043470</v>
      </c>
      <c r="D477" s="31" t="s">
        <v>7111</v>
      </c>
      <c r="E477" s="31" t="s">
        <v>5035</v>
      </c>
      <c r="F477" s="31">
        <v>3358</v>
      </c>
      <c r="G477" s="31" t="s">
        <v>6745</v>
      </c>
      <c r="H477" s="31" t="s">
        <v>1748</v>
      </c>
      <c r="I477" s="31" t="s">
        <v>7112</v>
      </c>
      <c r="J477" s="31" t="s">
        <v>5252</v>
      </c>
      <c r="K477" s="31" t="s">
        <v>5451</v>
      </c>
      <c r="L477" s="31" t="s">
        <v>5068</v>
      </c>
      <c r="M477" s="32" t="s">
        <v>1723</v>
      </c>
      <c r="N477" s="31">
        <v>2307</v>
      </c>
      <c r="O477" s="32" t="s">
        <v>5383</v>
      </c>
      <c r="P477" s="33" t="s">
        <v>7113</v>
      </c>
      <c r="Q477" s="31" t="s">
        <v>6746</v>
      </c>
      <c r="R477" s="31" t="s">
        <v>52</v>
      </c>
      <c r="S477" s="31" t="s">
        <v>16</v>
      </c>
      <c r="T477" s="31">
        <v>1</v>
      </c>
      <c r="U477" s="31" t="s">
        <v>1719</v>
      </c>
      <c r="V477" s="31" t="s">
        <v>7114</v>
      </c>
      <c r="W477" s="31" t="s">
        <v>7115</v>
      </c>
      <c r="X477" s="211">
        <v>45776.427083333336</v>
      </c>
      <c r="Y477" s="31" t="s">
        <v>7117</v>
      </c>
      <c r="Z477" s="31">
        <v>0.5</v>
      </c>
      <c r="AA477" s="31"/>
      <c r="AB477" s="31" t="s">
        <v>1720</v>
      </c>
      <c r="AC477" s="33" t="s">
        <v>7118</v>
      </c>
      <c r="AD477" s="31"/>
      <c r="AE477" s="31"/>
      <c r="AF477" s="31"/>
      <c r="AG477" s="31"/>
      <c r="AH477" s="31"/>
      <c r="AI477" s="31"/>
      <c r="AJ477" s="31"/>
      <c r="AK477" s="31" t="s">
        <v>1721</v>
      </c>
      <c r="AL477" s="325">
        <f t="shared" si="20"/>
        <v>45776</v>
      </c>
      <c r="AM477"/>
    </row>
    <row r="478" spans="1:39" s="27" customFormat="1" ht="21.6" customHeight="1">
      <c r="A478" s="28">
        <v>115</v>
      </c>
      <c r="B478" s="28" t="s">
        <v>1724</v>
      </c>
      <c r="C478" s="28">
        <v>2025043478</v>
      </c>
      <c r="D478" s="28"/>
      <c r="E478" s="28"/>
      <c r="F478" s="28">
        <v>3358</v>
      </c>
      <c r="G478" s="28" t="s">
        <v>6745</v>
      </c>
      <c r="H478" s="28" t="s">
        <v>1748</v>
      </c>
      <c r="I478" s="28"/>
      <c r="J478" s="28"/>
      <c r="K478" s="28"/>
      <c r="L478" s="28"/>
      <c r="M478" s="29"/>
      <c r="N478" s="28"/>
      <c r="O478" s="29"/>
      <c r="P478" s="29"/>
      <c r="Q478" s="28" t="s">
        <v>6746</v>
      </c>
      <c r="R478" s="28" t="s">
        <v>52</v>
      </c>
      <c r="S478" s="28" t="s">
        <v>16</v>
      </c>
      <c r="T478" s="28">
        <v>1</v>
      </c>
      <c r="U478" s="28" t="s">
        <v>1719</v>
      </c>
      <c r="V478" s="28" t="s">
        <v>7119</v>
      </c>
      <c r="W478" s="28" t="s">
        <v>7116</v>
      </c>
      <c r="X478" s="135">
        <v>45776.4375</v>
      </c>
      <c r="Y478" s="28"/>
      <c r="Z478" s="28">
        <v>0.3</v>
      </c>
      <c r="AA478" s="28"/>
      <c r="AB478" s="28" t="s">
        <v>1720</v>
      </c>
      <c r="AC478" s="29" t="s">
        <v>5109</v>
      </c>
      <c r="AD478" s="28" t="s">
        <v>1721</v>
      </c>
      <c r="AE478" s="28"/>
      <c r="AF478" s="28"/>
      <c r="AG478" s="28"/>
      <c r="AH478" s="28"/>
      <c r="AI478" s="28"/>
      <c r="AJ478" s="28" t="s">
        <v>1721</v>
      </c>
      <c r="AK478" s="28" t="s">
        <v>1721</v>
      </c>
      <c r="AL478" s="325"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5126</v>
      </c>
      <c r="R479" s="28" t="s">
        <v>52</v>
      </c>
      <c r="S479" s="28" t="s">
        <v>16</v>
      </c>
      <c r="T479" s="28">
        <v>1</v>
      </c>
      <c r="U479" s="28" t="s">
        <v>1719</v>
      </c>
      <c r="V479" s="28" t="s">
        <v>7120</v>
      </c>
      <c r="W479" s="28" t="s">
        <v>7121</v>
      </c>
      <c r="X479" s="135">
        <v>45776.5</v>
      </c>
      <c r="Y479" s="28"/>
      <c r="Z479" s="28">
        <v>1</v>
      </c>
      <c r="AA479" s="28"/>
      <c r="AB479" s="28" t="s">
        <v>1720</v>
      </c>
      <c r="AC479" s="30" t="s">
        <v>7122</v>
      </c>
      <c r="AD479" s="28"/>
      <c r="AE479" s="28"/>
      <c r="AF479" s="28"/>
      <c r="AG479" s="28"/>
      <c r="AH479" s="28"/>
      <c r="AI479" s="28"/>
      <c r="AJ479" s="28" t="s">
        <v>1721</v>
      </c>
      <c r="AK479" s="28" t="s">
        <v>1721</v>
      </c>
      <c r="AL479" s="325" t="e">
        <f t="shared" ref="AL479:AL497" si="21">DATEVALUE(TEXT(I479, "yyyy/mm/dd"))</f>
        <v>#VALUE!</v>
      </c>
      <c r="AM479"/>
    </row>
    <row r="480" spans="1:39" s="27" customFormat="1" ht="21.6" customHeight="1">
      <c r="A480" s="31">
        <v>118</v>
      </c>
      <c r="B480" s="31" t="s">
        <v>5033</v>
      </c>
      <c r="C480" s="31">
        <v>2025043553</v>
      </c>
      <c r="D480" s="31" t="s">
        <v>7123</v>
      </c>
      <c r="E480" s="31" t="s">
        <v>5035</v>
      </c>
      <c r="F480" s="31">
        <v>5352</v>
      </c>
      <c r="G480" s="31" t="s">
        <v>5222</v>
      </c>
      <c r="H480" s="31" t="s">
        <v>1747</v>
      </c>
      <c r="I480" s="31" t="s">
        <v>7124</v>
      </c>
      <c r="J480" s="31" t="s">
        <v>5252</v>
      </c>
      <c r="K480" s="31" t="s">
        <v>5039</v>
      </c>
      <c r="L480" s="31" t="s">
        <v>7125</v>
      </c>
      <c r="M480" s="32" t="s">
        <v>7126</v>
      </c>
      <c r="N480" s="31">
        <v>3503</v>
      </c>
      <c r="O480" s="32" t="s">
        <v>7127</v>
      </c>
      <c r="P480" s="33" t="s">
        <v>7128</v>
      </c>
      <c r="Q480" s="31" t="s">
        <v>7106</v>
      </c>
      <c r="R480" s="31" t="s">
        <v>52</v>
      </c>
      <c r="S480" s="31" t="s">
        <v>4110</v>
      </c>
      <c r="T480" s="31">
        <v>1</v>
      </c>
      <c r="U480" s="31" t="s">
        <v>1719</v>
      </c>
      <c r="V480" s="31" t="s">
        <v>7129</v>
      </c>
      <c r="W480" s="31" t="s">
        <v>7130</v>
      </c>
      <c r="X480" s="211">
        <v>45776.679861111108</v>
      </c>
      <c r="Y480" s="31" t="s">
        <v>7131</v>
      </c>
      <c r="Z480" s="31">
        <v>0.6</v>
      </c>
      <c r="AA480" s="31"/>
      <c r="AB480" s="31" t="s">
        <v>1720</v>
      </c>
      <c r="AC480" s="33" t="s">
        <v>7132</v>
      </c>
      <c r="AD480" s="31"/>
      <c r="AE480" s="31"/>
      <c r="AF480" s="31"/>
      <c r="AG480" s="31"/>
      <c r="AH480" s="31"/>
      <c r="AI480" s="31"/>
      <c r="AJ480" s="31"/>
      <c r="AK480" s="31" t="s">
        <v>1721</v>
      </c>
      <c r="AL480" s="325">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6134</v>
      </c>
      <c r="R481" s="28" t="s">
        <v>52</v>
      </c>
      <c r="S481" s="28" t="s">
        <v>4110</v>
      </c>
      <c r="T481" s="28">
        <v>1</v>
      </c>
      <c r="U481" s="28" t="s">
        <v>1719</v>
      </c>
      <c r="V481" s="28" t="s">
        <v>7133</v>
      </c>
      <c r="W481" s="28" t="s">
        <v>7134</v>
      </c>
      <c r="X481" s="135">
        <v>45776.625</v>
      </c>
      <c r="Y481" s="28"/>
      <c r="Z481" s="28">
        <v>1</v>
      </c>
      <c r="AA481" s="28"/>
      <c r="AB481" s="28" t="s">
        <v>1720</v>
      </c>
      <c r="AC481" s="30" t="s">
        <v>5051</v>
      </c>
      <c r="AD481" s="28" t="s">
        <v>1721</v>
      </c>
      <c r="AE481" s="28"/>
      <c r="AF481" s="28"/>
      <c r="AG481" s="28"/>
      <c r="AH481" s="28"/>
      <c r="AI481" s="28"/>
      <c r="AJ481" s="28" t="s">
        <v>1721</v>
      </c>
      <c r="AK481" s="28" t="s">
        <v>1721</v>
      </c>
      <c r="AL481" s="325"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6019</v>
      </c>
      <c r="R482" s="31" t="s">
        <v>52</v>
      </c>
      <c r="S482" s="31" t="s">
        <v>4110</v>
      </c>
      <c r="T482" s="31">
        <v>1</v>
      </c>
      <c r="U482" s="31" t="s">
        <v>1719</v>
      </c>
      <c r="V482" s="31" t="s">
        <v>7135</v>
      </c>
      <c r="W482" s="31" t="s">
        <v>7136</v>
      </c>
      <c r="X482" s="211">
        <v>45777.59375</v>
      </c>
      <c r="Y482" s="31"/>
      <c r="Z482" s="31">
        <v>1</v>
      </c>
      <c r="AA482" s="31"/>
      <c r="AB482" s="31" t="s">
        <v>1720</v>
      </c>
      <c r="AC482" s="33" t="s">
        <v>5051</v>
      </c>
      <c r="AD482" s="31" t="s">
        <v>1721</v>
      </c>
      <c r="AE482" s="31"/>
      <c r="AF482" s="31"/>
      <c r="AG482" s="31"/>
      <c r="AH482" s="31"/>
      <c r="AI482" s="31"/>
      <c r="AJ482" s="31" t="s">
        <v>1721</v>
      </c>
      <c r="AK482" s="31" t="s">
        <v>1721</v>
      </c>
      <c r="AL482" s="325"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5126</v>
      </c>
      <c r="R483" s="28" t="s">
        <v>52</v>
      </c>
      <c r="S483" s="28" t="s">
        <v>16</v>
      </c>
      <c r="T483" s="28">
        <v>1</v>
      </c>
      <c r="U483" s="28" t="s">
        <v>1719</v>
      </c>
      <c r="V483" s="28" t="s">
        <v>7137</v>
      </c>
      <c r="W483" s="28" t="s">
        <v>7138</v>
      </c>
      <c r="X483" s="135">
        <v>45777.645833333336</v>
      </c>
      <c r="Y483" s="28"/>
      <c r="Z483" s="28">
        <v>1.5</v>
      </c>
      <c r="AA483" s="28"/>
      <c r="AB483" s="28" t="s">
        <v>1720</v>
      </c>
      <c r="AC483" s="30" t="s">
        <v>7139</v>
      </c>
      <c r="AD483" s="28"/>
      <c r="AE483" s="28"/>
      <c r="AF483" s="28"/>
      <c r="AG483" s="28"/>
      <c r="AH483" s="28"/>
      <c r="AI483" s="28"/>
      <c r="AJ483" s="28" t="s">
        <v>1721</v>
      </c>
      <c r="AK483" s="28" t="s">
        <v>1721</v>
      </c>
      <c r="AL483" s="325"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6599</v>
      </c>
      <c r="R484" s="31" t="s">
        <v>52</v>
      </c>
      <c r="S484" s="31" t="s">
        <v>4110</v>
      </c>
      <c r="T484" s="31">
        <v>1</v>
      </c>
      <c r="U484" s="31" t="s">
        <v>1719</v>
      </c>
      <c r="V484" s="31" t="s">
        <v>7140</v>
      </c>
      <c r="W484" s="31" t="s">
        <v>7141</v>
      </c>
      <c r="X484" s="211">
        <v>45777.647222222222</v>
      </c>
      <c r="Y484" s="31"/>
      <c r="Z484" s="31">
        <v>0.8</v>
      </c>
      <c r="AA484" s="31"/>
      <c r="AB484" s="31" t="s">
        <v>1720</v>
      </c>
      <c r="AC484" s="32" t="s">
        <v>5051</v>
      </c>
      <c r="AD484" s="31" t="s">
        <v>1721</v>
      </c>
      <c r="AE484" s="31"/>
      <c r="AF484" s="31"/>
      <c r="AG484" s="31"/>
      <c r="AH484" s="31"/>
      <c r="AI484" s="31"/>
      <c r="AJ484" s="31" t="s">
        <v>1721</v>
      </c>
      <c r="AK484" s="31" t="s">
        <v>1721</v>
      </c>
      <c r="AL484" s="325" t="e">
        <f t="shared" si="21"/>
        <v>#VALUE!</v>
      </c>
      <c r="AM484"/>
    </row>
    <row r="485" spans="1:39" s="27" customFormat="1" ht="21.6" customHeight="1">
      <c r="A485" s="28">
        <v>1</v>
      </c>
      <c r="B485" s="28" t="s">
        <v>5033</v>
      </c>
      <c r="C485" s="28">
        <v>2025043696</v>
      </c>
      <c r="D485" s="28" t="s">
        <v>7142</v>
      </c>
      <c r="E485" s="28" t="s">
        <v>5035</v>
      </c>
      <c r="F485" s="28">
        <v>2403</v>
      </c>
      <c r="G485" s="28" t="s">
        <v>97</v>
      </c>
      <c r="H485" s="28" t="s">
        <v>1722</v>
      </c>
      <c r="I485" s="28" t="s">
        <v>7143</v>
      </c>
      <c r="J485" s="28" t="s">
        <v>5066</v>
      </c>
      <c r="K485" s="28" t="s">
        <v>5039</v>
      </c>
      <c r="L485" s="28" t="s">
        <v>5318</v>
      </c>
      <c r="M485" s="29" t="s">
        <v>5319</v>
      </c>
      <c r="N485" s="28" t="s">
        <v>5320</v>
      </c>
      <c r="O485" s="29" t="s">
        <v>5321</v>
      </c>
      <c r="P485" s="30" t="s">
        <v>7144</v>
      </c>
      <c r="Q485" s="28" t="s">
        <v>6737</v>
      </c>
      <c r="R485" s="28" t="s">
        <v>52</v>
      </c>
      <c r="S485" s="28" t="s">
        <v>1157</v>
      </c>
      <c r="T485" s="28">
        <v>1</v>
      </c>
      <c r="U485" s="28" t="s">
        <v>1719</v>
      </c>
      <c r="V485" s="28" t="s">
        <v>7145</v>
      </c>
      <c r="W485" s="28" t="s">
        <v>7146</v>
      </c>
      <c r="X485" s="135">
        <v>45779.527777777781</v>
      </c>
      <c r="Y485" s="28" t="s">
        <v>7147</v>
      </c>
      <c r="Z485" s="28">
        <v>0.8</v>
      </c>
      <c r="AA485" s="28"/>
      <c r="AB485" s="28" t="s">
        <v>1720</v>
      </c>
      <c r="AC485" s="30" t="s">
        <v>7148</v>
      </c>
      <c r="AD485" s="28"/>
      <c r="AE485" s="28"/>
      <c r="AF485" s="28"/>
      <c r="AG485" s="28"/>
      <c r="AH485" s="28"/>
      <c r="AI485" s="28"/>
      <c r="AJ485" s="28"/>
      <c r="AK485" s="28" t="s">
        <v>1721</v>
      </c>
      <c r="AL485" s="325">
        <f t="shared" si="21"/>
        <v>45777</v>
      </c>
      <c r="AM485"/>
    </row>
    <row r="486" spans="1:39" s="27" customFormat="1" ht="21.6" customHeight="1">
      <c r="A486" s="31">
        <v>2</v>
      </c>
      <c r="B486" s="31" t="s">
        <v>5033</v>
      </c>
      <c r="C486" s="31">
        <v>2025043712</v>
      </c>
      <c r="D486" s="31" t="s">
        <v>7149</v>
      </c>
      <c r="E486" s="31" t="s">
        <v>5035</v>
      </c>
      <c r="F486" s="31">
        <v>3052</v>
      </c>
      <c r="G486" s="31" t="s">
        <v>154</v>
      </c>
      <c r="H486" s="31" t="s">
        <v>1748</v>
      </c>
      <c r="I486" s="31" t="s">
        <v>7150</v>
      </c>
      <c r="J486" s="31" t="s">
        <v>5066</v>
      </c>
      <c r="K486" s="31" t="s">
        <v>5039</v>
      </c>
      <c r="L486" s="31" t="s">
        <v>5068</v>
      </c>
      <c r="M486" s="32" t="s">
        <v>1723</v>
      </c>
      <c r="N486" s="31">
        <v>2304</v>
      </c>
      <c r="O486" s="32" t="s">
        <v>5097</v>
      </c>
      <c r="P486" s="33" t="s">
        <v>7151</v>
      </c>
      <c r="Q486" s="31" t="s">
        <v>5395</v>
      </c>
      <c r="R486" s="31" t="s">
        <v>52</v>
      </c>
      <c r="S486" s="31" t="s">
        <v>16</v>
      </c>
      <c r="T486" s="31">
        <v>1</v>
      </c>
      <c r="U486" s="31" t="s">
        <v>1719</v>
      </c>
      <c r="V486" s="31" t="s">
        <v>7152</v>
      </c>
      <c r="W486" s="31" t="s">
        <v>7153</v>
      </c>
      <c r="X486" s="211">
        <v>45779.583333333336</v>
      </c>
      <c r="Y486" s="31" t="s">
        <v>7155</v>
      </c>
      <c r="Z486" s="31">
        <v>0.5</v>
      </c>
      <c r="AA486" s="31"/>
      <c r="AB486" s="31" t="s">
        <v>1720</v>
      </c>
      <c r="AC486" s="33" t="s">
        <v>7156</v>
      </c>
      <c r="AD486" s="31"/>
      <c r="AE486" s="31"/>
      <c r="AF486" s="31"/>
      <c r="AG486" s="31"/>
      <c r="AH486" s="31"/>
      <c r="AI486" s="31"/>
      <c r="AJ486" s="31"/>
      <c r="AK486" s="31" t="s">
        <v>1721</v>
      </c>
      <c r="AL486" s="325">
        <f t="shared" si="21"/>
        <v>45777</v>
      </c>
      <c r="AM486"/>
    </row>
    <row r="487" spans="1:39" s="27" customFormat="1" ht="21.6" customHeight="1">
      <c r="A487" s="28">
        <v>3</v>
      </c>
      <c r="B487" s="28" t="s">
        <v>5033</v>
      </c>
      <c r="C487" s="28">
        <v>2025043713</v>
      </c>
      <c r="D487" s="28" t="s">
        <v>7157</v>
      </c>
      <c r="E487" s="28" t="s">
        <v>5035</v>
      </c>
      <c r="F487" s="28">
        <v>3052</v>
      </c>
      <c r="G487" s="28" t="s">
        <v>154</v>
      </c>
      <c r="H487" s="28" t="s">
        <v>1748</v>
      </c>
      <c r="I487" s="28" t="s">
        <v>7158</v>
      </c>
      <c r="J487" s="28" t="s">
        <v>5066</v>
      </c>
      <c r="K487" s="28" t="s">
        <v>5039</v>
      </c>
      <c r="L487" s="28" t="s">
        <v>5068</v>
      </c>
      <c r="M487" s="29" t="s">
        <v>1723</v>
      </c>
      <c r="N487" s="28">
        <v>2305</v>
      </c>
      <c r="O487" s="29" t="s">
        <v>5069</v>
      </c>
      <c r="P487" s="30" t="s">
        <v>7159</v>
      </c>
      <c r="Q487" s="28" t="s">
        <v>5395</v>
      </c>
      <c r="R487" s="28" t="s">
        <v>52</v>
      </c>
      <c r="S487" s="28" t="s">
        <v>16</v>
      </c>
      <c r="T487" s="28">
        <v>1</v>
      </c>
      <c r="U487" s="28" t="s">
        <v>1719</v>
      </c>
      <c r="V487" s="28" t="s">
        <v>7160</v>
      </c>
      <c r="W487" s="28" t="s">
        <v>7161</v>
      </c>
      <c r="X487" s="135">
        <v>45779.5625</v>
      </c>
      <c r="Y487" s="28" t="s">
        <v>7155</v>
      </c>
      <c r="Z487" s="28">
        <v>0.5</v>
      </c>
      <c r="AA487" s="28"/>
      <c r="AB487" s="28" t="s">
        <v>1720</v>
      </c>
      <c r="AC487" s="30" t="s">
        <v>7162</v>
      </c>
      <c r="AD487" s="28"/>
      <c r="AE487" s="28"/>
      <c r="AF487" s="28"/>
      <c r="AG487" s="28"/>
      <c r="AH487" s="28"/>
      <c r="AI487" s="28"/>
      <c r="AJ487" s="28"/>
      <c r="AK487" s="28" t="s">
        <v>1721</v>
      </c>
      <c r="AL487" s="325">
        <f t="shared" si="21"/>
        <v>45777</v>
      </c>
      <c r="AM487"/>
    </row>
    <row r="488" spans="1:39" s="27" customFormat="1" ht="21.6" customHeight="1">
      <c r="A488" s="31">
        <v>4</v>
      </c>
      <c r="B488" s="31" t="s">
        <v>5033</v>
      </c>
      <c r="C488" s="31">
        <v>2025043713</v>
      </c>
      <c r="D488" s="31" t="s">
        <v>7157</v>
      </c>
      <c r="E488" s="31" t="s">
        <v>5035</v>
      </c>
      <c r="F488" s="31">
        <v>3052</v>
      </c>
      <c r="G488" s="31" t="s">
        <v>154</v>
      </c>
      <c r="H488" s="31" t="s">
        <v>1748</v>
      </c>
      <c r="I488" s="31" t="s">
        <v>7158</v>
      </c>
      <c r="J488" s="31" t="s">
        <v>5066</v>
      </c>
      <c r="K488" s="31" t="s">
        <v>5039</v>
      </c>
      <c r="L488" s="31" t="s">
        <v>5068</v>
      </c>
      <c r="M488" s="32" t="s">
        <v>1723</v>
      </c>
      <c r="N488" s="31">
        <v>2305</v>
      </c>
      <c r="O488" s="32" t="s">
        <v>5069</v>
      </c>
      <c r="P488" s="33" t="s">
        <v>7159</v>
      </c>
      <c r="Q488" s="31" t="s">
        <v>5395</v>
      </c>
      <c r="R488" s="31" t="s">
        <v>52</v>
      </c>
      <c r="S488" s="31" t="s">
        <v>16</v>
      </c>
      <c r="T488" s="31">
        <v>2</v>
      </c>
      <c r="U488" s="31" t="s">
        <v>1719</v>
      </c>
      <c r="V488" s="31" t="s">
        <v>7160</v>
      </c>
      <c r="W488" s="31" t="s">
        <v>7161</v>
      </c>
      <c r="X488" s="211">
        <v>45779.5625</v>
      </c>
      <c r="Y488" s="31" t="s">
        <v>7155</v>
      </c>
      <c r="Z488" s="31">
        <v>0.5</v>
      </c>
      <c r="AA488" s="31"/>
      <c r="AB488" s="31" t="s">
        <v>1720</v>
      </c>
      <c r="AC488" s="33" t="s">
        <v>7162</v>
      </c>
      <c r="AD488" s="31"/>
      <c r="AE488" s="31"/>
      <c r="AF488" s="31"/>
      <c r="AG488" s="31"/>
      <c r="AH488" s="31"/>
      <c r="AI488" s="31"/>
      <c r="AJ488" s="31"/>
      <c r="AK488" s="31" t="s">
        <v>1721</v>
      </c>
      <c r="AL488" s="325">
        <f t="shared" si="21"/>
        <v>45777</v>
      </c>
      <c r="AM488"/>
    </row>
    <row r="489" spans="1:39" s="27" customFormat="1" ht="21.6" customHeight="1">
      <c r="A489" s="28">
        <v>5</v>
      </c>
      <c r="B489" s="28" t="s">
        <v>5033</v>
      </c>
      <c r="C489" s="28">
        <v>2025043724</v>
      </c>
      <c r="D489" s="28" t="s">
        <v>7163</v>
      </c>
      <c r="E489" s="28" t="s">
        <v>5035</v>
      </c>
      <c r="F489" s="28">
        <v>2042</v>
      </c>
      <c r="G489" s="28" t="s">
        <v>56</v>
      </c>
      <c r="H489" s="28" t="s">
        <v>1747</v>
      </c>
      <c r="I489" s="28" t="s">
        <v>7164</v>
      </c>
      <c r="J489" s="28" t="s">
        <v>5066</v>
      </c>
      <c r="K489" s="28" t="s">
        <v>5039</v>
      </c>
      <c r="L489" s="28" t="s">
        <v>5068</v>
      </c>
      <c r="M489" s="29" t="s">
        <v>1723</v>
      </c>
      <c r="N489" s="28">
        <v>2301</v>
      </c>
      <c r="O489" s="29" t="s">
        <v>6435</v>
      </c>
      <c r="P489" s="30" t="s">
        <v>7165</v>
      </c>
      <c r="Q489" s="28" t="s">
        <v>6087</v>
      </c>
      <c r="R489" s="28" t="s">
        <v>52</v>
      </c>
      <c r="S489" s="28" t="s">
        <v>4110</v>
      </c>
      <c r="T489" s="28">
        <v>1</v>
      </c>
      <c r="U489" s="28" t="s">
        <v>1719</v>
      </c>
      <c r="V489" s="28" t="s">
        <v>7166</v>
      </c>
      <c r="W489" s="28" t="s">
        <v>7167</v>
      </c>
      <c r="X489" s="135">
        <v>45779.441666666666</v>
      </c>
      <c r="Y489" s="28" t="s">
        <v>7168</v>
      </c>
      <c r="Z489" s="28">
        <v>0.6</v>
      </c>
      <c r="AA489" s="28"/>
      <c r="AB489" s="28" t="s">
        <v>1720</v>
      </c>
      <c r="AC489" s="30" t="s">
        <v>7169</v>
      </c>
      <c r="AD489" s="28"/>
      <c r="AE489" s="28"/>
      <c r="AF489" s="28"/>
      <c r="AG489" s="28"/>
      <c r="AH489" s="28"/>
      <c r="AI489" s="28"/>
      <c r="AJ489" s="28"/>
      <c r="AK489" s="28" t="s">
        <v>1721</v>
      </c>
      <c r="AL489" s="325">
        <f t="shared" si="21"/>
        <v>45777</v>
      </c>
      <c r="AM489"/>
    </row>
    <row r="490" spans="1:39" s="27" customFormat="1" ht="21.6" customHeight="1">
      <c r="A490" s="31">
        <v>6</v>
      </c>
      <c r="B490" s="31" t="s">
        <v>5033</v>
      </c>
      <c r="C490" s="31">
        <v>2025050004</v>
      </c>
      <c r="D490" s="31" t="s">
        <v>7170</v>
      </c>
      <c r="E490" s="31" t="s">
        <v>5035</v>
      </c>
      <c r="F490" s="31">
        <v>2042</v>
      </c>
      <c r="G490" s="31" t="s">
        <v>56</v>
      </c>
      <c r="H490" s="31" t="s">
        <v>1747</v>
      </c>
      <c r="I490" s="31" t="s">
        <v>7171</v>
      </c>
      <c r="J490" s="31" t="s">
        <v>5096</v>
      </c>
      <c r="K490" s="31" t="s">
        <v>5067</v>
      </c>
      <c r="L490" s="31" t="s">
        <v>5271</v>
      </c>
      <c r="M490" s="32" t="s">
        <v>5272</v>
      </c>
      <c r="N490" s="31" t="s">
        <v>663</v>
      </c>
      <c r="O490" s="32" t="s">
        <v>5273</v>
      </c>
      <c r="P490" s="33" t="s">
        <v>7172</v>
      </c>
      <c r="Q490" s="31" t="s">
        <v>6087</v>
      </c>
      <c r="R490" s="31" t="s">
        <v>52</v>
      </c>
      <c r="S490" s="31" t="s">
        <v>4110</v>
      </c>
      <c r="T490" s="31">
        <v>1</v>
      </c>
      <c r="U490" s="31" t="s">
        <v>1719</v>
      </c>
      <c r="V490" s="31" t="s">
        <v>7173</v>
      </c>
      <c r="W490" s="31" t="s">
        <v>7167</v>
      </c>
      <c r="X490" s="211">
        <v>45779.442361111112</v>
      </c>
      <c r="Y490" s="31" t="s">
        <v>7174</v>
      </c>
      <c r="Z490" s="31">
        <v>0.6</v>
      </c>
      <c r="AA490" s="31"/>
      <c r="AB490" s="31" t="s">
        <v>1720</v>
      </c>
      <c r="AC490" s="33" t="s">
        <v>7175</v>
      </c>
      <c r="AD490" s="31"/>
      <c r="AE490" s="31"/>
      <c r="AF490" s="31"/>
      <c r="AG490" s="31"/>
      <c r="AH490" s="31"/>
      <c r="AI490" s="31"/>
      <c r="AJ490" s="31"/>
      <c r="AK490" s="31" t="s">
        <v>1721</v>
      </c>
      <c r="AL490" s="325">
        <f t="shared" si="21"/>
        <v>45778</v>
      </c>
      <c r="AM490"/>
    </row>
    <row r="491" spans="1:39" s="27" customFormat="1" ht="21.6" customHeight="1">
      <c r="A491" s="28">
        <v>7</v>
      </c>
      <c r="B491" s="28" t="s">
        <v>5033</v>
      </c>
      <c r="C491" s="28">
        <v>2025050012</v>
      </c>
      <c r="D491" s="28" t="s">
        <v>7176</v>
      </c>
      <c r="E491" s="28" t="s">
        <v>5035</v>
      </c>
      <c r="F491" s="28" t="s">
        <v>20</v>
      </c>
      <c r="G491" s="28" t="s">
        <v>4114</v>
      </c>
      <c r="H491" s="28" t="s">
        <v>1747</v>
      </c>
      <c r="I491" s="28" t="s">
        <v>7177</v>
      </c>
      <c r="J491" s="28" t="s">
        <v>5096</v>
      </c>
      <c r="K491" s="28" t="s">
        <v>5039</v>
      </c>
      <c r="L491" s="28" t="s">
        <v>5271</v>
      </c>
      <c r="M491" s="29" t="s">
        <v>5272</v>
      </c>
      <c r="N491" s="28" t="s">
        <v>663</v>
      </c>
      <c r="O491" s="29" t="s">
        <v>5273</v>
      </c>
      <c r="P491" s="30" t="s">
        <v>7178</v>
      </c>
      <c r="Q491" s="28" t="s">
        <v>6104</v>
      </c>
      <c r="R491" s="28" t="s">
        <v>52</v>
      </c>
      <c r="S491" s="28" t="s">
        <v>4110</v>
      </c>
      <c r="T491" s="28">
        <v>1</v>
      </c>
      <c r="U491" s="28" t="s">
        <v>1719</v>
      </c>
      <c r="V491" s="28" t="s">
        <v>7179</v>
      </c>
      <c r="W491" s="28" t="s">
        <v>7180</v>
      </c>
      <c r="X491" s="135">
        <v>45779.451388888891</v>
      </c>
      <c r="Y491" s="28" t="s">
        <v>7174</v>
      </c>
      <c r="Z491" s="28">
        <v>0.3</v>
      </c>
      <c r="AA491" s="28"/>
      <c r="AB491" s="28" t="s">
        <v>1720</v>
      </c>
      <c r="AC491" s="30" t="s">
        <v>7181</v>
      </c>
      <c r="AD491" s="28"/>
      <c r="AE491" s="28"/>
      <c r="AF491" s="28"/>
      <c r="AG491" s="28"/>
      <c r="AH491" s="28"/>
      <c r="AI491" s="28"/>
      <c r="AJ491" s="28"/>
      <c r="AK491" s="28" t="s">
        <v>1721</v>
      </c>
      <c r="AL491" s="325">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6737</v>
      </c>
      <c r="R492" s="31" t="s">
        <v>52</v>
      </c>
      <c r="S492" s="31" t="s">
        <v>1157</v>
      </c>
      <c r="T492" s="31">
        <v>1</v>
      </c>
      <c r="U492" s="31" t="s">
        <v>1719</v>
      </c>
      <c r="V492" s="31" t="s">
        <v>7182</v>
      </c>
      <c r="W492" s="31" t="s">
        <v>7146</v>
      </c>
      <c r="X492" s="211">
        <v>45779.527777777781</v>
      </c>
      <c r="Y492" s="31"/>
      <c r="Z492" s="31">
        <v>0.8</v>
      </c>
      <c r="AA492" s="31"/>
      <c r="AB492" s="31" t="s">
        <v>1720</v>
      </c>
      <c r="AC492" s="33" t="s">
        <v>5109</v>
      </c>
      <c r="AD492" s="31" t="s">
        <v>1721</v>
      </c>
      <c r="AE492" s="31"/>
      <c r="AF492" s="31"/>
      <c r="AG492" s="31"/>
      <c r="AH492" s="31"/>
      <c r="AI492" s="31"/>
      <c r="AJ492" s="31" t="s">
        <v>1721</v>
      </c>
      <c r="AK492" s="31" t="s">
        <v>1721</v>
      </c>
      <c r="AL492" s="325" t="e">
        <f t="shared" si="21"/>
        <v>#VALUE!</v>
      </c>
      <c r="AM492"/>
    </row>
    <row r="493" spans="1:39" s="27" customFormat="1" ht="21.6" customHeight="1">
      <c r="A493" s="28">
        <v>9</v>
      </c>
      <c r="B493" s="28" t="s">
        <v>5033</v>
      </c>
      <c r="C493" s="28">
        <v>2025050083</v>
      </c>
      <c r="D493" s="28" t="s">
        <v>7183</v>
      </c>
      <c r="E493" s="28" t="s">
        <v>5035</v>
      </c>
      <c r="F493" s="28">
        <v>3052</v>
      </c>
      <c r="G493" s="28" t="s">
        <v>154</v>
      </c>
      <c r="H493" s="28" t="s">
        <v>1748</v>
      </c>
      <c r="I493" s="28" t="s">
        <v>7184</v>
      </c>
      <c r="J493" s="28" t="s">
        <v>5299</v>
      </c>
      <c r="K493" s="28" t="s">
        <v>5039</v>
      </c>
      <c r="L493" s="28" t="s">
        <v>5261</v>
      </c>
      <c r="M493" s="29" t="s">
        <v>5262</v>
      </c>
      <c r="N493" s="28">
        <v>5801</v>
      </c>
      <c r="O493" s="29" t="s">
        <v>5263</v>
      </c>
      <c r="P493" s="30" t="s">
        <v>7185</v>
      </c>
      <c r="Q493" s="28" t="s">
        <v>5395</v>
      </c>
      <c r="R493" s="28" t="s">
        <v>52</v>
      </c>
      <c r="S493" s="28" t="s">
        <v>16</v>
      </c>
      <c r="T493" s="28">
        <v>1</v>
      </c>
      <c r="U493" s="28" t="s">
        <v>1719</v>
      </c>
      <c r="V493" s="28" t="s">
        <v>7186</v>
      </c>
      <c r="W493" s="28" t="s">
        <v>7154</v>
      </c>
      <c r="X493" s="135">
        <v>45779.59375</v>
      </c>
      <c r="Y493" s="28" t="s">
        <v>7188</v>
      </c>
      <c r="Z493" s="28">
        <v>0.3</v>
      </c>
      <c r="AA493" s="28"/>
      <c r="AB493" s="28" t="s">
        <v>1720</v>
      </c>
      <c r="AC493" s="30" t="s">
        <v>7189</v>
      </c>
      <c r="AD493" s="28"/>
      <c r="AE493" s="28"/>
      <c r="AF493" s="28"/>
      <c r="AG493" s="28"/>
      <c r="AH493" s="28"/>
      <c r="AI493" s="28"/>
      <c r="AJ493" s="28"/>
      <c r="AK493" s="28" t="s">
        <v>1721</v>
      </c>
      <c r="AL493" s="325">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5395</v>
      </c>
      <c r="R494" s="31" t="s">
        <v>52</v>
      </c>
      <c r="S494" s="31" t="s">
        <v>16</v>
      </c>
      <c r="T494" s="31">
        <v>1</v>
      </c>
      <c r="U494" s="31" t="s">
        <v>1719</v>
      </c>
      <c r="V494" s="31" t="s">
        <v>7190</v>
      </c>
      <c r="W494" s="31" t="s">
        <v>7187</v>
      </c>
      <c r="X494" s="211">
        <v>45779.604166666664</v>
      </c>
      <c r="Y494" s="31"/>
      <c r="Z494" s="31">
        <v>0.3</v>
      </c>
      <c r="AA494" s="31"/>
      <c r="AB494" s="31" t="s">
        <v>1720</v>
      </c>
      <c r="AC494" s="33" t="s">
        <v>5109</v>
      </c>
      <c r="AD494" s="31" t="s">
        <v>1721</v>
      </c>
      <c r="AE494" s="31"/>
      <c r="AF494" s="31"/>
      <c r="AG494" s="31"/>
      <c r="AH494" s="31"/>
      <c r="AI494" s="31"/>
      <c r="AJ494" s="31" t="s">
        <v>1721</v>
      </c>
      <c r="AK494" s="31" t="s">
        <v>1721</v>
      </c>
      <c r="AL494" s="325"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5254</v>
      </c>
      <c r="R495" s="28" t="s">
        <v>52</v>
      </c>
      <c r="S495" s="28" t="s">
        <v>4110</v>
      </c>
      <c r="T495" s="28">
        <v>1</v>
      </c>
      <c r="U495" s="28" t="s">
        <v>1719</v>
      </c>
      <c r="V495" s="28" t="s">
        <v>7192</v>
      </c>
      <c r="W495" s="28" t="s">
        <v>7191</v>
      </c>
      <c r="X495" s="135">
        <v>45779.628472222219</v>
      </c>
      <c r="Y495" s="28"/>
      <c r="Z495" s="28">
        <v>0.6</v>
      </c>
      <c r="AA495" s="28"/>
      <c r="AB495" s="28" t="s">
        <v>1720</v>
      </c>
      <c r="AC495" s="110" t="s">
        <v>7354</v>
      </c>
      <c r="AD495" s="28" t="s">
        <v>1721</v>
      </c>
      <c r="AE495" s="28"/>
      <c r="AF495" s="28"/>
      <c r="AG495" s="28"/>
      <c r="AH495" s="28"/>
      <c r="AI495" s="28"/>
      <c r="AJ495" s="28" t="s">
        <v>1721</v>
      </c>
      <c r="AK495" s="28" t="s">
        <v>1721</v>
      </c>
      <c r="AL495" s="325"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5323</v>
      </c>
      <c r="R496" s="31" t="s">
        <v>52</v>
      </c>
      <c r="S496" s="31" t="s">
        <v>4110</v>
      </c>
      <c r="T496" s="31">
        <v>1</v>
      </c>
      <c r="U496" s="31" t="s">
        <v>1719</v>
      </c>
      <c r="V496" s="31" t="s">
        <v>7193</v>
      </c>
      <c r="W496" s="31" t="s">
        <v>7194</v>
      </c>
      <c r="X496" s="211">
        <v>45779.662499999999</v>
      </c>
      <c r="Y496" s="31"/>
      <c r="Z496" s="31">
        <v>0.4</v>
      </c>
      <c r="AA496" s="31"/>
      <c r="AB496" s="31" t="s">
        <v>1720</v>
      </c>
      <c r="AC496" s="33" t="s">
        <v>5109</v>
      </c>
      <c r="AD496" s="31" t="s">
        <v>1721</v>
      </c>
      <c r="AE496" s="31"/>
      <c r="AF496" s="31"/>
      <c r="AG496" s="31"/>
      <c r="AH496" s="31"/>
      <c r="AI496" s="31"/>
      <c r="AJ496" s="31" t="s">
        <v>1721</v>
      </c>
      <c r="AK496" s="31" t="s">
        <v>1721</v>
      </c>
      <c r="AL496" s="325"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5553</v>
      </c>
      <c r="R497" s="28" t="s">
        <v>52</v>
      </c>
      <c r="S497" s="28" t="s">
        <v>4110</v>
      </c>
      <c r="T497" s="28">
        <v>1</v>
      </c>
      <c r="U497" s="28" t="s">
        <v>1719</v>
      </c>
      <c r="V497" s="28" t="s">
        <v>7195</v>
      </c>
      <c r="W497" s="28" t="s">
        <v>7196</v>
      </c>
      <c r="X497" s="135">
        <v>45779.697222222225</v>
      </c>
      <c r="Y497" s="28"/>
      <c r="Z497" s="28">
        <v>0.4</v>
      </c>
      <c r="AA497" s="28"/>
      <c r="AB497" s="28" t="s">
        <v>1720</v>
      </c>
      <c r="AC497" s="29" t="s">
        <v>5109</v>
      </c>
      <c r="AD497" s="28" t="s">
        <v>1721</v>
      </c>
      <c r="AE497" s="28"/>
      <c r="AF497" s="28"/>
      <c r="AG497" s="28"/>
      <c r="AH497" s="28"/>
      <c r="AI497" s="28"/>
      <c r="AJ497" s="28" t="s">
        <v>1721</v>
      </c>
      <c r="AK497" s="28" t="s">
        <v>1721</v>
      </c>
      <c r="AL497" s="325" t="e">
        <f t="shared" si="21"/>
        <v>#VALUE!</v>
      </c>
      <c r="AM497"/>
    </row>
    <row r="498" spans="1:39" s="27" customFormat="1" ht="21.6" customHeight="1">
      <c r="A498" s="31">
        <v>18</v>
      </c>
      <c r="B498" s="31" t="s">
        <v>5033</v>
      </c>
      <c r="C498" s="31">
        <v>2025050344</v>
      </c>
      <c r="D498" s="31" t="s">
        <v>7197</v>
      </c>
      <c r="E498" s="31" t="s">
        <v>5035</v>
      </c>
      <c r="F498" s="31">
        <v>2349</v>
      </c>
      <c r="G498" s="31" t="s">
        <v>4083</v>
      </c>
      <c r="H498" s="31" t="s">
        <v>1747</v>
      </c>
      <c r="I498" s="31" t="s">
        <v>7198</v>
      </c>
      <c r="J498" s="31" t="s">
        <v>5575</v>
      </c>
      <c r="K498" s="31" t="s">
        <v>5039</v>
      </c>
      <c r="L498" s="31" t="s">
        <v>5068</v>
      </c>
      <c r="M498" s="32" t="s">
        <v>1723</v>
      </c>
      <c r="N498" s="31">
        <v>2307</v>
      </c>
      <c r="O498" s="32" t="s">
        <v>5383</v>
      </c>
      <c r="P498" s="33" t="s">
        <v>7199</v>
      </c>
      <c r="Q498" s="31" t="s">
        <v>6195</v>
      </c>
      <c r="R498" s="31" t="s">
        <v>52</v>
      </c>
      <c r="S498" s="31" t="s">
        <v>4110</v>
      </c>
      <c r="T498" s="31">
        <v>1</v>
      </c>
      <c r="U498" s="31" t="s">
        <v>1719</v>
      </c>
      <c r="V498" s="31" t="s">
        <v>7200</v>
      </c>
      <c r="W498" s="31" t="s">
        <v>7201</v>
      </c>
      <c r="X498" s="211">
        <v>45782.46875</v>
      </c>
      <c r="Y498" s="31" t="s">
        <v>7202</v>
      </c>
      <c r="Z498" s="31">
        <v>0.5</v>
      </c>
      <c r="AA498" s="31"/>
      <c r="AB498" s="31" t="s">
        <v>1720</v>
      </c>
      <c r="AC498" s="33" t="s">
        <v>7203</v>
      </c>
      <c r="AD498" s="31"/>
      <c r="AE498" s="31"/>
      <c r="AF498" s="31"/>
      <c r="AG498" s="31"/>
      <c r="AH498" s="31"/>
      <c r="AI498" s="31"/>
      <c r="AJ498" s="31"/>
      <c r="AK498" s="31" t="s">
        <v>1721</v>
      </c>
      <c r="AL498" s="325">
        <f t="shared" ref="AL498:AL500" si="22">DATEVALUE(TEXT(I498, "yyyy/mm/dd"))</f>
        <v>45780</v>
      </c>
      <c r="AM498"/>
    </row>
    <row r="499" spans="1:39" s="27" customFormat="1" ht="21.6" customHeight="1">
      <c r="A499" s="28">
        <v>19</v>
      </c>
      <c r="B499" s="28" t="s">
        <v>5033</v>
      </c>
      <c r="C499" s="28">
        <v>2025050347</v>
      </c>
      <c r="D499" s="28" t="s">
        <v>7204</v>
      </c>
      <c r="E499" s="28" t="s">
        <v>5035</v>
      </c>
      <c r="F499" s="28">
        <v>2321</v>
      </c>
      <c r="G499" s="28" t="s">
        <v>89</v>
      </c>
      <c r="H499" s="28" t="s">
        <v>1747</v>
      </c>
      <c r="I499" s="28" t="s">
        <v>7205</v>
      </c>
      <c r="J499" s="28" t="s">
        <v>5575</v>
      </c>
      <c r="K499" s="28" t="s">
        <v>5415</v>
      </c>
      <c r="L499" s="28" t="s">
        <v>5261</v>
      </c>
      <c r="M499" s="29" t="s">
        <v>5262</v>
      </c>
      <c r="N499" s="28">
        <v>5804</v>
      </c>
      <c r="O499" s="29" t="s">
        <v>5308</v>
      </c>
      <c r="P499" s="30" t="s">
        <v>7206</v>
      </c>
      <c r="Q499" s="28" t="s">
        <v>5083</v>
      </c>
      <c r="R499" s="28" t="s">
        <v>52</v>
      </c>
      <c r="S499" s="28" t="s">
        <v>4110</v>
      </c>
      <c r="T499" s="28">
        <v>1</v>
      </c>
      <c r="U499" s="28" t="s">
        <v>1719</v>
      </c>
      <c r="V499" s="28" t="s">
        <v>7207</v>
      </c>
      <c r="W499" s="28" t="s">
        <v>7208</v>
      </c>
      <c r="X499" s="135">
        <v>45782.410416666666</v>
      </c>
      <c r="Y499" s="28" t="s">
        <v>7202</v>
      </c>
      <c r="Z499" s="28">
        <v>0.5</v>
      </c>
      <c r="AA499" s="28"/>
      <c r="AB499" s="28" t="s">
        <v>1720</v>
      </c>
      <c r="AC499" s="30" t="s">
        <v>7209</v>
      </c>
      <c r="AD499" s="28"/>
      <c r="AE499" s="28"/>
      <c r="AF499" s="28"/>
      <c r="AG499" s="28"/>
      <c r="AH499" s="28"/>
      <c r="AI499" s="28"/>
      <c r="AJ499" s="28"/>
      <c r="AK499" s="28" t="s">
        <v>1721</v>
      </c>
      <c r="AL499" s="325">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6195</v>
      </c>
      <c r="R500" s="31" t="s">
        <v>52</v>
      </c>
      <c r="S500" s="31" t="s">
        <v>4110</v>
      </c>
      <c r="T500" s="31">
        <v>1</v>
      </c>
      <c r="U500" s="31" t="s">
        <v>1719</v>
      </c>
      <c r="V500" s="31" t="s">
        <v>7210</v>
      </c>
      <c r="W500" s="31" t="s">
        <v>7201</v>
      </c>
      <c r="X500" s="211">
        <v>45782.470138888886</v>
      </c>
      <c r="Y500" s="31"/>
      <c r="Z500" s="31">
        <v>0.5</v>
      </c>
      <c r="AA500" s="31"/>
      <c r="AB500" s="31" t="s">
        <v>1720</v>
      </c>
      <c r="AC500" s="32" t="s">
        <v>5109</v>
      </c>
      <c r="AD500" s="31" t="s">
        <v>1721</v>
      </c>
      <c r="AE500" s="31"/>
      <c r="AF500" s="31"/>
      <c r="AG500" s="31"/>
      <c r="AH500" s="31"/>
      <c r="AI500" s="31"/>
      <c r="AJ500" s="31" t="s">
        <v>1721</v>
      </c>
      <c r="AK500" s="31" t="s">
        <v>1721</v>
      </c>
      <c r="AL500" s="325" t="e">
        <f t="shared" si="22"/>
        <v>#VALUE!</v>
      </c>
      <c r="AM500"/>
    </row>
    <row r="501" spans="1:39" s="27" customFormat="1" ht="21.6" customHeight="1">
      <c r="A501" s="31">
        <v>22</v>
      </c>
      <c r="B501" s="31" t="s">
        <v>5033</v>
      </c>
      <c r="C501" s="31">
        <v>2025050419</v>
      </c>
      <c r="D501" s="31" t="s">
        <v>7212</v>
      </c>
      <c r="E501" s="31" t="s">
        <v>5035</v>
      </c>
      <c r="F501" s="31" t="s">
        <v>20</v>
      </c>
      <c r="G501" s="31" t="s">
        <v>4114</v>
      </c>
      <c r="H501" s="31" t="s">
        <v>1747</v>
      </c>
      <c r="I501" s="31" t="s">
        <v>7213</v>
      </c>
      <c r="J501" s="31" t="s">
        <v>5038</v>
      </c>
      <c r="K501" s="31" t="s">
        <v>5451</v>
      </c>
      <c r="L501" s="31" t="s">
        <v>5068</v>
      </c>
      <c r="M501" s="32" t="s">
        <v>1723</v>
      </c>
      <c r="N501" s="31">
        <v>2307</v>
      </c>
      <c r="O501" s="32" t="s">
        <v>5383</v>
      </c>
      <c r="P501" s="33" t="s">
        <v>7214</v>
      </c>
      <c r="Q501" s="31" t="s">
        <v>6104</v>
      </c>
      <c r="R501" s="31" t="s">
        <v>52</v>
      </c>
      <c r="S501" s="31" t="s">
        <v>4110</v>
      </c>
      <c r="T501" s="31">
        <v>1</v>
      </c>
      <c r="U501" s="31" t="s">
        <v>1719</v>
      </c>
      <c r="V501" s="31" t="s">
        <v>7215</v>
      </c>
      <c r="W501" s="31" t="s">
        <v>7216</v>
      </c>
      <c r="X501" s="211">
        <v>45783.577777777777</v>
      </c>
      <c r="Y501" s="31" t="s">
        <v>7217</v>
      </c>
      <c r="Z501" s="31">
        <v>2.4</v>
      </c>
      <c r="AA501" s="31"/>
      <c r="AB501" s="31" t="s">
        <v>1720</v>
      </c>
      <c r="AC501" s="33" t="s">
        <v>7218</v>
      </c>
      <c r="AD501" s="31"/>
      <c r="AE501" s="31"/>
      <c r="AF501" s="31"/>
      <c r="AG501" s="31"/>
      <c r="AH501" s="31"/>
      <c r="AI501" s="31"/>
      <c r="AJ501" s="31"/>
      <c r="AK501" s="31" t="s">
        <v>1721</v>
      </c>
      <c r="AL501" s="325">
        <f t="shared" ref="AL501:AL521" si="23">DATEVALUE(TEXT(I501, "yyyy/mm/dd"))</f>
        <v>45782</v>
      </c>
      <c r="AM501"/>
    </row>
    <row r="502" spans="1:39" s="27" customFormat="1" ht="21.6" customHeight="1">
      <c r="A502" s="28">
        <v>23</v>
      </c>
      <c r="B502" s="28" t="s">
        <v>5033</v>
      </c>
      <c r="C502" s="28">
        <v>2025050420</v>
      </c>
      <c r="D502" s="28" t="s">
        <v>7219</v>
      </c>
      <c r="E502" s="28" t="s">
        <v>5035</v>
      </c>
      <c r="F502" s="28" t="s">
        <v>19</v>
      </c>
      <c r="G502" s="28" t="s">
        <v>632</v>
      </c>
      <c r="H502" s="28" t="s">
        <v>1747</v>
      </c>
      <c r="I502" s="28" t="s">
        <v>7220</v>
      </c>
      <c r="J502" s="28" t="s">
        <v>5038</v>
      </c>
      <c r="K502" s="28" t="s">
        <v>5067</v>
      </c>
      <c r="L502" s="28" t="s">
        <v>5505</v>
      </c>
      <c r="M502" s="29" t="s">
        <v>5506</v>
      </c>
      <c r="N502" s="28">
        <v>2403</v>
      </c>
      <c r="O502" s="29" t="s">
        <v>6919</v>
      </c>
      <c r="P502" s="30" t="s">
        <v>7221</v>
      </c>
      <c r="Q502" s="28" t="s">
        <v>5204</v>
      </c>
      <c r="R502" s="28" t="s">
        <v>52</v>
      </c>
      <c r="S502" s="28" t="s">
        <v>4110</v>
      </c>
      <c r="T502" s="28">
        <v>1</v>
      </c>
      <c r="U502" s="28" t="s">
        <v>1719</v>
      </c>
      <c r="V502" s="28" t="s">
        <v>7222</v>
      </c>
      <c r="W502" s="28" t="s">
        <v>7223</v>
      </c>
      <c r="X502" s="135">
        <v>45783.417361111111</v>
      </c>
      <c r="Y502" s="28" t="s">
        <v>7224</v>
      </c>
      <c r="Z502" s="28">
        <v>0.5</v>
      </c>
      <c r="AA502" s="28"/>
      <c r="AB502" s="28" t="s">
        <v>1720</v>
      </c>
      <c r="AC502" s="30" t="s">
        <v>6924</v>
      </c>
      <c r="AD502" s="28"/>
      <c r="AE502" s="28"/>
      <c r="AF502" s="28"/>
      <c r="AG502" s="28"/>
      <c r="AH502" s="28"/>
      <c r="AI502" s="28"/>
      <c r="AJ502" s="28"/>
      <c r="AK502" s="28" t="s">
        <v>1721</v>
      </c>
      <c r="AL502" s="325">
        <f t="shared" si="23"/>
        <v>45782</v>
      </c>
      <c r="AM502"/>
    </row>
    <row r="503" spans="1:39" s="27" customFormat="1" ht="21.6" customHeight="1">
      <c r="A503" s="31">
        <v>24</v>
      </c>
      <c r="B503" s="31" t="s">
        <v>5033</v>
      </c>
      <c r="C503" s="31">
        <v>2025050501</v>
      </c>
      <c r="D503" s="31" t="s">
        <v>7225</v>
      </c>
      <c r="E503" s="31" t="s">
        <v>5035</v>
      </c>
      <c r="F503" s="31">
        <v>4422</v>
      </c>
      <c r="G503" s="31" t="s">
        <v>394</v>
      </c>
      <c r="H503" s="31" t="s">
        <v>1722</v>
      </c>
      <c r="I503" s="31" t="s">
        <v>7226</v>
      </c>
      <c r="J503" s="31" t="s">
        <v>5038</v>
      </c>
      <c r="K503" s="31" t="s">
        <v>5039</v>
      </c>
      <c r="L503" s="31" t="s">
        <v>5271</v>
      </c>
      <c r="M503" s="32" t="s">
        <v>5272</v>
      </c>
      <c r="N503" s="31" t="s">
        <v>663</v>
      </c>
      <c r="O503" s="32" t="s">
        <v>5273</v>
      </c>
      <c r="P503" s="33" t="s">
        <v>7227</v>
      </c>
      <c r="Q503" s="31" t="s">
        <v>6875</v>
      </c>
      <c r="R503" s="31" t="s">
        <v>52</v>
      </c>
      <c r="S503" s="31" t="s">
        <v>1157</v>
      </c>
      <c r="T503" s="31">
        <v>1</v>
      </c>
      <c r="U503" s="31" t="s">
        <v>1719</v>
      </c>
      <c r="V503" s="31" t="s">
        <v>7228</v>
      </c>
      <c r="W503" s="31" t="s">
        <v>7216</v>
      </c>
      <c r="X503" s="211">
        <v>45783.495833333334</v>
      </c>
      <c r="Y503" s="31" t="s">
        <v>7229</v>
      </c>
      <c r="Z503" s="31">
        <v>0.4</v>
      </c>
      <c r="AA503" s="31"/>
      <c r="AB503" s="31" t="s">
        <v>1720</v>
      </c>
      <c r="AC503" s="33" t="s">
        <v>7230</v>
      </c>
      <c r="AD503" s="31"/>
      <c r="AE503" s="31"/>
      <c r="AF503" s="31"/>
      <c r="AG503" s="31"/>
      <c r="AH503" s="31"/>
      <c r="AI503" s="31"/>
      <c r="AJ503" s="31"/>
      <c r="AK503" s="31" t="s">
        <v>1721</v>
      </c>
      <c r="AL503" s="325">
        <f t="shared" si="23"/>
        <v>45782</v>
      </c>
      <c r="AM503"/>
    </row>
    <row r="504" spans="1:39" s="27" customFormat="1" ht="21.6" customHeight="1">
      <c r="A504" s="28">
        <v>25</v>
      </c>
      <c r="B504" s="28" t="s">
        <v>5033</v>
      </c>
      <c r="C504" s="28">
        <v>2025050540</v>
      </c>
      <c r="D504" s="28" t="s">
        <v>7231</v>
      </c>
      <c r="E504" s="28" t="s">
        <v>5035</v>
      </c>
      <c r="F504" s="28">
        <v>4422</v>
      </c>
      <c r="G504" s="28" t="s">
        <v>394</v>
      </c>
      <c r="H504" s="28" t="s">
        <v>1722</v>
      </c>
      <c r="I504" s="28" t="s">
        <v>7232</v>
      </c>
      <c r="J504" s="28" t="s">
        <v>5038</v>
      </c>
      <c r="K504" s="28" t="s">
        <v>5039</v>
      </c>
      <c r="L504" s="28" t="s">
        <v>5271</v>
      </c>
      <c r="M504" s="29" t="s">
        <v>5272</v>
      </c>
      <c r="N504" s="28" t="s">
        <v>663</v>
      </c>
      <c r="O504" s="29" t="s">
        <v>5273</v>
      </c>
      <c r="P504" s="30" t="s">
        <v>7233</v>
      </c>
      <c r="Q504" s="28" t="s">
        <v>6875</v>
      </c>
      <c r="R504" s="28" t="s">
        <v>52</v>
      </c>
      <c r="S504" s="28" t="s">
        <v>1157</v>
      </c>
      <c r="T504" s="28">
        <v>1</v>
      </c>
      <c r="U504" s="28" t="s">
        <v>1719</v>
      </c>
      <c r="V504" s="28" t="s">
        <v>7234</v>
      </c>
      <c r="W504" s="28" t="s">
        <v>7216</v>
      </c>
      <c r="X504" s="135">
        <v>45783.49722222222</v>
      </c>
      <c r="Y504" s="28" t="s">
        <v>7235</v>
      </c>
      <c r="Z504" s="28">
        <v>0.4</v>
      </c>
      <c r="AA504" s="28"/>
      <c r="AB504" s="28" t="s">
        <v>1720</v>
      </c>
      <c r="AC504" s="30" t="s">
        <v>7236</v>
      </c>
      <c r="AD504" s="28"/>
      <c r="AE504" s="28"/>
      <c r="AF504" s="28"/>
      <c r="AG504" s="28"/>
      <c r="AH504" s="28"/>
      <c r="AI504" s="28"/>
      <c r="AJ504" s="28"/>
      <c r="AK504" s="28" t="s">
        <v>1721</v>
      </c>
      <c r="AL504" s="325">
        <f t="shared" si="23"/>
        <v>45782</v>
      </c>
      <c r="AM504"/>
    </row>
    <row r="505" spans="1:39" s="27" customFormat="1" ht="21.6" customHeight="1">
      <c r="A505" s="31">
        <v>26</v>
      </c>
      <c r="B505" s="31" t="s">
        <v>5033</v>
      </c>
      <c r="C505" s="31">
        <v>2025050579</v>
      </c>
      <c r="D505" s="31" t="s">
        <v>7237</v>
      </c>
      <c r="E505" s="31" t="s">
        <v>5035</v>
      </c>
      <c r="F505" s="31">
        <v>3243</v>
      </c>
      <c r="G505" s="31" t="s">
        <v>170</v>
      </c>
      <c r="H505" s="31" t="s">
        <v>1746</v>
      </c>
      <c r="I505" s="31" t="s">
        <v>7238</v>
      </c>
      <c r="J505" s="31" t="s">
        <v>5252</v>
      </c>
      <c r="K505" s="31" t="s">
        <v>5067</v>
      </c>
      <c r="L505" s="31" t="s">
        <v>5227</v>
      </c>
      <c r="M505" s="32" t="s">
        <v>5228</v>
      </c>
      <c r="N505" s="31" t="s">
        <v>5540</v>
      </c>
      <c r="O505" s="32" t="s">
        <v>5541</v>
      </c>
      <c r="P505" s="33" t="s">
        <v>7239</v>
      </c>
      <c r="Q505" s="31" t="s">
        <v>6552</v>
      </c>
      <c r="R505" s="31" t="s">
        <v>52</v>
      </c>
      <c r="S505" s="31" t="s">
        <v>16</v>
      </c>
      <c r="T505" s="31">
        <v>1</v>
      </c>
      <c r="U505" s="31" t="s">
        <v>1719</v>
      </c>
      <c r="V505" s="31" t="s">
        <v>7240</v>
      </c>
      <c r="W505" s="31" t="s">
        <v>7202</v>
      </c>
      <c r="X505" s="211">
        <v>45783.5625</v>
      </c>
      <c r="Y505" s="31" t="s">
        <v>7242</v>
      </c>
      <c r="Z505" s="31">
        <v>0.5</v>
      </c>
      <c r="AA505" s="31"/>
      <c r="AB505" s="31" t="s">
        <v>1720</v>
      </c>
      <c r="AC505" s="33" t="s">
        <v>7243</v>
      </c>
      <c r="AD505" s="31"/>
      <c r="AE505" s="31"/>
      <c r="AF505" s="31"/>
      <c r="AG505" s="31"/>
      <c r="AH505" s="31"/>
      <c r="AI505" s="31"/>
      <c r="AJ505" s="31"/>
      <c r="AK505" s="31" t="s">
        <v>1721</v>
      </c>
      <c r="AL505" s="325">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5453</v>
      </c>
      <c r="R506" s="28" t="s">
        <v>52</v>
      </c>
      <c r="S506" s="28" t="s">
        <v>16</v>
      </c>
      <c r="T506" s="28">
        <v>1</v>
      </c>
      <c r="U506" s="28" t="s">
        <v>1719</v>
      </c>
      <c r="V506" s="28" t="s">
        <v>7244</v>
      </c>
      <c r="W506" s="28" t="s">
        <v>7245</v>
      </c>
      <c r="X506" s="135">
        <v>45783.4375</v>
      </c>
      <c r="Y506" s="28"/>
      <c r="Z506" s="28">
        <v>0.5</v>
      </c>
      <c r="AA506" s="28"/>
      <c r="AB506" s="28" t="s">
        <v>1720</v>
      </c>
      <c r="AC506" s="30" t="s">
        <v>5109</v>
      </c>
      <c r="AD506" s="28" t="s">
        <v>1721</v>
      </c>
      <c r="AE506" s="28"/>
      <c r="AF506" s="28"/>
      <c r="AG506" s="28"/>
      <c r="AH506" s="28"/>
      <c r="AI506" s="28"/>
      <c r="AJ506" s="28" t="s">
        <v>1721</v>
      </c>
      <c r="AK506" s="28" t="s">
        <v>1721</v>
      </c>
      <c r="AL506" s="325"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5909</v>
      </c>
      <c r="R507" s="31" t="s">
        <v>52</v>
      </c>
      <c r="S507" s="31" t="s">
        <v>16</v>
      </c>
      <c r="T507" s="31">
        <v>1</v>
      </c>
      <c r="U507" s="31" t="s">
        <v>1719</v>
      </c>
      <c r="V507" s="31" t="s">
        <v>7246</v>
      </c>
      <c r="W507" s="31" t="s">
        <v>7247</v>
      </c>
      <c r="X507" s="211">
        <v>45783.489583333336</v>
      </c>
      <c r="Y507" s="31"/>
      <c r="Z507" s="31">
        <v>0.5</v>
      </c>
      <c r="AA507" s="31"/>
      <c r="AB507" s="31" t="s">
        <v>1720</v>
      </c>
      <c r="AC507" s="33" t="s">
        <v>5109</v>
      </c>
      <c r="AD507" s="31" t="s">
        <v>1721</v>
      </c>
      <c r="AE507" s="31"/>
      <c r="AF507" s="31"/>
      <c r="AG507" s="31"/>
      <c r="AH507" s="31"/>
      <c r="AI507" s="31"/>
      <c r="AJ507" s="31" t="s">
        <v>1721</v>
      </c>
      <c r="AK507" s="31" t="s">
        <v>1721</v>
      </c>
      <c r="AL507" s="325"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6552</v>
      </c>
      <c r="R508" s="28" t="s">
        <v>52</v>
      </c>
      <c r="S508" s="28" t="s">
        <v>16</v>
      </c>
      <c r="T508" s="28">
        <v>1</v>
      </c>
      <c r="U508" s="28" t="s">
        <v>1719</v>
      </c>
      <c r="V508" s="28" t="s">
        <v>7248</v>
      </c>
      <c r="W508" s="28" t="s">
        <v>7241</v>
      </c>
      <c r="X508" s="135">
        <v>45783.572916666664</v>
      </c>
      <c r="Y508" s="28"/>
      <c r="Z508" s="28">
        <v>0.3</v>
      </c>
      <c r="AA508" s="28"/>
      <c r="AB508" s="28" t="s">
        <v>1720</v>
      </c>
      <c r="AC508" s="30" t="s">
        <v>5109</v>
      </c>
      <c r="AD508" s="28" t="s">
        <v>1721</v>
      </c>
      <c r="AE508" s="28"/>
      <c r="AF508" s="28"/>
      <c r="AG508" s="28"/>
      <c r="AH508" s="28"/>
      <c r="AI508" s="28"/>
      <c r="AJ508" s="28" t="s">
        <v>1721</v>
      </c>
      <c r="AK508" s="28" t="s">
        <v>1721</v>
      </c>
      <c r="AL508" s="325"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6104</v>
      </c>
      <c r="R509" s="31" t="s">
        <v>52</v>
      </c>
      <c r="S509" s="31" t="s">
        <v>4110</v>
      </c>
      <c r="T509" s="31">
        <v>1</v>
      </c>
      <c r="U509" s="31" t="s">
        <v>1719</v>
      </c>
      <c r="V509" s="31" t="s">
        <v>7249</v>
      </c>
      <c r="W509" s="31" t="s">
        <v>7250</v>
      </c>
      <c r="X509" s="211">
        <v>45783.57916666667</v>
      </c>
      <c r="Y509" s="31"/>
      <c r="Z509" s="31">
        <v>0.6</v>
      </c>
      <c r="AA509" s="31"/>
      <c r="AB509" s="31" t="s">
        <v>1720</v>
      </c>
      <c r="AC509" s="33" t="s">
        <v>5109</v>
      </c>
      <c r="AD509" s="31" t="s">
        <v>1721</v>
      </c>
      <c r="AE509" s="31"/>
      <c r="AF509" s="31"/>
      <c r="AG509" s="31"/>
      <c r="AH509" s="31"/>
      <c r="AI509" s="31"/>
      <c r="AJ509" s="31"/>
      <c r="AK509" s="31" t="s">
        <v>1721</v>
      </c>
      <c r="AL509" s="325"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6155</v>
      </c>
      <c r="R510" s="28" t="s">
        <v>52</v>
      </c>
      <c r="S510" s="28" t="s">
        <v>16</v>
      </c>
      <c r="T510" s="28">
        <v>1</v>
      </c>
      <c r="U510" s="28" t="s">
        <v>1719</v>
      </c>
      <c r="V510" s="28" t="s">
        <v>7251</v>
      </c>
      <c r="W510" s="28" t="s">
        <v>7252</v>
      </c>
      <c r="X510" s="135">
        <v>45783.604166666664</v>
      </c>
      <c r="Y510" s="28"/>
      <c r="Z510" s="28">
        <v>0.5</v>
      </c>
      <c r="AA510" s="28"/>
      <c r="AB510" s="28" t="s">
        <v>1720</v>
      </c>
      <c r="AC510" s="30" t="s">
        <v>5109</v>
      </c>
      <c r="AD510" s="28" t="s">
        <v>1721</v>
      </c>
      <c r="AE510" s="28"/>
      <c r="AF510" s="28"/>
      <c r="AG510" s="28"/>
      <c r="AH510" s="28"/>
      <c r="AI510" s="28"/>
      <c r="AJ510" s="28" t="s">
        <v>1721</v>
      </c>
      <c r="AK510" s="28" t="s">
        <v>1721</v>
      </c>
      <c r="AL510" s="325"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5700</v>
      </c>
      <c r="R511" s="31" t="s">
        <v>52</v>
      </c>
      <c r="S511" s="31" t="s">
        <v>4110</v>
      </c>
      <c r="T511" s="31">
        <v>1</v>
      </c>
      <c r="U511" s="31" t="s">
        <v>1719</v>
      </c>
      <c r="V511" s="31" t="s">
        <v>7253</v>
      </c>
      <c r="W511" s="31" t="s">
        <v>7254</v>
      </c>
      <c r="X511" s="211">
        <v>45783.611805555556</v>
      </c>
      <c r="Y511" s="31"/>
      <c r="Z511" s="31">
        <v>0.4</v>
      </c>
      <c r="AA511" s="31"/>
      <c r="AB511" s="31" t="s">
        <v>1720</v>
      </c>
      <c r="AC511" s="33" t="s">
        <v>5109</v>
      </c>
      <c r="AD511" s="31" t="s">
        <v>1721</v>
      </c>
      <c r="AE511" s="31"/>
      <c r="AF511" s="31"/>
      <c r="AG511" s="31"/>
      <c r="AH511" s="31"/>
      <c r="AI511" s="31"/>
      <c r="AJ511" s="31"/>
      <c r="AK511" s="31" t="s">
        <v>1721</v>
      </c>
      <c r="AL511" s="325" t="e">
        <f t="shared" si="23"/>
        <v>#VALUE!</v>
      </c>
      <c r="AM511"/>
    </row>
    <row r="512" spans="1:39" s="27" customFormat="1" ht="21.6" customHeight="1">
      <c r="A512" s="28">
        <v>33</v>
      </c>
      <c r="B512" s="28" t="s">
        <v>1724</v>
      </c>
      <c r="C512" s="28">
        <v>2025050670</v>
      </c>
      <c r="D512" s="28"/>
      <c r="E512" s="28"/>
      <c r="F512" s="28">
        <v>5245</v>
      </c>
      <c r="G512" s="28" t="s">
        <v>5297</v>
      </c>
      <c r="H512" s="28" t="s">
        <v>1747</v>
      </c>
      <c r="I512" s="28"/>
      <c r="J512" s="28"/>
      <c r="K512" s="28"/>
      <c r="L512" s="28"/>
      <c r="M512" s="29"/>
      <c r="N512" s="28"/>
      <c r="O512" s="29"/>
      <c r="P512" s="30"/>
      <c r="Q512" s="28" t="s">
        <v>5301</v>
      </c>
      <c r="R512" s="28" t="s">
        <v>52</v>
      </c>
      <c r="S512" s="28" t="s">
        <v>4110</v>
      </c>
      <c r="T512" s="28">
        <v>1</v>
      </c>
      <c r="U512" s="28" t="s">
        <v>1719</v>
      </c>
      <c r="V512" s="28" t="s">
        <v>7255</v>
      </c>
      <c r="W512" s="28" t="s">
        <v>7256</v>
      </c>
      <c r="X512" s="135">
        <v>45783.632638888892</v>
      </c>
      <c r="Y512" s="28"/>
      <c r="Z512" s="28">
        <v>0.4</v>
      </c>
      <c r="AA512" s="28"/>
      <c r="AB512" s="28" t="s">
        <v>1720</v>
      </c>
      <c r="AC512" s="30" t="s">
        <v>5109</v>
      </c>
      <c r="AD512" s="28" t="s">
        <v>1721</v>
      </c>
      <c r="AE512" s="28"/>
      <c r="AF512" s="28"/>
      <c r="AG512" s="28"/>
      <c r="AH512" s="28"/>
      <c r="AI512" s="28"/>
      <c r="AJ512" s="28"/>
      <c r="AK512" s="28" t="s">
        <v>1721</v>
      </c>
      <c r="AL512" s="325"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6160</v>
      </c>
      <c r="R513" s="31" t="s">
        <v>52</v>
      </c>
      <c r="S513" s="31" t="s">
        <v>16</v>
      </c>
      <c r="T513" s="31">
        <v>1</v>
      </c>
      <c r="U513" s="31" t="s">
        <v>1719</v>
      </c>
      <c r="V513" s="31" t="s">
        <v>7257</v>
      </c>
      <c r="W513" s="31" t="s">
        <v>7258</v>
      </c>
      <c r="X513" s="211">
        <v>45783.635416666664</v>
      </c>
      <c r="Y513" s="31"/>
      <c r="Z513" s="31">
        <v>0.5</v>
      </c>
      <c r="AA513" s="31"/>
      <c r="AB513" s="31" t="s">
        <v>1720</v>
      </c>
      <c r="AC513" s="33" t="s">
        <v>5109</v>
      </c>
      <c r="AD513" s="31" t="s">
        <v>1721</v>
      </c>
      <c r="AE513" s="31"/>
      <c r="AF513" s="31"/>
      <c r="AG513" s="31"/>
      <c r="AH513" s="31"/>
      <c r="AI513" s="31"/>
      <c r="AJ513" s="31" t="s">
        <v>1721</v>
      </c>
      <c r="AK513" s="31" t="s">
        <v>1721</v>
      </c>
      <c r="AL513" s="325" t="e">
        <f t="shared" si="23"/>
        <v>#VALUE!</v>
      </c>
      <c r="AM513"/>
    </row>
    <row r="514" spans="1:39" s="27" customFormat="1" ht="21.6" customHeight="1">
      <c r="A514" s="28">
        <v>35</v>
      </c>
      <c r="B514" s="28" t="s">
        <v>5033</v>
      </c>
      <c r="C514" s="28">
        <v>2025050689</v>
      </c>
      <c r="D514" s="28" t="s">
        <v>7259</v>
      </c>
      <c r="E514" s="28" t="s">
        <v>5035</v>
      </c>
      <c r="F514" s="28">
        <v>4834</v>
      </c>
      <c r="G514" s="28" t="s">
        <v>536</v>
      </c>
      <c r="H514" s="28" t="s">
        <v>1746</v>
      </c>
      <c r="I514" s="28" t="s">
        <v>7260</v>
      </c>
      <c r="J514" s="28" t="s">
        <v>5252</v>
      </c>
      <c r="K514" s="28" t="s">
        <v>5039</v>
      </c>
      <c r="L514" s="28" t="s">
        <v>5261</v>
      </c>
      <c r="M514" s="29" t="s">
        <v>5262</v>
      </c>
      <c r="N514" s="28">
        <v>5801</v>
      </c>
      <c r="O514" s="29" t="s">
        <v>5263</v>
      </c>
      <c r="P514" s="30" t="s">
        <v>7261</v>
      </c>
      <c r="Q514" s="28" t="s">
        <v>6160</v>
      </c>
      <c r="R514" s="28" t="s">
        <v>52</v>
      </c>
      <c r="S514" s="28" t="s">
        <v>16</v>
      </c>
      <c r="T514" s="28">
        <v>1</v>
      </c>
      <c r="U514" s="28" t="s">
        <v>1719</v>
      </c>
      <c r="V514" s="28" t="s">
        <v>7262</v>
      </c>
      <c r="W514" s="28" t="s">
        <v>7263</v>
      </c>
      <c r="X514" s="135">
        <v>45783.698611111111</v>
      </c>
      <c r="Y514" s="28" t="s">
        <v>7264</v>
      </c>
      <c r="Z514" s="28">
        <v>0.5</v>
      </c>
      <c r="AA514" s="28"/>
      <c r="AB514" s="28" t="s">
        <v>1720</v>
      </c>
      <c r="AC514" s="30" t="s">
        <v>7265</v>
      </c>
      <c r="AD514" s="28"/>
      <c r="AE514" s="28"/>
      <c r="AF514" s="28"/>
      <c r="AG514" s="28"/>
      <c r="AH514" s="28"/>
      <c r="AI514" s="28"/>
      <c r="AJ514" s="28"/>
      <c r="AK514" s="28" t="s">
        <v>1721</v>
      </c>
      <c r="AL514" s="325">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5706</v>
      </c>
      <c r="R515" s="31" t="s">
        <v>52</v>
      </c>
      <c r="S515" s="31" t="s">
        <v>4110</v>
      </c>
      <c r="T515" s="31">
        <v>1</v>
      </c>
      <c r="U515" s="31" t="s">
        <v>1719</v>
      </c>
      <c r="V515" s="31" t="s">
        <v>7266</v>
      </c>
      <c r="W515" s="31" t="s">
        <v>7267</v>
      </c>
      <c r="X515" s="211">
        <v>45783.678472222222</v>
      </c>
      <c r="Y515" s="31"/>
      <c r="Z515" s="31">
        <v>0.5</v>
      </c>
      <c r="AA515" s="31"/>
      <c r="AB515" s="31" t="s">
        <v>1720</v>
      </c>
      <c r="AC515" s="33" t="s">
        <v>5109</v>
      </c>
      <c r="AD515" s="31" t="s">
        <v>1721</v>
      </c>
      <c r="AE515" s="31"/>
      <c r="AF515" s="31"/>
      <c r="AG515" s="31"/>
      <c r="AH515" s="31"/>
      <c r="AI515" s="31"/>
      <c r="AJ515" s="31"/>
      <c r="AK515" s="31" t="s">
        <v>1721</v>
      </c>
      <c r="AL515" s="325"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5706</v>
      </c>
      <c r="R516" s="28" t="s">
        <v>52</v>
      </c>
      <c r="S516" s="28" t="s">
        <v>4110</v>
      </c>
      <c r="T516" s="28">
        <v>1</v>
      </c>
      <c r="U516" s="28" t="s">
        <v>1719</v>
      </c>
      <c r="V516" s="28" t="s">
        <v>7268</v>
      </c>
      <c r="W516" s="28" t="s">
        <v>7267</v>
      </c>
      <c r="X516" s="135">
        <v>45783.678472222222</v>
      </c>
      <c r="Y516" s="28"/>
      <c r="Z516" s="28">
        <v>0.5</v>
      </c>
      <c r="AA516" s="28"/>
      <c r="AB516" s="28" t="s">
        <v>1720</v>
      </c>
      <c r="AC516" s="29" t="s">
        <v>5109</v>
      </c>
      <c r="AD516" s="28" t="s">
        <v>1721</v>
      </c>
      <c r="AE516" s="28"/>
      <c r="AF516" s="28"/>
      <c r="AG516" s="28"/>
      <c r="AH516" s="28"/>
      <c r="AI516" s="28"/>
      <c r="AJ516" s="28"/>
      <c r="AK516" s="28" t="s">
        <v>1721</v>
      </c>
      <c r="AL516" s="325"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5275</v>
      </c>
      <c r="R517" s="31" t="s">
        <v>52</v>
      </c>
      <c r="S517" s="31" t="s">
        <v>4110</v>
      </c>
      <c r="T517" s="31">
        <v>1</v>
      </c>
      <c r="U517" s="31" t="s">
        <v>1719</v>
      </c>
      <c r="V517" s="31" t="s">
        <v>7270</v>
      </c>
      <c r="W517" s="31" t="s">
        <v>7271</v>
      </c>
      <c r="X517" s="211">
        <v>45784.458333333336</v>
      </c>
      <c r="Y517" s="31"/>
      <c r="Z517" s="31">
        <v>0.3</v>
      </c>
      <c r="AA517" s="31"/>
      <c r="AB517" s="31" t="s">
        <v>1720</v>
      </c>
      <c r="AC517" s="33" t="s">
        <v>5109</v>
      </c>
      <c r="AD517" s="31" t="s">
        <v>1721</v>
      </c>
      <c r="AE517" s="31"/>
      <c r="AF517" s="31"/>
      <c r="AG517" s="31"/>
      <c r="AH517" s="31"/>
      <c r="AI517" s="31"/>
      <c r="AJ517" s="31"/>
      <c r="AK517" s="31" t="s">
        <v>1721</v>
      </c>
      <c r="AL517" s="325"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5514</v>
      </c>
      <c r="R518" s="28" t="s">
        <v>52</v>
      </c>
      <c r="S518" s="28" t="s">
        <v>4110</v>
      </c>
      <c r="T518" s="28">
        <v>1</v>
      </c>
      <c r="U518" s="28" t="s">
        <v>1719</v>
      </c>
      <c r="V518" s="28" t="s">
        <v>7272</v>
      </c>
      <c r="W518" s="28" t="s">
        <v>7273</v>
      </c>
      <c r="X518" s="135">
        <v>45784.496527777781</v>
      </c>
      <c r="Y518" s="28"/>
      <c r="Z518" s="28">
        <v>0.4</v>
      </c>
      <c r="AA518" s="28"/>
      <c r="AB518" s="28" t="s">
        <v>1720</v>
      </c>
      <c r="AC518" s="30" t="s">
        <v>5109</v>
      </c>
      <c r="AD518" s="28" t="s">
        <v>1721</v>
      </c>
      <c r="AE518" s="28"/>
      <c r="AF518" s="28"/>
      <c r="AG518" s="28"/>
      <c r="AH518" s="28"/>
      <c r="AI518" s="28"/>
      <c r="AJ518" s="28"/>
      <c r="AK518" s="28" t="s">
        <v>1721</v>
      </c>
      <c r="AL518" s="325"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6353</v>
      </c>
      <c r="R519" s="31" t="s">
        <v>52</v>
      </c>
      <c r="S519" s="31" t="s">
        <v>4110</v>
      </c>
      <c r="T519" s="31">
        <v>1</v>
      </c>
      <c r="U519" s="31" t="s">
        <v>1719</v>
      </c>
      <c r="V519" s="31" t="s">
        <v>7274</v>
      </c>
      <c r="W519" s="31" t="s">
        <v>7275</v>
      </c>
      <c r="X519" s="211">
        <v>45784.527777777781</v>
      </c>
      <c r="Y519" s="31"/>
      <c r="Z519" s="31">
        <v>0.4</v>
      </c>
      <c r="AA519" s="31"/>
      <c r="AB519" s="31" t="s">
        <v>1720</v>
      </c>
      <c r="AC519" s="33" t="s">
        <v>5109</v>
      </c>
      <c r="AD519" s="31" t="s">
        <v>1721</v>
      </c>
      <c r="AE519" s="31"/>
      <c r="AF519" s="31"/>
      <c r="AG519" s="31"/>
      <c r="AH519" s="31"/>
      <c r="AI519" s="31"/>
      <c r="AJ519" s="31"/>
      <c r="AK519" s="31" t="s">
        <v>1721</v>
      </c>
      <c r="AL519" s="325"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6107</v>
      </c>
      <c r="R520" s="28" t="s">
        <v>52</v>
      </c>
      <c r="S520" s="28" t="s">
        <v>4110</v>
      </c>
      <c r="T520" s="28">
        <v>1</v>
      </c>
      <c r="U520" s="28" t="s">
        <v>1719</v>
      </c>
      <c r="V520" s="28" t="s">
        <v>7276</v>
      </c>
      <c r="W520" s="28" t="s">
        <v>7277</v>
      </c>
      <c r="X520" s="135">
        <v>45784.618055555555</v>
      </c>
      <c r="Y520" s="28"/>
      <c r="Z520" s="28">
        <v>0.5</v>
      </c>
      <c r="AA520" s="28"/>
      <c r="AB520" s="28" t="s">
        <v>1720</v>
      </c>
      <c r="AC520" s="30" t="s">
        <v>5109</v>
      </c>
      <c r="AD520" s="28" t="s">
        <v>1721</v>
      </c>
      <c r="AE520" s="28"/>
      <c r="AF520" s="28"/>
      <c r="AG520" s="28"/>
      <c r="AH520" s="28"/>
      <c r="AI520" s="28"/>
      <c r="AJ520" s="28"/>
      <c r="AK520" s="28" t="s">
        <v>1721</v>
      </c>
      <c r="AL520" s="325"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6131</v>
      </c>
      <c r="R521" s="31" t="s">
        <v>52</v>
      </c>
      <c r="S521" s="31" t="s">
        <v>4110</v>
      </c>
      <c r="T521" s="31">
        <v>1</v>
      </c>
      <c r="U521" s="31" t="s">
        <v>1719</v>
      </c>
      <c r="V521" s="31" t="s">
        <v>7278</v>
      </c>
      <c r="W521" s="31" t="s">
        <v>7279</v>
      </c>
      <c r="X521" s="211">
        <v>45784.63958333333</v>
      </c>
      <c r="Y521" s="31"/>
      <c r="Z521" s="31">
        <v>0.4</v>
      </c>
      <c r="AA521" s="31"/>
      <c r="AB521" s="31" t="s">
        <v>1720</v>
      </c>
      <c r="AC521" s="32" t="s">
        <v>5109</v>
      </c>
      <c r="AD521" s="31" t="s">
        <v>1721</v>
      </c>
      <c r="AE521" s="31"/>
      <c r="AF521" s="31"/>
      <c r="AG521" s="31"/>
      <c r="AH521" s="31"/>
      <c r="AI521" s="31"/>
      <c r="AJ521" s="31"/>
      <c r="AK521" s="31" t="s">
        <v>1721</v>
      </c>
      <c r="AL521" s="325"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5821</v>
      </c>
      <c r="R522" s="31" t="s">
        <v>52</v>
      </c>
      <c r="S522" s="31" t="s">
        <v>4110</v>
      </c>
      <c r="T522" s="31">
        <v>1</v>
      </c>
      <c r="U522" s="31" t="s">
        <v>1719</v>
      </c>
      <c r="V522" s="31" t="s">
        <v>7280</v>
      </c>
      <c r="W522" s="31" t="s">
        <v>7281</v>
      </c>
      <c r="X522" s="211">
        <v>45785.459722222222</v>
      </c>
      <c r="Y522" s="31"/>
      <c r="Z522" s="31">
        <v>0.3</v>
      </c>
      <c r="AA522" s="31"/>
      <c r="AB522" s="31" t="s">
        <v>1720</v>
      </c>
      <c r="AC522" s="33" t="s">
        <v>5109</v>
      </c>
      <c r="AD522" s="31" t="s">
        <v>1721</v>
      </c>
      <c r="AE522" s="31"/>
      <c r="AF522" s="31"/>
      <c r="AG522" s="31"/>
      <c r="AH522" s="31"/>
      <c r="AI522" s="31"/>
      <c r="AJ522" s="31"/>
      <c r="AK522" s="31" t="s">
        <v>1721</v>
      </c>
      <c r="AL522" s="325"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6384</v>
      </c>
      <c r="R523" s="28" t="s">
        <v>52</v>
      </c>
      <c r="S523" s="28" t="s">
        <v>4110</v>
      </c>
      <c r="T523" s="28">
        <v>1</v>
      </c>
      <c r="U523" s="28" t="s">
        <v>1719</v>
      </c>
      <c r="V523" s="28" t="s">
        <v>7282</v>
      </c>
      <c r="W523" s="28" t="s">
        <v>7283</v>
      </c>
      <c r="X523" s="135">
        <v>45785.497916666667</v>
      </c>
      <c r="Y523" s="28"/>
      <c r="Z523" s="28">
        <v>0.3</v>
      </c>
      <c r="AA523" s="28"/>
      <c r="AB523" s="28" t="s">
        <v>1720</v>
      </c>
      <c r="AC523" s="30" t="s">
        <v>6965</v>
      </c>
      <c r="AD523" s="28" t="s">
        <v>1721</v>
      </c>
      <c r="AE523" s="28"/>
      <c r="AF523" s="28"/>
      <c r="AG523" s="28"/>
      <c r="AH523" s="28"/>
      <c r="AI523" s="28"/>
      <c r="AJ523" s="28"/>
      <c r="AK523" s="28" t="s">
        <v>1721</v>
      </c>
      <c r="AL523" s="325"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5425</v>
      </c>
      <c r="R524" s="31" t="s">
        <v>52</v>
      </c>
      <c r="S524" s="31" t="s">
        <v>4110</v>
      </c>
      <c r="T524" s="31">
        <v>1</v>
      </c>
      <c r="U524" s="31" t="s">
        <v>1719</v>
      </c>
      <c r="V524" s="31" t="s">
        <v>7284</v>
      </c>
      <c r="W524" s="31" t="s">
        <v>7285</v>
      </c>
      <c r="X524" s="211">
        <v>45785.518750000003</v>
      </c>
      <c r="Y524" s="31"/>
      <c r="Z524" s="31">
        <v>0.3</v>
      </c>
      <c r="AA524" s="31"/>
      <c r="AB524" s="31" t="s">
        <v>1720</v>
      </c>
      <c r="AC524" s="33" t="s">
        <v>5109</v>
      </c>
      <c r="AD524" s="31" t="s">
        <v>1721</v>
      </c>
      <c r="AE524" s="31"/>
      <c r="AF524" s="31"/>
      <c r="AG524" s="31"/>
      <c r="AH524" s="31"/>
      <c r="AI524" s="31"/>
      <c r="AJ524" s="31"/>
      <c r="AK524" s="31" t="s">
        <v>1721</v>
      </c>
      <c r="AL524" s="325"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6228</v>
      </c>
      <c r="R525" s="28" t="s">
        <v>52</v>
      </c>
      <c r="S525" s="28" t="s">
        <v>4110</v>
      </c>
      <c r="T525" s="28">
        <v>1</v>
      </c>
      <c r="U525" s="28" t="s">
        <v>1719</v>
      </c>
      <c r="V525" s="28" t="s">
        <v>7286</v>
      </c>
      <c r="W525" s="28" t="s">
        <v>7287</v>
      </c>
      <c r="X525" s="135">
        <v>45785.534722222219</v>
      </c>
      <c r="Y525" s="28"/>
      <c r="Z525" s="28">
        <v>0.3</v>
      </c>
      <c r="AA525" s="28"/>
      <c r="AB525" s="28" t="s">
        <v>1720</v>
      </c>
      <c r="AC525" s="30" t="s">
        <v>5109</v>
      </c>
      <c r="AD525" s="28" t="s">
        <v>1721</v>
      </c>
      <c r="AE525" s="28"/>
      <c r="AF525" s="28"/>
      <c r="AG525" s="28"/>
      <c r="AH525" s="28"/>
      <c r="AI525" s="28"/>
      <c r="AJ525" s="28"/>
      <c r="AK525" s="28" t="s">
        <v>1721</v>
      </c>
      <c r="AL525" s="325"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5703</v>
      </c>
      <c r="R526" s="31" t="s">
        <v>52</v>
      </c>
      <c r="S526" s="31" t="s">
        <v>4110</v>
      </c>
      <c r="T526" s="31">
        <v>1</v>
      </c>
      <c r="U526" s="31" t="s">
        <v>1719</v>
      </c>
      <c r="V526" s="31" t="s">
        <v>7288</v>
      </c>
      <c r="W526" s="31" t="s">
        <v>7289</v>
      </c>
      <c r="X526" s="211">
        <v>45785.598611111112</v>
      </c>
      <c r="Y526" s="31"/>
      <c r="Z526" s="31">
        <v>0.4</v>
      </c>
      <c r="AA526" s="31"/>
      <c r="AB526" s="31" t="s">
        <v>1720</v>
      </c>
      <c r="AC526" s="32" t="s">
        <v>5109</v>
      </c>
      <c r="AD526" s="31" t="s">
        <v>1721</v>
      </c>
      <c r="AE526" s="31"/>
      <c r="AF526" s="31"/>
      <c r="AG526" s="31"/>
      <c r="AH526" s="31"/>
      <c r="AI526" s="31"/>
      <c r="AJ526" s="31"/>
      <c r="AK526" s="31" t="s">
        <v>1721</v>
      </c>
      <c r="AL526" s="325" t="e">
        <f t="shared" si="24"/>
        <v>#VALUE!</v>
      </c>
      <c r="AM526"/>
    </row>
    <row r="527" spans="1:39" s="27" customFormat="1" ht="21.6" customHeight="1">
      <c r="A527" s="28">
        <v>49</v>
      </c>
      <c r="B527" s="28" t="s">
        <v>5033</v>
      </c>
      <c r="C527" s="28">
        <v>2025051401</v>
      </c>
      <c r="D527" s="28" t="s">
        <v>7296</v>
      </c>
      <c r="E527" s="28" t="s">
        <v>5035</v>
      </c>
      <c r="F527" s="28">
        <v>5316</v>
      </c>
      <c r="G527" s="28" t="s">
        <v>5144</v>
      </c>
      <c r="H527" s="28" t="s">
        <v>1747</v>
      </c>
      <c r="I527" s="28" t="s">
        <v>7297</v>
      </c>
      <c r="J527" s="28" t="s">
        <v>5299</v>
      </c>
      <c r="K527" s="28" t="s">
        <v>5039</v>
      </c>
      <c r="L527" s="28" t="s">
        <v>6044</v>
      </c>
      <c r="M527" s="29" t="s">
        <v>6045</v>
      </c>
      <c r="N527" s="28">
        <v>3404</v>
      </c>
      <c r="O527" s="29" t="s">
        <v>6046</v>
      </c>
      <c r="P527" s="30" t="s">
        <v>7298</v>
      </c>
      <c r="Q527" s="28" t="s">
        <v>5147</v>
      </c>
      <c r="R527" s="28" t="s">
        <v>52</v>
      </c>
      <c r="S527" s="28" t="s">
        <v>4110</v>
      </c>
      <c r="T527" s="28">
        <v>1</v>
      </c>
      <c r="U527" s="28" t="s">
        <v>1719</v>
      </c>
      <c r="V527" s="28" t="s">
        <v>7299</v>
      </c>
      <c r="W527" s="28" t="s">
        <v>7300</v>
      </c>
      <c r="X527" s="135">
        <v>45786.517361111109</v>
      </c>
      <c r="Y527" s="28" t="s">
        <v>7301</v>
      </c>
      <c r="Z527" s="28">
        <v>0.5</v>
      </c>
      <c r="AA527" s="28"/>
      <c r="AB527" s="28" t="s">
        <v>1720</v>
      </c>
      <c r="AC527" s="110" t="s">
        <v>7344</v>
      </c>
      <c r="AD527" s="28"/>
      <c r="AE527" s="28"/>
      <c r="AF527" s="28"/>
      <c r="AG527" s="28"/>
      <c r="AH527" s="28"/>
      <c r="AI527" s="28"/>
      <c r="AJ527" s="28"/>
      <c r="AK527" s="28" t="s">
        <v>1721</v>
      </c>
      <c r="AL527" s="325">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6363</v>
      </c>
      <c r="R528" s="31" t="s">
        <v>52</v>
      </c>
      <c r="S528" s="31" t="s">
        <v>4110</v>
      </c>
      <c r="T528" s="31">
        <v>1</v>
      </c>
      <c r="U528" s="31" t="s">
        <v>1719</v>
      </c>
      <c r="V528" s="31" t="s">
        <v>7303</v>
      </c>
      <c r="W528" s="31" t="s">
        <v>7304</v>
      </c>
      <c r="X528" s="211">
        <v>45786.604166666664</v>
      </c>
      <c r="Y528" s="31"/>
      <c r="Z528" s="31">
        <v>0.5</v>
      </c>
      <c r="AA528" s="31"/>
      <c r="AB528" s="31" t="s">
        <v>1720</v>
      </c>
      <c r="AC528" s="33" t="s">
        <v>5109</v>
      </c>
      <c r="AD528" s="31" t="s">
        <v>1721</v>
      </c>
      <c r="AE528" s="31"/>
      <c r="AF528" s="31"/>
      <c r="AG528" s="31"/>
      <c r="AH528" s="31"/>
      <c r="AI528" s="31"/>
      <c r="AJ528" s="31"/>
      <c r="AK528" s="31" t="s">
        <v>1721</v>
      </c>
      <c r="AL528" s="325"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6218</v>
      </c>
      <c r="R529" s="28" t="s">
        <v>52</v>
      </c>
      <c r="S529" s="28" t="s">
        <v>4110</v>
      </c>
      <c r="T529" s="28">
        <v>1</v>
      </c>
      <c r="U529" s="28" t="s">
        <v>1719</v>
      </c>
      <c r="V529" s="28" t="s">
        <v>7305</v>
      </c>
      <c r="W529" s="28" t="s">
        <v>7306</v>
      </c>
      <c r="X529" s="135">
        <v>45786.625</v>
      </c>
      <c r="Y529" s="28"/>
      <c r="Z529" s="28">
        <v>0.3</v>
      </c>
      <c r="AA529" s="28"/>
      <c r="AB529" s="28" t="s">
        <v>1720</v>
      </c>
      <c r="AC529" s="30" t="s">
        <v>5109</v>
      </c>
      <c r="AD529" s="28" t="s">
        <v>1721</v>
      </c>
      <c r="AE529" s="28"/>
      <c r="AF529" s="28"/>
      <c r="AG529" s="28"/>
      <c r="AH529" s="28"/>
      <c r="AI529" s="28"/>
      <c r="AJ529" s="28"/>
      <c r="AK529" s="28" t="s">
        <v>1721</v>
      </c>
      <c r="AL529" s="325"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5967</v>
      </c>
      <c r="R530" s="31" t="s">
        <v>52</v>
      </c>
      <c r="S530" s="31" t="s">
        <v>16</v>
      </c>
      <c r="T530" s="31">
        <v>1</v>
      </c>
      <c r="U530" s="31" t="s">
        <v>1719</v>
      </c>
      <c r="V530" s="31" t="s">
        <v>7307</v>
      </c>
      <c r="W530" s="31" t="s">
        <v>7308</v>
      </c>
      <c r="X530" s="211">
        <v>45786.638888888891</v>
      </c>
      <c r="Y530" s="31"/>
      <c r="Z530" s="31">
        <v>0.5</v>
      </c>
      <c r="AA530" s="31"/>
      <c r="AB530" s="31" t="s">
        <v>1720</v>
      </c>
      <c r="AC530" s="33" t="s">
        <v>5109</v>
      </c>
      <c r="AD530" s="31" t="s">
        <v>1721</v>
      </c>
      <c r="AE530" s="31"/>
      <c r="AF530" s="31"/>
      <c r="AG530" s="31"/>
      <c r="AH530" s="31"/>
      <c r="AI530" s="31"/>
      <c r="AJ530" s="31" t="s">
        <v>1721</v>
      </c>
      <c r="AK530" s="31" t="s">
        <v>1721</v>
      </c>
      <c r="AL530" s="325"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5961</v>
      </c>
      <c r="R531" s="28" t="s">
        <v>52</v>
      </c>
      <c r="S531" s="28" t="s">
        <v>16</v>
      </c>
      <c r="T531" s="28">
        <v>1</v>
      </c>
      <c r="U531" s="28" t="s">
        <v>1719</v>
      </c>
      <c r="V531" s="28" t="s">
        <v>7310</v>
      </c>
      <c r="W531" s="28" t="s">
        <v>7309</v>
      </c>
      <c r="X531" s="135">
        <v>45786.652777777781</v>
      </c>
      <c r="Y531" s="28"/>
      <c r="Z531" s="28">
        <v>0.3</v>
      </c>
      <c r="AA531" s="28"/>
      <c r="AB531" s="28" t="s">
        <v>1720</v>
      </c>
      <c r="AC531" s="30" t="s">
        <v>5109</v>
      </c>
      <c r="AD531" s="28" t="s">
        <v>1721</v>
      </c>
      <c r="AE531" s="28"/>
      <c r="AF531" s="28"/>
      <c r="AG531" s="28"/>
      <c r="AH531" s="28"/>
      <c r="AI531" s="28"/>
      <c r="AJ531" s="28" t="s">
        <v>1721</v>
      </c>
      <c r="AK531" s="28" t="s">
        <v>1721</v>
      </c>
      <c r="AL531" s="325"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6215</v>
      </c>
      <c r="R532" s="31" t="s">
        <v>52</v>
      </c>
      <c r="S532" s="31" t="s">
        <v>4110</v>
      </c>
      <c r="T532" s="31">
        <v>1</v>
      </c>
      <c r="U532" s="31" t="s">
        <v>1719</v>
      </c>
      <c r="V532" s="31" t="s">
        <v>7312</v>
      </c>
      <c r="W532" s="31" t="s">
        <v>7309</v>
      </c>
      <c r="X532" s="211">
        <v>45786.65625</v>
      </c>
      <c r="Y532" s="31"/>
      <c r="Z532" s="31">
        <v>0.4</v>
      </c>
      <c r="AA532" s="31"/>
      <c r="AB532" s="31" t="s">
        <v>1720</v>
      </c>
      <c r="AC532" s="33" t="s">
        <v>5109</v>
      </c>
      <c r="AD532" s="31" t="s">
        <v>1721</v>
      </c>
      <c r="AE532" s="31"/>
      <c r="AF532" s="31"/>
      <c r="AG532" s="31"/>
      <c r="AH532" s="31"/>
      <c r="AI532" s="31"/>
      <c r="AJ532" s="31"/>
      <c r="AK532" s="31" t="s">
        <v>1721</v>
      </c>
      <c r="AL532" s="325"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6212</v>
      </c>
      <c r="R533" s="28" t="s">
        <v>52</v>
      </c>
      <c r="S533" s="28" t="s">
        <v>4110</v>
      </c>
      <c r="T533" s="28">
        <v>1</v>
      </c>
      <c r="U533" s="28" t="s">
        <v>1719</v>
      </c>
      <c r="V533" s="28" t="s">
        <v>7313</v>
      </c>
      <c r="W533" s="28" t="s">
        <v>7314</v>
      </c>
      <c r="X533" s="135">
        <v>45786.679861111108</v>
      </c>
      <c r="Y533" s="28"/>
      <c r="Z533" s="28">
        <v>0.3</v>
      </c>
      <c r="AA533" s="28"/>
      <c r="AB533" s="28" t="s">
        <v>1720</v>
      </c>
      <c r="AC533" s="30" t="s">
        <v>5109</v>
      </c>
      <c r="AD533" s="28" t="s">
        <v>1721</v>
      </c>
      <c r="AE533" s="28"/>
      <c r="AF533" s="28"/>
      <c r="AG533" s="28"/>
      <c r="AH533" s="28"/>
      <c r="AI533" s="28"/>
      <c r="AJ533" s="28"/>
      <c r="AK533" s="28" t="s">
        <v>1721</v>
      </c>
      <c r="AL533" s="325"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5956</v>
      </c>
      <c r="R534" s="31" t="s">
        <v>52</v>
      </c>
      <c r="S534" s="31" t="s">
        <v>16</v>
      </c>
      <c r="T534" s="31">
        <v>1</v>
      </c>
      <c r="U534" s="31" t="s">
        <v>1719</v>
      </c>
      <c r="V534" s="31" t="s">
        <v>7315</v>
      </c>
      <c r="W534" s="31" t="s">
        <v>7311</v>
      </c>
      <c r="X534" s="211">
        <v>45786.666666666664</v>
      </c>
      <c r="Y534" s="31"/>
      <c r="Z534" s="31">
        <v>0.3</v>
      </c>
      <c r="AA534" s="31"/>
      <c r="AB534" s="31" t="s">
        <v>1720</v>
      </c>
      <c r="AC534" s="32" t="s">
        <v>5109</v>
      </c>
      <c r="AD534" s="31" t="s">
        <v>1721</v>
      </c>
      <c r="AE534" s="31"/>
      <c r="AF534" s="31"/>
      <c r="AG534" s="31"/>
      <c r="AH534" s="31"/>
      <c r="AI534" s="31"/>
      <c r="AJ534" s="31" t="s">
        <v>1721</v>
      </c>
      <c r="AK534" s="31" t="s">
        <v>1721</v>
      </c>
      <c r="AL534" s="325" t="e">
        <f t="shared" si="25"/>
        <v>#VALUE!</v>
      </c>
      <c r="AM534"/>
    </row>
    <row r="535" spans="1:39" s="27" customFormat="1" ht="21.6" customHeight="1">
      <c r="A535" s="28">
        <v>57</v>
      </c>
      <c r="B535" s="28" t="s">
        <v>5033</v>
      </c>
      <c r="C535" s="28">
        <v>2025051502</v>
      </c>
      <c r="D535" s="28" t="s">
        <v>7316</v>
      </c>
      <c r="E535" s="28" t="s">
        <v>5035</v>
      </c>
      <c r="F535" s="28">
        <v>4208</v>
      </c>
      <c r="G535" s="28" t="s">
        <v>329</v>
      </c>
      <c r="H535" s="28" t="s">
        <v>1748</v>
      </c>
      <c r="I535" s="28" t="s">
        <v>7317</v>
      </c>
      <c r="J535" s="28" t="s">
        <v>5575</v>
      </c>
      <c r="K535" s="28" t="s">
        <v>5451</v>
      </c>
      <c r="L535" s="28" t="s">
        <v>5271</v>
      </c>
      <c r="M535" s="29" t="s">
        <v>5272</v>
      </c>
      <c r="N535" s="28" t="s">
        <v>663</v>
      </c>
      <c r="O535" s="29" t="s">
        <v>5273</v>
      </c>
      <c r="P535" s="30" t="s">
        <v>7318</v>
      </c>
      <c r="Q535" s="28" t="s">
        <v>5961</v>
      </c>
      <c r="R535" s="28" t="s">
        <v>52</v>
      </c>
      <c r="S535" s="28" t="s">
        <v>16</v>
      </c>
      <c r="T535" s="28">
        <v>1</v>
      </c>
      <c r="U535" s="28" t="s">
        <v>1719</v>
      </c>
      <c r="V535" s="28" t="s">
        <v>7319</v>
      </c>
      <c r="W535" s="28" t="s">
        <v>7320</v>
      </c>
      <c r="X535" s="135">
        <v>45789.4375</v>
      </c>
      <c r="Y535" s="28" t="s">
        <v>7322</v>
      </c>
      <c r="Z535" s="28">
        <v>0.5</v>
      </c>
      <c r="AA535" s="28"/>
      <c r="AB535" s="28" t="s">
        <v>1720</v>
      </c>
      <c r="AC535" s="30" t="s">
        <v>7323</v>
      </c>
      <c r="AD535" s="28"/>
      <c r="AE535" s="28"/>
      <c r="AF535" s="28"/>
      <c r="AG535" s="28"/>
      <c r="AH535" s="28"/>
      <c r="AI535" s="28"/>
      <c r="AJ535" s="28"/>
      <c r="AK535" s="28" t="s">
        <v>1721</v>
      </c>
      <c r="AL535" s="325">
        <f t="shared" ref="AL535:AL540" si="26">DATEVALUE(TEXT(I535, "yyyy/mm/dd"))</f>
        <v>45787</v>
      </c>
      <c r="AM535"/>
    </row>
    <row r="536" spans="1:39" s="27" customFormat="1" ht="21.6" customHeight="1">
      <c r="A536" s="31">
        <v>58</v>
      </c>
      <c r="B536" s="31" t="s">
        <v>5033</v>
      </c>
      <c r="C536" s="31">
        <v>2025051503</v>
      </c>
      <c r="D536" s="31" t="s">
        <v>7324</v>
      </c>
      <c r="E536" s="31" t="s">
        <v>5035</v>
      </c>
      <c r="F536" s="31">
        <v>4208</v>
      </c>
      <c r="G536" s="31" t="s">
        <v>329</v>
      </c>
      <c r="H536" s="31" t="s">
        <v>1748</v>
      </c>
      <c r="I536" s="31" t="s">
        <v>7325</v>
      </c>
      <c r="J536" s="31" t="s">
        <v>5575</v>
      </c>
      <c r="K536" s="31" t="s">
        <v>5067</v>
      </c>
      <c r="L536" s="31" t="s">
        <v>5271</v>
      </c>
      <c r="M536" s="32" t="s">
        <v>5272</v>
      </c>
      <c r="N536" s="31" t="s">
        <v>663</v>
      </c>
      <c r="O536" s="32" t="s">
        <v>5273</v>
      </c>
      <c r="P536" s="33" t="s">
        <v>7326</v>
      </c>
      <c r="Q536" s="31" t="s">
        <v>5961</v>
      </c>
      <c r="R536" s="31" t="s">
        <v>52</v>
      </c>
      <c r="S536" s="31" t="s">
        <v>16</v>
      </c>
      <c r="T536" s="31">
        <v>1</v>
      </c>
      <c r="U536" s="31" t="s">
        <v>1719</v>
      </c>
      <c r="V536" s="31" t="s">
        <v>7327</v>
      </c>
      <c r="W536" s="31" t="s">
        <v>7321</v>
      </c>
      <c r="X536" s="211">
        <v>45789.458333333336</v>
      </c>
      <c r="Y536" s="31" t="s">
        <v>7322</v>
      </c>
      <c r="Z536" s="31">
        <v>0.5</v>
      </c>
      <c r="AA536" s="31"/>
      <c r="AB536" s="31" t="s">
        <v>1720</v>
      </c>
      <c r="AC536" s="33" t="s">
        <v>7329</v>
      </c>
      <c r="AD536" s="31"/>
      <c r="AE536" s="31"/>
      <c r="AF536" s="31"/>
      <c r="AG536" s="31"/>
      <c r="AH536" s="31"/>
      <c r="AI536" s="31"/>
      <c r="AJ536" s="31"/>
      <c r="AK536" s="31" t="s">
        <v>1721</v>
      </c>
      <c r="AL536" s="325">
        <f t="shared" si="26"/>
        <v>45787</v>
      </c>
      <c r="AM536"/>
    </row>
    <row r="537" spans="1:39" s="27" customFormat="1" ht="21.6" customHeight="1">
      <c r="A537" s="28">
        <v>59</v>
      </c>
      <c r="B537" s="28" t="s">
        <v>5033</v>
      </c>
      <c r="C537" s="28">
        <v>2025051526</v>
      </c>
      <c r="D537" s="28" t="s">
        <v>7330</v>
      </c>
      <c r="E537" s="28" t="s">
        <v>5503</v>
      </c>
      <c r="F537" s="28">
        <v>4528</v>
      </c>
      <c r="G537" s="28" t="s">
        <v>427</v>
      </c>
      <c r="H537" s="28" t="s">
        <v>3319</v>
      </c>
      <c r="I537" s="28" t="s">
        <v>7331</v>
      </c>
      <c r="J537" s="28" t="s">
        <v>5226</v>
      </c>
      <c r="K537" s="28" t="s">
        <v>5039</v>
      </c>
      <c r="L537" s="28" t="s">
        <v>5227</v>
      </c>
      <c r="M537" s="29" t="s">
        <v>5228</v>
      </c>
      <c r="N537" s="28" t="s">
        <v>7332</v>
      </c>
      <c r="O537" s="29" t="s">
        <v>7333</v>
      </c>
      <c r="P537" s="30" t="s">
        <v>7334</v>
      </c>
      <c r="Q537" s="28" t="s">
        <v>5171</v>
      </c>
      <c r="R537" s="28" t="s">
        <v>52</v>
      </c>
      <c r="S537" s="28" t="s">
        <v>1157</v>
      </c>
      <c r="T537" s="28">
        <v>1</v>
      </c>
      <c r="U537" s="28" t="s">
        <v>1719</v>
      </c>
      <c r="V537" s="28" t="s">
        <v>7335</v>
      </c>
      <c r="W537" s="28" t="s">
        <v>7336</v>
      </c>
      <c r="X537" s="135">
        <v>45789.306250000001</v>
      </c>
      <c r="Y537" s="28" t="s">
        <v>7337</v>
      </c>
      <c r="Z537" s="28">
        <v>0.5</v>
      </c>
      <c r="AA537" s="28"/>
      <c r="AB537" s="28" t="s">
        <v>5562</v>
      </c>
      <c r="AC537" s="30" t="s">
        <v>5389</v>
      </c>
      <c r="AD537" s="28"/>
      <c r="AE537" s="28"/>
      <c r="AF537" s="28"/>
      <c r="AG537" s="28"/>
      <c r="AH537" s="28"/>
      <c r="AI537" s="28"/>
      <c r="AJ537" s="28"/>
      <c r="AK537" s="28" t="s">
        <v>1721</v>
      </c>
      <c r="AL537" s="325">
        <f t="shared" si="26"/>
        <v>45788</v>
      </c>
      <c r="AM537"/>
    </row>
    <row r="538" spans="1:39" s="27" customFormat="1" ht="21.6" customHeight="1">
      <c r="A538" s="31">
        <v>60</v>
      </c>
      <c r="B538" s="31" t="s">
        <v>1724</v>
      </c>
      <c r="C538" s="31">
        <v>2025051575</v>
      </c>
      <c r="D538" s="31"/>
      <c r="E538" s="31"/>
      <c r="F538" s="31">
        <v>5291</v>
      </c>
      <c r="G538" s="31" t="s">
        <v>5036</v>
      </c>
      <c r="H538" s="31" t="s">
        <v>1748</v>
      </c>
      <c r="I538" s="31"/>
      <c r="J538" s="31"/>
      <c r="K538" s="31"/>
      <c r="L538" s="31"/>
      <c r="M538" s="32"/>
      <c r="N538" s="31"/>
      <c r="O538" s="32"/>
      <c r="P538" s="33"/>
      <c r="Q538" s="31" t="s">
        <v>5043</v>
      </c>
      <c r="R538" s="31" t="s">
        <v>52</v>
      </c>
      <c r="S538" s="31" t="s">
        <v>16</v>
      </c>
      <c r="T538" s="31">
        <v>1</v>
      </c>
      <c r="U538" s="31" t="s">
        <v>1719</v>
      </c>
      <c r="V538" s="31" t="s">
        <v>7338</v>
      </c>
      <c r="W538" s="31" t="s">
        <v>7328</v>
      </c>
      <c r="X538" s="211">
        <v>45789.472222222219</v>
      </c>
      <c r="Y538" s="31"/>
      <c r="Z538" s="31">
        <v>0.3</v>
      </c>
      <c r="AA538" s="31"/>
      <c r="AB538" s="31" t="s">
        <v>1720</v>
      </c>
      <c r="AC538" s="33" t="s">
        <v>5109</v>
      </c>
      <c r="AD538" s="31" t="s">
        <v>1721</v>
      </c>
      <c r="AE538" s="31"/>
      <c r="AF538" s="31"/>
      <c r="AG538" s="31"/>
      <c r="AH538" s="31"/>
      <c r="AI538" s="31"/>
      <c r="AJ538" s="31" t="s">
        <v>1721</v>
      </c>
      <c r="AK538" s="31" t="s">
        <v>1721</v>
      </c>
      <c r="AL538" s="325" t="e">
        <f t="shared" si="26"/>
        <v>#VALUE!</v>
      </c>
      <c r="AM538"/>
    </row>
    <row r="539" spans="1:39" s="27" customFormat="1" ht="21.6" customHeight="1">
      <c r="A539" s="28">
        <v>61</v>
      </c>
      <c r="B539" s="28" t="s">
        <v>1724</v>
      </c>
      <c r="C539" s="28">
        <v>2025051608</v>
      </c>
      <c r="D539" s="28"/>
      <c r="E539" s="28"/>
      <c r="F539" s="28">
        <v>2749</v>
      </c>
      <c r="G539" s="28" t="s">
        <v>128</v>
      </c>
      <c r="H539" s="28" t="s">
        <v>3321</v>
      </c>
      <c r="I539" s="28"/>
      <c r="J539" s="28"/>
      <c r="K539" s="28"/>
      <c r="L539" s="28"/>
      <c r="M539" s="29"/>
      <c r="N539" s="28"/>
      <c r="O539" s="29"/>
      <c r="P539" s="30"/>
      <c r="Q539" s="28" t="s">
        <v>5888</v>
      </c>
      <c r="R539" s="28" t="s">
        <v>52</v>
      </c>
      <c r="S539" s="28" t="s">
        <v>4110</v>
      </c>
      <c r="T539" s="28">
        <v>1</v>
      </c>
      <c r="U539" s="28" t="s">
        <v>1719</v>
      </c>
      <c r="V539" s="28" t="s">
        <v>7339</v>
      </c>
      <c r="W539" s="28" t="s">
        <v>7340</v>
      </c>
      <c r="X539" s="135">
        <v>45789.555555555555</v>
      </c>
      <c r="Y539" s="28"/>
      <c r="Z539" s="28">
        <v>0.3</v>
      </c>
      <c r="AA539" s="28"/>
      <c r="AB539" s="28" t="s">
        <v>1720</v>
      </c>
      <c r="AC539" s="30" t="s">
        <v>5109</v>
      </c>
      <c r="AD539" s="28" t="s">
        <v>1721</v>
      </c>
      <c r="AE539" s="28"/>
      <c r="AF539" s="28"/>
      <c r="AG539" s="28"/>
      <c r="AH539" s="28"/>
      <c r="AI539" s="28"/>
      <c r="AJ539" s="28"/>
      <c r="AK539" s="28" t="s">
        <v>1721</v>
      </c>
      <c r="AL539" s="325" t="e">
        <f t="shared" si="26"/>
        <v>#VALUE!</v>
      </c>
      <c r="AM539"/>
    </row>
    <row r="540" spans="1:39" s="27" customFormat="1" ht="21.6" customHeight="1">
      <c r="A540" s="31">
        <v>62</v>
      </c>
      <c r="B540" s="31" t="s">
        <v>1724</v>
      </c>
      <c r="C540" s="31">
        <v>2025051610</v>
      </c>
      <c r="D540" s="31"/>
      <c r="E540" s="31"/>
      <c r="F540" s="31">
        <v>4511</v>
      </c>
      <c r="G540" s="31" t="s">
        <v>416</v>
      </c>
      <c r="H540" s="31" t="s">
        <v>3321</v>
      </c>
      <c r="I540" s="31"/>
      <c r="J540" s="31"/>
      <c r="K540" s="31"/>
      <c r="L540" s="31"/>
      <c r="M540" s="32"/>
      <c r="N540" s="31"/>
      <c r="O540" s="32"/>
      <c r="P540" s="32"/>
      <c r="Q540" s="31" t="s">
        <v>5891</v>
      </c>
      <c r="R540" s="31" t="s">
        <v>52</v>
      </c>
      <c r="S540" s="31" t="s">
        <v>4110</v>
      </c>
      <c r="T540" s="31">
        <v>1</v>
      </c>
      <c r="U540" s="31" t="s">
        <v>1719</v>
      </c>
      <c r="V540" s="31" t="s">
        <v>7341</v>
      </c>
      <c r="W540" s="31" t="s">
        <v>7342</v>
      </c>
      <c r="X540" s="211">
        <v>45789.583333333336</v>
      </c>
      <c r="Y540" s="31"/>
      <c r="Z540" s="31">
        <v>0.3</v>
      </c>
      <c r="AA540" s="31"/>
      <c r="AB540" s="31" t="s">
        <v>1720</v>
      </c>
      <c r="AC540" s="32" t="s">
        <v>5109</v>
      </c>
      <c r="AD540" s="31" t="s">
        <v>1721</v>
      </c>
      <c r="AE540" s="31"/>
      <c r="AF540" s="31"/>
      <c r="AG540" s="31"/>
      <c r="AH540" s="31"/>
      <c r="AI540" s="31"/>
      <c r="AJ540" s="31"/>
      <c r="AK540" s="31" t="s">
        <v>1721</v>
      </c>
      <c r="AL540" s="325" t="e">
        <f t="shared" si="26"/>
        <v>#VALUE!</v>
      </c>
      <c r="AM540"/>
    </row>
    <row r="541" spans="1:39" s="27" customFormat="1" ht="21.6" customHeight="1">
      <c r="A541" s="28">
        <v>63</v>
      </c>
      <c r="B541" s="28" t="s">
        <v>1724</v>
      </c>
      <c r="C541" s="28">
        <v>2025051620</v>
      </c>
      <c r="D541" s="28"/>
      <c r="E541" s="28"/>
      <c r="F541" s="28">
        <v>2390</v>
      </c>
      <c r="G541" s="28" t="s">
        <v>4097</v>
      </c>
      <c r="H541" s="28" t="s">
        <v>3317</v>
      </c>
      <c r="I541" s="28"/>
      <c r="J541" s="28"/>
      <c r="K541" s="28"/>
      <c r="L541" s="28"/>
      <c r="M541" s="29"/>
      <c r="N541" s="28"/>
      <c r="O541" s="29"/>
      <c r="P541" s="30"/>
      <c r="Q541" s="28" t="s">
        <v>5636</v>
      </c>
      <c r="R541" s="28" t="s">
        <v>52</v>
      </c>
      <c r="S541" s="28" t="s">
        <v>16</v>
      </c>
      <c r="T541" s="28">
        <v>1</v>
      </c>
      <c r="U541" s="28" t="s">
        <v>1719</v>
      </c>
      <c r="V541" s="28" t="s">
        <v>7345</v>
      </c>
      <c r="W541" s="28" t="s">
        <v>7346</v>
      </c>
      <c r="X541" s="135">
        <v>45789.604166666664</v>
      </c>
      <c r="Y541" s="28"/>
      <c r="Z541" s="28">
        <v>0.5</v>
      </c>
      <c r="AA541" s="28"/>
      <c r="AB541" s="28" t="s">
        <v>1720</v>
      </c>
      <c r="AC541" s="30" t="s">
        <v>5109</v>
      </c>
      <c r="AD541" s="28" t="s">
        <v>1721</v>
      </c>
      <c r="AE541" s="28"/>
      <c r="AF541" s="28"/>
      <c r="AG541" s="28"/>
      <c r="AH541" s="28"/>
      <c r="AI541" s="28"/>
      <c r="AJ541" s="28" t="s">
        <v>1721</v>
      </c>
      <c r="AK541" s="28" t="s">
        <v>1721</v>
      </c>
      <c r="AL541" s="325" t="e">
        <f t="shared" ref="AL541:AL545" si="27">DATEVALUE(TEXT(I541, "yyyy/mm/dd"))</f>
        <v>#VALUE!</v>
      </c>
      <c r="AM541"/>
    </row>
    <row r="542" spans="1:39" s="27" customFormat="1" ht="21.6" customHeight="1">
      <c r="A542" s="31">
        <v>64</v>
      </c>
      <c r="B542" s="31" t="s">
        <v>1724</v>
      </c>
      <c r="C542" s="31">
        <v>2025051634</v>
      </c>
      <c r="D542" s="31"/>
      <c r="E542" s="31"/>
      <c r="F542" s="31">
        <v>2237</v>
      </c>
      <c r="G542" s="31" t="s">
        <v>75</v>
      </c>
      <c r="H542" s="31" t="s">
        <v>3323</v>
      </c>
      <c r="I542" s="31"/>
      <c r="J542" s="31"/>
      <c r="K542" s="31"/>
      <c r="L542" s="31"/>
      <c r="M542" s="32"/>
      <c r="N542" s="31"/>
      <c r="O542" s="32"/>
      <c r="P542" s="33"/>
      <c r="Q542" s="31" t="s">
        <v>5906</v>
      </c>
      <c r="R542" s="31" t="s">
        <v>52</v>
      </c>
      <c r="S542" s="31" t="s">
        <v>4110</v>
      </c>
      <c r="T542" s="31">
        <v>1</v>
      </c>
      <c r="U542" s="31" t="s">
        <v>1719</v>
      </c>
      <c r="V542" s="31" t="s">
        <v>7348</v>
      </c>
      <c r="W542" s="31" t="s">
        <v>7347</v>
      </c>
      <c r="X542" s="211">
        <v>45789.621527777781</v>
      </c>
      <c r="Y542" s="31"/>
      <c r="Z542" s="31">
        <v>0.4</v>
      </c>
      <c r="AA542" s="31"/>
      <c r="AB542" s="31" t="s">
        <v>1720</v>
      </c>
      <c r="AC542" s="33" t="s">
        <v>5109</v>
      </c>
      <c r="AD542" s="31" t="s">
        <v>1721</v>
      </c>
      <c r="AE542" s="31"/>
      <c r="AF542" s="31"/>
      <c r="AG542" s="31"/>
      <c r="AH542" s="31"/>
      <c r="AI542" s="31"/>
      <c r="AJ542" s="31"/>
      <c r="AK542" s="31" t="s">
        <v>1721</v>
      </c>
      <c r="AL542" s="325" t="e">
        <f t="shared" si="27"/>
        <v>#VALUE!</v>
      </c>
      <c r="AM542"/>
    </row>
    <row r="543" spans="1:39" s="27" customFormat="1" ht="21.6" customHeight="1">
      <c r="A543" s="28">
        <v>65</v>
      </c>
      <c r="B543" s="28" t="s">
        <v>1724</v>
      </c>
      <c r="C543" s="28">
        <v>2025051636</v>
      </c>
      <c r="D543" s="28"/>
      <c r="E543" s="28"/>
      <c r="F543" s="28">
        <v>2691</v>
      </c>
      <c r="G543" s="28" t="s">
        <v>4106</v>
      </c>
      <c r="H543" s="28" t="s">
        <v>3317</v>
      </c>
      <c r="I543" s="28"/>
      <c r="J543" s="28"/>
      <c r="K543" s="28"/>
      <c r="L543" s="28"/>
      <c r="M543" s="29"/>
      <c r="N543" s="28"/>
      <c r="O543" s="29"/>
      <c r="P543" s="30"/>
      <c r="Q543" s="28" t="s">
        <v>5633</v>
      </c>
      <c r="R543" s="28" t="s">
        <v>52</v>
      </c>
      <c r="S543" s="28" t="s">
        <v>16</v>
      </c>
      <c r="T543" s="28">
        <v>1</v>
      </c>
      <c r="U543" s="28" t="s">
        <v>1719</v>
      </c>
      <c r="V543" s="28" t="s">
        <v>7349</v>
      </c>
      <c r="W543" s="28" t="s">
        <v>7347</v>
      </c>
      <c r="X543" s="135">
        <v>45789.625</v>
      </c>
      <c r="Y543" s="28"/>
      <c r="Z543" s="28">
        <v>0.5</v>
      </c>
      <c r="AA543" s="28"/>
      <c r="AB543" s="28" t="s">
        <v>1720</v>
      </c>
      <c r="AC543" s="30" t="s">
        <v>5109</v>
      </c>
      <c r="AD543" s="28" t="s">
        <v>1721</v>
      </c>
      <c r="AE543" s="28"/>
      <c r="AF543" s="28"/>
      <c r="AG543" s="28"/>
      <c r="AH543" s="28"/>
      <c r="AI543" s="28"/>
      <c r="AJ543" s="28" t="s">
        <v>1721</v>
      </c>
      <c r="AK543" s="28" t="s">
        <v>1721</v>
      </c>
      <c r="AL543" s="325" t="e">
        <f t="shared" si="27"/>
        <v>#VALUE!</v>
      </c>
      <c r="AM543"/>
    </row>
    <row r="544" spans="1:39" s="27" customFormat="1" ht="21.6" customHeight="1">
      <c r="A544" s="31">
        <v>66</v>
      </c>
      <c r="B544" s="31" t="s">
        <v>1724</v>
      </c>
      <c r="C544" s="31">
        <v>2025051652</v>
      </c>
      <c r="D544" s="31"/>
      <c r="E544" s="31"/>
      <c r="F544" s="31">
        <v>5080</v>
      </c>
      <c r="G544" s="31" t="s">
        <v>582</v>
      </c>
      <c r="H544" s="31" t="s">
        <v>3323</v>
      </c>
      <c r="I544" s="31"/>
      <c r="J544" s="31"/>
      <c r="K544" s="31"/>
      <c r="L544" s="31"/>
      <c r="M544" s="32"/>
      <c r="N544" s="31"/>
      <c r="O544" s="32"/>
      <c r="P544" s="33"/>
      <c r="Q544" s="31" t="s">
        <v>5836</v>
      </c>
      <c r="R544" s="31" t="s">
        <v>52</v>
      </c>
      <c r="S544" s="31" t="s">
        <v>4110</v>
      </c>
      <c r="T544" s="31">
        <v>1</v>
      </c>
      <c r="U544" s="31" t="s">
        <v>1719</v>
      </c>
      <c r="V544" s="31" t="s">
        <v>7350</v>
      </c>
      <c r="W544" s="31" t="s">
        <v>7351</v>
      </c>
      <c r="X544" s="211">
        <v>45789.679166666669</v>
      </c>
      <c r="Y544" s="31"/>
      <c r="Z544" s="31">
        <v>0.3</v>
      </c>
      <c r="AA544" s="31"/>
      <c r="AB544" s="31" t="s">
        <v>1720</v>
      </c>
      <c r="AC544" s="33" t="s">
        <v>5109</v>
      </c>
      <c r="AD544" s="31" t="s">
        <v>1721</v>
      </c>
      <c r="AE544" s="31"/>
      <c r="AF544" s="31"/>
      <c r="AG544" s="31"/>
      <c r="AH544" s="31"/>
      <c r="AI544" s="31"/>
      <c r="AJ544" s="31"/>
      <c r="AK544" s="31" t="s">
        <v>1721</v>
      </c>
      <c r="AL544" s="325" t="e">
        <f t="shared" si="27"/>
        <v>#VALUE!</v>
      </c>
      <c r="AM544"/>
    </row>
    <row r="545" spans="1:39" s="27" customFormat="1" ht="21.6" customHeight="1">
      <c r="A545" s="28">
        <v>67</v>
      </c>
      <c r="B545" s="28" t="s">
        <v>1724</v>
      </c>
      <c r="C545" s="28">
        <v>2025051669</v>
      </c>
      <c r="D545" s="28"/>
      <c r="E545" s="28"/>
      <c r="F545" s="28">
        <v>4739</v>
      </c>
      <c r="G545" s="28" t="s">
        <v>502</v>
      </c>
      <c r="H545" s="28" t="s">
        <v>3321</v>
      </c>
      <c r="I545" s="28"/>
      <c r="J545" s="28"/>
      <c r="K545" s="28"/>
      <c r="L545" s="28"/>
      <c r="M545" s="29"/>
      <c r="N545" s="28"/>
      <c r="O545" s="29"/>
      <c r="P545" s="29"/>
      <c r="Q545" s="28" t="s">
        <v>6523</v>
      </c>
      <c r="R545" s="28" t="s">
        <v>52</v>
      </c>
      <c r="S545" s="28" t="s">
        <v>4110</v>
      </c>
      <c r="T545" s="28">
        <v>1</v>
      </c>
      <c r="U545" s="28" t="s">
        <v>1719</v>
      </c>
      <c r="V545" s="28" t="s">
        <v>7352</v>
      </c>
      <c r="W545" s="28" t="s">
        <v>7353</v>
      </c>
      <c r="X545" s="135">
        <v>45789.707638888889</v>
      </c>
      <c r="Y545" s="28"/>
      <c r="Z545" s="28">
        <v>0.5</v>
      </c>
      <c r="AA545" s="28"/>
      <c r="AB545" s="28" t="s">
        <v>1720</v>
      </c>
      <c r="AC545" s="29" t="s">
        <v>5109</v>
      </c>
      <c r="AD545" s="28" t="s">
        <v>1721</v>
      </c>
      <c r="AE545" s="28"/>
      <c r="AF545" s="28"/>
      <c r="AG545" s="28"/>
      <c r="AH545" s="28"/>
      <c r="AI545" s="28"/>
      <c r="AJ545" s="28"/>
      <c r="AK545" s="28" t="s">
        <v>1721</v>
      </c>
      <c r="AL545" s="325" t="e">
        <f t="shared" si="27"/>
        <v>#VALUE!</v>
      </c>
      <c r="AM545"/>
    </row>
    <row r="546" spans="1:39" s="27" customFormat="1" ht="21.6" customHeight="1">
      <c r="A546" s="28">
        <v>69</v>
      </c>
      <c r="B546" s="28" t="s">
        <v>5033</v>
      </c>
      <c r="C546" s="28">
        <v>2025051694</v>
      </c>
      <c r="D546" s="28" t="s">
        <v>7356</v>
      </c>
      <c r="E546" s="28" t="s">
        <v>5035</v>
      </c>
      <c r="F546" s="28" t="s">
        <v>18</v>
      </c>
      <c r="G546" s="28" t="s">
        <v>1492</v>
      </c>
      <c r="H546" s="28" t="s">
        <v>1747</v>
      </c>
      <c r="I546" s="28" t="s">
        <v>7357</v>
      </c>
      <c r="J546" s="28" t="s">
        <v>5252</v>
      </c>
      <c r="K546" s="28" t="s">
        <v>5067</v>
      </c>
      <c r="L546" s="28" t="s">
        <v>5068</v>
      </c>
      <c r="M546" s="29" t="s">
        <v>1723</v>
      </c>
      <c r="N546" s="28">
        <v>2307</v>
      </c>
      <c r="O546" s="29" t="s">
        <v>5383</v>
      </c>
      <c r="P546" s="30" t="s">
        <v>7358</v>
      </c>
      <c r="Q546" s="28" t="s">
        <v>5254</v>
      </c>
      <c r="R546" s="28" t="s">
        <v>52</v>
      </c>
      <c r="S546" s="28" t="s">
        <v>4110</v>
      </c>
      <c r="T546" s="28">
        <v>1</v>
      </c>
      <c r="U546" s="28" t="s">
        <v>1719</v>
      </c>
      <c r="V546" s="28" t="s">
        <v>7359</v>
      </c>
      <c r="W546" s="28" t="s">
        <v>7360</v>
      </c>
      <c r="X546" s="135">
        <v>45790.491666666669</v>
      </c>
      <c r="Y546" s="28" t="s">
        <v>7361</v>
      </c>
      <c r="Z546" s="28">
        <v>0.8</v>
      </c>
      <c r="AA546" s="28"/>
      <c r="AB546" s="28" t="s">
        <v>1720</v>
      </c>
      <c r="AC546" s="30" t="s">
        <v>7362</v>
      </c>
      <c r="AD546" s="28"/>
      <c r="AE546" s="28"/>
      <c r="AF546" s="28"/>
      <c r="AG546" s="28"/>
      <c r="AH546" s="28"/>
      <c r="AI546" s="28"/>
      <c r="AJ546" s="28"/>
      <c r="AK546" s="28" t="s">
        <v>1721</v>
      </c>
      <c r="AL546" s="325">
        <f t="shared" ref="AL546:AL547" si="28">DATEVALUE(TEXT(I546, "yyyy/mm/dd"))</f>
        <v>45790</v>
      </c>
      <c r="AM546"/>
    </row>
    <row r="547" spans="1:39" s="27" customFormat="1" ht="21.6" customHeight="1">
      <c r="A547" s="31">
        <v>70</v>
      </c>
      <c r="B547" s="31" t="s">
        <v>1724</v>
      </c>
      <c r="C547" s="31">
        <v>2025051697</v>
      </c>
      <c r="D547" s="31"/>
      <c r="E547" s="31"/>
      <c r="F547" s="31">
        <v>4844</v>
      </c>
      <c r="G547" s="31" t="s">
        <v>540</v>
      </c>
      <c r="H547" s="31" t="s">
        <v>3323</v>
      </c>
      <c r="I547" s="31"/>
      <c r="J547" s="31"/>
      <c r="K547" s="31"/>
      <c r="L547" s="31"/>
      <c r="M547" s="32"/>
      <c r="N547" s="31"/>
      <c r="O547" s="32"/>
      <c r="P547" s="32"/>
      <c r="Q547" s="31" t="s">
        <v>5914</v>
      </c>
      <c r="R547" s="31" t="s">
        <v>52</v>
      </c>
      <c r="S547" s="31" t="s">
        <v>4110</v>
      </c>
      <c r="T547" s="31">
        <v>1</v>
      </c>
      <c r="U547" s="31" t="s">
        <v>1719</v>
      </c>
      <c r="V547" s="31" t="s">
        <v>7363</v>
      </c>
      <c r="W547" s="31" t="s">
        <v>7364</v>
      </c>
      <c r="X547" s="211">
        <v>45790.420138888891</v>
      </c>
      <c r="Y547" s="31"/>
      <c r="Z547" s="31">
        <v>0.3</v>
      </c>
      <c r="AA547" s="31"/>
      <c r="AB547" s="31" t="s">
        <v>1720</v>
      </c>
      <c r="AC547" s="372" t="s">
        <v>7365</v>
      </c>
      <c r="AD547" s="31" t="s">
        <v>1721</v>
      </c>
      <c r="AE547" s="31"/>
      <c r="AF547" s="31"/>
      <c r="AG547" s="31"/>
      <c r="AH547" s="31"/>
      <c r="AI547" s="31"/>
      <c r="AJ547" s="31"/>
      <c r="AK547" s="31" t="s">
        <v>1721</v>
      </c>
      <c r="AL547" s="325" t="e">
        <f t="shared" si="28"/>
        <v>#VALUE!</v>
      </c>
      <c r="AM547"/>
    </row>
    <row r="548" spans="1:39" s="27" customFormat="1" ht="21.6" customHeight="1">
      <c r="A548" s="28">
        <v>71</v>
      </c>
      <c r="B548" s="28" t="s">
        <v>5033</v>
      </c>
      <c r="C548" s="28">
        <v>2025051797</v>
      </c>
      <c r="D548" s="28" t="s">
        <v>7366</v>
      </c>
      <c r="E548" s="28" t="s">
        <v>5035</v>
      </c>
      <c r="F548" s="28">
        <v>5291</v>
      </c>
      <c r="G548" s="28" t="s">
        <v>5036</v>
      </c>
      <c r="H548" s="28" t="s">
        <v>1748</v>
      </c>
      <c r="I548" s="28" t="s">
        <v>7367</v>
      </c>
      <c r="J548" s="28" t="s">
        <v>5252</v>
      </c>
      <c r="K548" s="28" t="s">
        <v>5067</v>
      </c>
      <c r="L548" s="28" t="s">
        <v>6030</v>
      </c>
      <c r="M548" s="29" t="s">
        <v>6031</v>
      </c>
      <c r="N548" s="28">
        <v>6003</v>
      </c>
      <c r="O548" s="29" t="s">
        <v>5751</v>
      </c>
      <c r="P548" s="30" t="s">
        <v>7368</v>
      </c>
      <c r="Q548" s="28" t="s">
        <v>5043</v>
      </c>
      <c r="R548" s="28" t="s">
        <v>52</v>
      </c>
      <c r="S548" s="28" t="s">
        <v>16</v>
      </c>
      <c r="T548" s="28">
        <v>1</v>
      </c>
      <c r="U548" s="28" t="s">
        <v>1719</v>
      </c>
      <c r="V548" s="28" t="s">
        <v>7369</v>
      </c>
      <c r="W548" s="28" t="s">
        <v>7370</v>
      </c>
      <c r="X548" s="135">
        <v>45790.719444444447</v>
      </c>
      <c r="Y548" s="28" t="s">
        <v>7371</v>
      </c>
      <c r="Z548" s="28">
        <v>0.5</v>
      </c>
      <c r="AA548" s="28"/>
      <c r="AB548" s="28" t="s">
        <v>1720</v>
      </c>
      <c r="AC548" s="30" t="s">
        <v>7372</v>
      </c>
      <c r="AD548" s="28"/>
      <c r="AE548" s="28"/>
      <c r="AF548" s="28"/>
      <c r="AG548" s="28"/>
      <c r="AH548" s="28"/>
      <c r="AI548" s="28"/>
      <c r="AJ548" s="28"/>
      <c r="AK548" s="28" t="s">
        <v>1721</v>
      </c>
      <c r="AL548" s="325">
        <f t="shared" ref="AL548:AL564" si="29">DATEVALUE(TEXT(I548, "yyyy/mm/dd"))</f>
        <v>45790</v>
      </c>
      <c r="AM548"/>
    </row>
    <row r="549" spans="1:39" s="27" customFormat="1" ht="21.6" customHeight="1">
      <c r="A549" s="31">
        <v>72</v>
      </c>
      <c r="B549" s="31" t="s">
        <v>5033</v>
      </c>
      <c r="C549" s="31">
        <v>2025051858</v>
      </c>
      <c r="D549" s="31" t="s">
        <v>7373</v>
      </c>
      <c r="E549" s="31" t="s">
        <v>5035</v>
      </c>
      <c r="F549" s="31">
        <v>5291</v>
      </c>
      <c r="G549" s="31" t="s">
        <v>5036</v>
      </c>
      <c r="H549" s="31" t="s">
        <v>1748</v>
      </c>
      <c r="I549" s="31" t="s">
        <v>7374</v>
      </c>
      <c r="J549" s="31" t="s">
        <v>5252</v>
      </c>
      <c r="K549" s="31" t="s">
        <v>5039</v>
      </c>
      <c r="L549" s="31" t="s">
        <v>6044</v>
      </c>
      <c r="M549" s="32" t="s">
        <v>6045</v>
      </c>
      <c r="N549" s="31">
        <v>3404</v>
      </c>
      <c r="O549" s="32" t="s">
        <v>6046</v>
      </c>
      <c r="P549" s="33" t="s">
        <v>7375</v>
      </c>
      <c r="Q549" s="31" t="s">
        <v>5043</v>
      </c>
      <c r="R549" s="31" t="s">
        <v>52</v>
      </c>
      <c r="S549" s="31" t="s">
        <v>16</v>
      </c>
      <c r="T549" s="31">
        <v>1</v>
      </c>
      <c r="U549" s="31" t="s">
        <v>1719</v>
      </c>
      <c r="V549" s="31" t="s">
        <v>7376</v>
      </c>
      <c r="W549" s="31" t="s">
        <v>7377</v>
      </c>
      <c r="X549" s="211">
        <v>45790.725694444445</v>
      </c>
      <c r="Y549" s="31" t="s">
        <v>7378</v>
      </c>
      <c r="Z549" s="31">
        <v>0.1</v>
      </c>
      <c r="AA549" s="31"/>
      <c r="AB549" s="31" t="s">
        <v>1720</v>
      </c>
      <c r="AC549" s="33" t="s">
        <v>7379</v>
      </c>
      <c r="AD549" s="31"/>
      <c r="AE549" s="31"/>
      <c r="AF549" s="31"/>
      <c r="AG549" s="31"/>
      <c r="AH549" s="31"/>
      <c r="AI549" s="31"/>
      <c r="AJ549" s="31"/>
      <c r="AK549" s="31" t="s">
        <v>1721</v>
      </c>
      <c r="AL549" s="325">
        <f t="shared" si="29"/>
        <v>45790</v>
      </c>
      <c r="AM549"/>
    </row>
    <row r="550" spans="1:39" s="27" customFormat="1" ht="21.6" customHeight="1">
      <c r="A550" s="28">
        <v>73</v>
      </c>
      <c r="B550" s="28" t="s">
        <v>5033</v>
      </c>
      <c r="C550" s="28">
        <v>2025051886</v>
      </c>
      <c r="D550" s="28" t="s">
        <v>7380</v>
      </c>
      <c r="E550" s="28" t="s">
        <v>5035</v>
      </c>
      <c r="F550" s="28">
        <v>2349</v>
      </c>
      <c r="G550" s="28" t="s">
        <v>4083</v>
      </c>
      <c r="H550" s="28" t="s">
        <v>1747</v>
      </c>
      <c r="I550" s="28" t="s">
        <v>7381</v>
      </c>
      <c r="J550" s="28" t="s">
        <v>5066</v>
      </c>
      <c r="K550" s="28" t="s">
        <v>5067</v>
      </c>
      <c r="L550" s="28" t="s">
        <v>5068</v>
      </c>
      <c r="M550" s="29" t="s">
        <v>1723</v>
      </c>
      <c r="N550" s="28">
        <v>2308</v>
      </c>
      <c r="O550" s="29" t="s">
        <v>5606</v>
      </c>
      <c r="P550" s="30" t="s">
        <v>7382</v>
      </c>
      <c r="Q550" s="28" t="s">
        <v>6195</v>
      </c>
      <c r="R550" s="28" t="s">
        <v>52</v>
      </c>
      <c r="S550" s="28" t="s">
        <v>4110</v>
      </c>
      <c r="T550" s="28">
        <v>1</v>
      </c>
      <c r="U550" s="28" t="s">
        <v>1719</v>
      </c>
      <c r="V550" s="28" t="s">
        <v>7383</v>
      </c>
      <c r="W550" s="28" t="s">
        <v>7384</v>
      </c>
      <c r="X550" s="135">
        <v>45791.533333333333</v>
      </c>
      <c r="Y550" s="28" t="s">
        <v>7385</v>
      </c>
      <c r="Z550" s="28">
        <v>1.8</v>
      </c>
      <c r="AA550" s="28"/>
      <c r="AB550" s="28" t="s">
        <v>1720</v>
      </c>
      <c r="AC550" s="30" t="s">
        <v>7386</v>
      </c>
      <c r="AD550" s="28"/>
      <c r="AE550" s="28"/>
      <c r="AF550" s="28"/>
      <c r="AG550" s="28"/>
      <c r="AH550" s="28"/>
      <c r="AI550" s="28"/>
      <c r="AJ550" s="28"/>
      <c r="AK550" s="28" t="s">
        <v>1721</v>
      </c>
      <c r="AL550" s="325">
        <f t="shared" si="29"/>
        <v>45791</v>
      </c>
      <c r="AM550"/>
    </row>
    <row r="551" spans="1:39" s="27" customFormat="1" ht="21.6" customHeight="1">
      <c r="A551" s="31">
        <v>74</v>
      </c>
      <c r="B551" s="31" t="s">
        <v>5033</v>
      </c>
      <c r="C551" s="31">
        <v>2025051895</v>
      </c>
      <c r="D551" s="31" t="s">
        <v>7387</v>
      </c>
      <c r="E551" s="31" t="s">
        <v>5503</v>
      </c>
      <c r="F551" s="31">
        <v>2349</v>
      </c>
      <c r="G551" s="31" t="s">
        <v>4083</v>
      </c>
      <c r="H551" s="31" t="s">
        <v>1747</v>
      </c>
      <c r="I551" s="31" t="s">
        <v>7388</v>
      </c>
      <c r="J551" s="31" t="s">
        <v>5066</v>
      </c>
      <c r="K551" s="31" t="s">
        <v>5067</v>
      </c>
      <c r="L551" s="31" t="s">
        <v>5068</v>
      </c>
      <c r="M551" s="32" t="s">
        <v>1723</v>
      </c>
      <c r="N551" s="31">
        <v>2308</v>
      </c>
      <c r="O551" s="32" t="s">
        <v>5606</v>
      </c>
      <c r="P551" s="33" t="s">
        <v>7389</v>
      </c>
      <c r="Q551" s="31" t="s">
        <v>6195</v>
      </c>
      <c r="R551" s="31" t="s">
        <v>52</v>
      </c>
      <c r="S551" s="31" t="s">
        <v>4110</v>
      </c>
      <c r="T551" s="31">
        <v>1</v>
      </c>
      <c r="U551" s="31" t="s">
        <v>1719</v>
      </c>
      <c r="V551" s="31" t="s">
        <v>7390</v>
      </c>
      <c r="W551" s="31" t="s">
        <v>7384</v>
      </c>
      <c r="X551" s="211">
        <v>45791.531944444447</v>
      </c>
      <c r="Y551" s="31" t="s">
        <v>7391</v>
      </c>
      <c r="Z551" s="31">
        <v>1.8</v>
      </c>
      <c r="AA551" s="31"/>
      <c r="AB551" s="31" t="s">
        <v>1720</v>
      </c>
      <c r="AC551" s="33" t="s">
        <v>7386</v>
      </c>
      <c r="AD551" s="31"/>
      <c r="AE551" s="31"/>
      <c r="AF551" s="31"/>
      <c r="AG551" s="31"/>
      <c r="AH551" s="31"/>
      <c r="AI551" s="31"/>
      <c r="AJ551" s="31"/>
      <c r="AK551" s="31" t="s">
        <v>1721</v>
      </c>
      <c r="AL551" s="325">
        <f t="shared" si="29"/>
        <v>45791</v>
      </c>
      <c r="AM551"/>
    </row>
    <row r="552" spans="1:39" s="27" customFormat="1" ht="21.6" customHeight="1">
      <c r="A552" s="28">
        <v>75</v>
      </c>
      <c r="B552" s="28" t="s">
        <v>5033</v>
      </c>
      <c r="C552" s="28">
        <v>2025051911</v>
      </c>
      <c r="D552" s="28" t="s">
        <v>7392</v>
      </c>
      <c r="E552" s="28" t="s">
        <v>5035</v>
      </c>
      <c r="F552" s="28" t="s">
        <v>23</v>
      </c>
      <c r="G552" s="28" t="s">
        <v>1561</v>
      </c>
      <c r="H552" s="28" t="s">
        <v>1747</v>
      </c>
      <c r="I552" s="28" t="s">
        <v>7393</v>
      </c>
      <c r="J552" s="28" t="s">
        <v>5066</v>
      </c>
      <c r="K552" s="28" t="s">
        <v>5067</v>
      </c>
      <c r="L552" s="28" t="s">
        <v>5068</v>
      </c>
      <c r="M552" s="29" t="s">
        <v>1723</v>
      </c>
      <c r="N552" s="28">
        <v>2305</v>
      </c>
      <c r="O552" s="29" t="s">
        <v>5069</v>
      </c>
      <c r="P552" s="30" t="s">
        <v>7394</v>
      </c>
      <c r="Q552" s="28" t="s">
        <v>5965</v>
      </c>
      <c r="R552" s="28" t="s">
        <v>52</v>
      </c>
      <c r="S552" s="28" t="s">
        <v>4110</v>
      </c>
      <c r="T552" s="28">
        <v>1</v>
      </c>
      <c r="U552" s="28" t="s">
        <v>1719</v>
      </c>
      <c r="V552" s="28" t="s">
        <v>7395</v>
      </c>
      <c r="W552" s="28" t="s">
        <v>7396</v>
      </c>
      <c r="X552" s="135">
        <v>45792.430555555555</v>
      </c>
      <c r="Y552" s="28" t="s">
        <v>7397</v>
      </c>
      <c r="Z552" s="28">
        <v>0.3</v>
      </c>
      <c r="AA552" s="28"/>
      <c r="AB552" s="28" t="s">
        <v>1720</v>
      </c>
      <c r="AC552" s="30" t="s">
        <v>7398</v>
      </c>
      <c r="AD552" s="28"/>
      <c r="AE552" s="28"/>
      <c r="AF552" s="28"/>
      <c r="AG552" s="28"/>
      <c r="AH552" s="28"/>
      <c r="AI552" s="28"/>
      <c r="AJ552" s="28"/>
      <c r="AK552" s="28" t="s">
        <v>1721</v>
      </c>
      <c r="AL552" s="325">
        <f t="shared" si="29"/>
        <v>45791</v>
      </c>
      <c r="AM552"/>
    </row>
    <row r="553" spans="1:39" s="27" customFormat="1" ht="21.6" customHeight="1">
      <c r="A553" s="31">
        <v>76</v>
      </c>
      <c r="B553" s="31" t="s">
        <v>5033</v>
      </c>
      <c r="C553" s="31">
        <v>2025051915</v>
      </c>
      <c r="D553" s="31" t="s">
        <v>7399</v>
      </c>
      <c r="E553" s="31" t="s">
        <v>5035</v>
      </c>
      <c r="F553" s="31" t="s">
        <v>23</v>
      </c>
      <c r="G553" s="31" t="s">
        <v>1561</v>
      </c>
      <c r="H553" s="31" t="s">
        <v>1747</v>
      </c>
      <c r="I553" s="31" t="s">
        <v>7400</v>
      </c>
      <c r="J553" s="31" t="s">
        <v>5066</v>
      </c>
      <c r="K553" s="31" t="s">
        <v>5067</v>
      </c>
      <c r="L553" s="31" t="s">
        <v>5227</v>
      </c>
      <c r="M553" s="32" t="s">
        <v>5228</v>
      </c>
      <c r="N553" s="31" t="s">
        <v>5229</v>
      </c>
      <c r="O553" s="32" t="s">
        <v>5230</v>
      </c>
      <c r="P553" s="33" t="s">
        <v>7401</v>
      </c>
      <c r="Q553" s="31" t="s">
        <v>5965</v>
      </c>
      <c r="R553" s="31" t="s">
        <v>52</v>
      </c>
      <c r="S553" s="31" t="s">
        <v>4110</v>
      </c>
      <c r="T553" s="31">
        <v>1</v>
      </c>
      <c r="U553" s="31" t="s">
        <v>1719</v>
      </c>
      <c r="V553" s="31" t="s">
        <v>7402</v>
      </c>
      <c r="W553" s="31" t="s">
        <v>7403</v>
      </c>
      <c r="X553" s="211">
        <v>45792.472222222219</v>
      </c>
      <c r="Y553" s="31" t="s">
        <v>7405</v>
      </c>
      <c r="Z553" s="31">
        <v>0.3</v>
      </c>
      <c r="AA553" s="31"/>
      <c r="AB553" s="31" t="s">
        <v>1720</v>
      </c>
      <c r="AC553" s="33" t="s">
        <v>7406</v>
      </c>
      <c r="AD553" s="31"/>
      <c r="AE553" s="31"/>
      <c r="AF553" s="31"/>
      <c r="AG553" s="31"/>
      <c r="AH553" s="31"/>
      <c r="AI553" s="31"/>
      <c r="AJ553" s="31"/>
      <c r="AK553" s="31" t="s">
        <v>1721</v>
      </c>
      <c r="AL553" s="325">
        <f t="shared" si="29"/>
        <v>45791</v>
      </c>
      <c r="AM553"/>
    </row>
    <row r="554" spans="1:39" s="27" customFormat="1" ht="21.6" customHeight="1">
      <c r="A554" s="28">
        <v>77</v>
      </c>
      <c r="B554" s="28" t="s">
        <v>1724</v>
      </c>
      <c r="C554" s="28">
        <v>2025051939</v>
      </c>
      <c r="D554" s="28"/>
      <c r="E554" s="28"/>
      <c r="F554" s="28">
        <v>2042</v>
      </c>
      <c r="G554" s="28" t="s">
        <v>56</v>
      </c>
      <c r="H554" s="28" t="s">
        <v>1747</v>
      </c>
      <c r="I554" s="28"/>
      <c r="J554" s="28"/>
      <c r="K554" s="28"/>
      <c r="L554" s="28"/>
      <c r="M554" s="29"/>
      <c r="N554" s="28"/>
      <c r="O554" s="29"/>
      <c r="P554" s="30"/>
      <c r="Q554" s="28" t="s">
        <v>6087</v>
      </c>
      <c r="R554" s="28" t="s">
        <v>52</v>
      </c>
      <c r="S554" s="28" t="s">
        <v>4110</v>
      </c>
      <c r="T554" s="28">
        <v>1</v>
      </c>
      <c r="U554" s="28" t="s">
        <v>1719</v>
      </c>
      <c r="V554" s="28" t="s">
        <v>7407</v>
      </c>
      <c r="W554" s="28" t="s">
        <v>7408</v>
      </c>
      <c r="X554" s="135">
        <v>45791.570833333331</v>
      </c>
      <c r="Y554" s="28"/>
      <c r="Z554" s="28">
        <v>0.4</v>
      </c>
      <c r="AA554" s="28"/>
      <c r="AB554" s="28" t="s">
        <v>1720</v>
      </c>
      <c r="AC554" s="30" t="s">
        <v>5109</v>
      </c>
      <c r="AD554" s="28" t="s">
        <v>1721</v>
      </c>
      <c r="AE554" s="28"/>
      <c r="AF554" s="28"/>
      <c r="AG554" s="28"/>
      <c r="AH554" s="28"/>
      <c r="AI554" s="28"/>
      <c r="AJ554" s="28"/>
      <c r="AK554" s="28" t="s">
        <v>1721</v>
      </c>
      <c r="AL554" s="325" t="e">
        <f t="shared" si="29"/>
        <v>#VALUE!</v>
      </c>
      <c r="AM554"/>
    </row>
    <row r="555" spans="1:39" s="27" customFormat="1" ht="21.6" customHeight="1">
      <c r="A555" s="31">
        <v>78</v>
      </c>
      <c r="B555" s="31" t="s">
        <v>1724</v>
      </c>
      <c r="C555" s="31">
        <v>2025051956</v>
      </c>
      <c r="D555" s="31"/>
      <c r="E555" s="31"/>
      <c r="F555" s="31">
        <v>2042</v>
      </c>
      <c r="G555" s="31" t="s">
        <v>56</v>
      </c>
      <c r="H555" s="31" t="s">
        <v>1747</v>
      </c>
      <c r="I555" s="31"/>
      <c r="J555" s="31"/>
      <c r="K555" s="31"/>
      <c r="L555" s="31"/>
      <c r="M555" s="32"/>
      <c r="N555" s="31"/>
      <c r="O555" s="32"/>
      <c r="P555" s="33"/>
      <c r="Q555" s="31" t="s">
        <v>6087</v>
      </c>
      <c r="R555" s="31" t="s">
        <v>52</v>
      </c>
      <c r="S555" s="31" t="s">
        <v>4110</v>
      </c>
      <c r="T555" s="31">
        <v>1</v>
      </c>
      <c r="U555" s="31" t="s">
        <v>1719</v>
      </c>
      <c r="V555" s="31" t="s">
        <v>7409</v>
      </c>
      <c r="W555" s="31" t="s">
        <v>7408</v>
      </c>
      <c r="X555" s="211">
        <v>45791.570833333331</v>
      </c>
      <c r="Y555" s="31"/>
      <c r="Z555" s="31">
        <v>0.4</v>
      </c>
      <c r="AA555" s="31"/>
      <c r="AB555" s="31" t="s">
        <v>1720</v>
      </c>
      <c r="AC555" s="33" t="s">
        <v>5109</v>
      </c>
      <c r="AD555" s="31" t="s">
        <v>1721</v>
      </c>
      <c r="AE555" s="31"/>
      <c r="AF555" s="31"/>
      <c r="AG555" s="31"/>
      <c r="AH555" s="31"/>
      <c r="AI555" s="31"/>
      <c r="AJ555" s="31"/>
      <c r="AK555" s="31" t="s">
        <v>1721</v>
      </c>
      <c r="AL555" s="325" t="e">
        <f t="shared" si="29"/>
        <v>#VALUE!</v>
      </c>
      <c r="AM555"/>
    </row>
    <row r="556" spans="1:39" s="27" customFormat="1" ht="21.6" customHeight="1">
      <c r="A556" s="28">
        <v>79</v>
      </c>
      <c r="B556" s="28" t="s">
        <v>1724</v>
      </c>
      <c r="C556" s="28">
        <v>2025051957</v>
      </c>
      <c r="D556" s="28"/>
      <c r="E556" s="28"/>
      <c r="F556" s="28">
        <v>2303</v>
      </c>
      <c r="G556" s="28" t="s">
        <v>86</v>
      </c>
      <c r="H556" s="28" t="s">
        <v>1747</v>
      </c>
      <c r="I556" s="28"/>
      <c r="J556" s="28"/>
      <c r="K556" s="28"/>
      <c r="L556" s="28"/>
      <c r="M556" s="29"/>
      <c r="N556" s="28"/>
      <c r="O556" s="29"/>
      <c r="P556" s="30"/>
      <c r="Q556" s="28" t="s">
        <v>6376</v>
      </c>
      <c r="R556" s="28" t="s">
        <v>52</v>
      </c>
      <c r="S556" s="28" t="s">
        <v>4110</v>
      </c>
      <c r="T556" s="28">
        <v>1</v>
      </c>
      <c r="U556" s="28" t="s">
        <v>1719</v>
      </c>
      <c r="V556" s="28" t="s">
        <v>7410</v>
      </c>
      <c r="W556" s="28" t="s">
        <v>7411</v>
      </c>
      <c r="X556" s="135">
        <v>45791.595138888886</v>
      </c>
      <c r="Y556" s="28"/>
      <c r="Z556" s="28">
        <v>0.5</v>
      </c>
      <c r="AA556" s="28"/>
      <c r="AB556" s="28" t="s">
        <v>1720</v>
      </c>
      <c r="AC556" s="30" t="s">
        <v>5109</v>
      </c>
      <c r="AD556" s="28" t="s">
        <v>1721</v>
      </c>
      <c r="AE556" s="28"/>
      <c r="AF556" s="28"/>
      <c r="AG556" s="28"/>
      <c r="AH556" s="28"/>
      <c r="AI556" s="28"/>
      <c r="AJ556" s="28"/>
      <c r="AK556" s="28" t="s">
        <v>1721</v>
      </c>
      <c r="AL556" s="325" t="e">
        <f t="shared" si="29"/>
        <v>#VALUE!</v>
      </c>
      <c r="AM556"/>
    </row>
    <row r="557" spans="1:39" s="27" customFormat="1" ht="21.6" customHeight="1">
      <c r="A557" s="31">
        <v>80</v>
      </c>
      <c r="B557" s="31" t="s">
        <v>1724</v>
      </c>
      <c r="C557" s="31">
        <v>2025051968</v>
      </c>
      <c r="D557" s="31"/>
      <c r="E557" s="31"/>
      <c r="F557" s="31">
        <v>4397</v>
      </c>
      <c r="G557" s="31" t="s">
        <v>385</v>
      </c>
      <c r="H557" s="31" t="s">
        <v>1747</v>
      </c>
      <c r="I557" s="31"/>
      <c r="J557" s="31"/>
      <c r="K557" s="31"/>
      <c r="L557" s="31"/>
      <c r="M557" s="32"/>
      <c r="N557" s="31"/>
      <c r="O557" s="32"/>
      <c r="P557" s="33"/>
      <c r="Q557" s="31" t="s">
        <v>5594</v>
      </c>
      <c r="R557" s="31" t="s">
        <v>52</v>
      </c>
      <c r="S557" s="31" t="s">
        <v>4110</v>
      </c>
      <c r="T557" s="31">
        <v>1</v>
      </c>
      <c r="U557" s="31" t="s">
        <v>1719</v>
      </c>
      <c r="V557" s="31" t="s">
        <v>7412</v>
      </c>
      <c r="W557" s="31" t="s">
        <v>7413</v>
      </c>
      <c r="X557" s="211">
        <v>45791.613888888889</v>
      </c>
      <c r="Y557" s="31"/>
      <c r="Z557" s="31">
        <v>0.3</v>
      </c>
      <c r="AA557" s="31"/>
      <c r="AB557" s="31" t="s">
        <v>1720</v>
      </c>
      <c r="AC557" s="33" t="s">
        <v>5109</v>
      </c>
      <c r="AD557" s="31" t="s">
        <v>1721</v>
      </c>
      <c r="AE557" s="31"/>
      <c r="AF557" s="31"/>
      <c r="AG557" s="31"/>
      <c r="AH557" s="31"/>
      <c r="AI557" s="31"/>
      <c r="AJ557" s="31"/>
      <c r="AK557" s="31" t="s">
        <v>1721</v>
      </c>
      <c r="AL557" s="325" t="e">
        <f t="shared" si="29"/>
        <v>#VALUE!</v>
      </c>
      <c r="AM557"/>
    </row>
    <row r="558" spans="1:39" s="27" customFormat="1" ht="21.6" customHeight="1">
      <c r="A558" s="28">
        <v>81</v>
      </c>
      <c r="B558" s="28" t="s">
        <v>1724</v>
      </c>
      <c r="C558" s="28">
        <v>2025051974</v>
      </c>
      <c r="D558" s="28"/>
      <c r="E558" s="28"/>
      <c r="F558" s="28">
        <v>4352</v>
      </c>
      <c r="G558" s="28" t="s">
        <v>370</v>
      </c>
      <c r="H558" s="28" t="s">
        <v>1747</v>
      </c>
      <c r="I558" s="28"/>
      <c r="J558" s="28"/>
      <c r="K558" s="28"/>
      <c r="L558" s="28"/>
      <c r="M558" s="29"/>
      <c r="N558" s="28"/>
      <c r="O558" s="29"/>
      <c r="P558" s="30"/>
      <c r="Q558" s="28" t="s">
        <v>6177</v>
      </c>
      <c r="R558" s="28" t="s">
        <v>52</v>
      </c>
      <c r="S558" s="28" t="s">
        <v>4110</v>
      </c>
      <c r="T558" s="28">
        <v>1</v>
      </c>
      <c r="U558" s="28" t="s">
        <v>1719</v>
      </c>
      <c r="V558" s="28" t="s">
        <v>7414</v>
      </c>
      <c r="W558" s="28" t="s">
        <v>7415</v>
      </c>
      <c r="X558" s="135">
        <v>45791.634722222225</v>
      </c>
      <c r="Y558" s="28"/>
      <c r="Z558" s="28">
        <v>0.3</v>
      </c>
      <c r="AA558" s="28"/>
      <c r="AB558" s="28" t="s">
        <v>1720</v>
      </c>
      <c r="AC558" s="30" t="s">
        <v>5109</v>
      </c>
      <c r="AD558" s="28" t="s">
        <v>1721</v>
      </c>
      <c r="AE558" s="28"/>
      <c r="AF558" s="28"/>
      <c r="AG558" s="28"/>
      <c r="AH558" s="28"/>
      <c r="AI558" s="28"/>
      <c r="AJ558" s="28"/>
      <c r="AK558" s="28" t="s">
        <v>1721</v>
      </c>
      <c r="AL558" s="325" t="e">
        <f t="shared" si="29"/>
        <v>#VALUE!</v>
      </c>
      <c r="AM558"/>
    </row>
    <row r="559" spans="1:39" s="27" customFormat="1" ht="21.6" customHeight="1">
      <c r="A559" s="31">
        <v>82</v>
      </c>
      <c r="B559" s="31" t="s">
        <v>5033</v>
      </c>
      <c r="C559" s="31">
        <v>2025052025</v>
      </c>
      <c r="D559" s="31" t="s">
        <v>7416</v>
      </c>
      <c r="E559" s="31" t="s">
        <v>5035</v>
      </c>
      <c r="F559" s="31">
        <v>4856</v>
      </c>
      <c r="G559" s="31" t="s">
        <v>545</v>
      </c>
      <c r="H559" s="31" t="s">
        <v>1748</v>
      </c>
      <c r="I559" s="31" t="s">
        <v>7417</v>
      </c>
      <c r="J559" s="31" t="s">
        <v>5066</v>
      </c>
      <c r="K559" s="31" t="s">
        <v>5415</v>
      </c>
      <c r="L559" s="31" t="s">
        <v>5227</v>
      </c>
      <c r="M559" s="32" t="s">
        <v>5228</v>
      </c>
      <c r="N559" s="31" t="s">
        <v>5613</v>
      </c>
      <c r="O559" s="32" t="s">
        <v>5614</v>
      </c>
      <c r="P559" s="33" t="s">
        <v>7418</v>
      </c>
      <c r="Q559" s="31" t="s">
        <v>5453</v>
      </c>
      <c r="R559" s="31" t="s">
        <v>52</v>
      </c>
      <c r="S559" s="31" t="s">
        <v>16</v>
      </c>
      <c r="T559" s="31">
        <v>1</v>
      </c>
      <c r="U559" s="31" t="s">
        <v>1719</v>
      </c>
      <c r="V559" s="31" t="s">
        <v>7419</v>
      </c>
      <c r="W559" s="31" t="s">
        <v>7420</v>
      </c>
      <c r="X559" s="211">
        <v>45792.520833333336</v>
      </c>
      <c r="Y559" s="31" t="s">
        <v>7421</v>
      </c>
      <c r="Z559" s="31">
        <v>1</v>
      </c>
      <c r="AA559" s="31"/>
      <c r="AB559" s="31" t="s">
        <v>1720</v>
      </c>
      <c r="AC559" s="33" t="s">
        <v>7422</v>
      </c>
      <c r="AD559" s="31"/>
      <c r="AE559" s="31"/>
      <c r="AF559" s="31"/>
      <c r="AG559" s="31"/>
      <c r="AH559" s="31"/>
      <c r="AI559" s="31"/>
      <c r="AJ559" s="31"/>
      <c r="AK559" s="31" t="s">
        <v>1721</v>
      </c>
      <c r="AL559" s="325">
        <f t="shared" si="29"/>
        <v>45791</v>
      </c>
      <c r="AM559"/>
    </row>
    <row r="560" spans="1:39" s="27" customFormat="1" ht="21.6" customHeight="1">
      <c r="A560" s="28">
        <v>83</v>
      </c>
      <c r="B560" s="28" t="s">
        <v>5033</v>
      </c>
      <c r="C560" s="28">
        <v>2025052040</v>
      </c>
      <c r="D560" s="28" t="s">
        <v>7423</v>
      </c>
      <c r="E560" s="28" t="s">
        <v>5035</v>
      </c>
      <c r="F560" s="28">
        <v>4036</v>
      </c>
      <c r="G560" s="28" t="s">
        <v>1526</v>
      </c>
      <c r="H560" s="28" t="s">
        <v>1725</v>
      </c>
      <c r="I560" s="28" t="s">
        <v>7424</v>
      </c>
      <c r="J560" s="28" t="s">
        <v>5096</v>
      </c>
      <c r="K560" s="28" t="s">
        <v>5067</v>
      </c>
      <c r="L560" s="28" t="s">
        <v>5261</v>
      </c>
      <c r="M560" s="29" t="s">
        <v>5262</v>
      </c>
      <c r="N560" s="28">
        <v>5804</v>
      </c>
      <c r="O560" s="29" t="s">
        <v>5308</v>
      </c>
      <c r="P560" s="30" t="s">
        <v>7425</v>
      </c>
      <c r="Q560" s="28" t="s">
        <v>5355</v>
      </c>
      <c r="R560" s="28" t="s">
        <v>52</v>
      </c>
      <c r="S560" s="28" t="s">
        <v>4110</v>
      </c>
      <c r="T560" s="28">
        <v>1</v>
      </c>
      <c r="U560" s="28" t="s">
        <v>1719</v>
      </c>
      <c r="V560" s="28" t="s">
        <v>7426</v>
      </c>
      <c r="W560" s="28" t="s">
        <v>7427</v>
      </c>
      <c r="X560" s="135">
        <v>45792.576388888891</v>
      </c>
      <c r="Y560" s="28" t="s">
        <v>7428</v>
      </c>
      <c r="Z560" s="28">
        <v>0.5</v>
      </c>
      <c r="AA560" s="28"/>
      <c r="AB560" s="28" t="s">
        <v>1720</v>
      </c>
      <c r="AC560" s="30" t="s">
        <v>7429</v>
      </c>
      <c r="AD560" s="28"/>
      <c r="AE560" s="28"/>
      <c r="AF560" s="28"/>
      <c r="AG560" s="28"/>
      <c r="AH560" s="28"/>
      <c r="AI560" s="28"/>
      <c r="AJ560" s="28"/>
      <c r="AK560" s="28" t="s">
        <v>1721</v>
      </c>
      <c r="AL560" s="325">
        <f t="shared" si="29"/>
        <v>45792</v>
      </c>
      <c r="AM560"/>
    </row>
    <row r="561" spans="1:39" s="27" customFormat="1" ht="21.6" customHeight="1">
      <c r="A561" s="31">
        <v>84</v>
      </c>
      <c r="B561" s="31" t="s">
        <v>1724</v>
      </c>
      <c r="C561" s="31">
        <v>2025052082</v>
      </c>
      <c r="D561" s="31"/>
      <c r="E561" s="31"/>
      <c r="F561" s="31" t="s">
        <v>23</v>
      </c>
      <c r="G561" s="31" t="s">
        <v>1561</v>
      </c>
      <c r="H561" s="31" t="s">
        <v>1747</v>
      </c>
      <c r="I561" s="31"/>
      <c r="J561" s="31"/>
      <c r="K561" s="31"/>
      <c r="L561" s="31"/>
      <c r="M561" s="32"/>
      <c r="N561" s="31"/>
      <c r="O561" s="32"/>
      <c r="P561" s="33"/>
      <c r="Q561" s="31" t="s">
        <v>5965</v>
      </c>
      <c r="R561" s="31" t="s">
        <v>52</v>
      </c>
      <c r="S561" s="31" t="s">
        <v>4110</v>
      </c>
      <c r="T561" s="31">
        <v>1</v>
      </c>
      <c r="U561" s="31" t="s">
        <v>1719</v>
      </c>
      <c r="V561" s="31" t="s">
        <v>7430</v>
      </c>
      <c r="W561" s="31" t="s">
        <v>7404</v>
      </c>
      <c r="X561" s="211">
        <v>45792.493750000001</v>
      </c>
      <c r="Y561" s="31"/>
      <c r="Z561" s="31">
        <v>0.5</v>
      </c>
      <c r="AA561" s="31"/>
      <c r="AB561" s="31" t="s">
        <v>1720</v>
      </c>
      <c r="AC561" s="33" t="s">
        <v>5109</v>
      </c>
      <c r="AD561" s="31" t="s">
        <v>1721</v>
      </c>
      <c r="AE561" s="31"/>
      <c r="AF561" s="31"/>
      <c r="AG561" s="31"/>
      <c r="AH561" s="31"/>
      <c r="AI561" s="31"/>
      <c r="AJ561" s="31"/>
      <c r="AK561" s="31" t="s">
        <v>1721</v>
      </c>
      <c r="AL561" s="325" t="e">
        <f t="shared" si="29"/>
        <v>#VALUE!</v>
      </c>
      <c r="AM561"/>
    </row>
    <row r="562" spans="1:39" s="27" customFormat="1" ht="21.6" customHeight="1">
      <c r="A562" s="28">
        <v>85</v>
      </c>
      <c r="B562" s="28" t="s">
        <v>1724</v>
      </c>
      <c r="C562" s="28">
        <v>2025052095</v>
      </c>
      <c r="D562" s="28"/>
      <c r="E562" s="28"/>
      <c r="F562" s="28">
        <v>4036</v>
      </c>
      <c r="G562" s="28" t="s">
        <v>1526</v>
      </c>
      <c r="H562" s="28" t="s">
        <v>1725</v>
      </c>
      <c r="I562" s="28"/>
      <c r="J562" s="28"/>
      <c r="K562" s="28"/>
      <c r="L562" s="28"/>
      <c r="M562" s="29"/>
      <c r="N562" s="28"/>
      <c r="O562" s="29"/>
      <c r="P562" s="30"/>
      <c r="Q562" s="28" t="s">
        <v>5355</v>
      </c>
      <c r="R562" s="28" t="s">
        <v>52</v>
      </c>
      <c r="S562" s="28" t="s">
        <v>4110</v>
      </c>
      <c r="T562" s="28">
        <v>1</v>
      </c>
      <c r="U562" s="28" t="s">
        <v>1719</v>
      </c>
      <c r="V562" s="28" t="s">
        <v>7431</v>
      </c>
      <c r="W562" s="28" t="s">
        <v>7432</v>
      </c>
      <c r="X562" s="135">
        <v>45792.577777777777</v>
      </c>
      <c r="Y562" s="28"/>
      <c r="Z562" s="28">
        <v>0.6</v>
      </c>
      <c r="AA562" s="28"/>
      <c r="AB562" s="28" t="s">
        <v>1720</v>
      </c>
      <c r="AC562" s="30" t="s">
        <v>5109</v>
      </c>
      <c r="AD562" s="28" t="s">
        <v>1721</v>
      </c>
      <c r="AE562" s="28"/>
      <c r="AF562" s="28"/>
      <c r="AG562" s="28"/>
      <c r="AH562" s="28"/>
      <c r="AI562" s="28"/>
      <c r="AJ562" s="28"/>
      <c r="AK562" s="28" t="s">
        <v>1721</v>
      </c>
      <c r="AL562" s="325" t="e">
        <f t="shared" si="29"/>
        <v>#VALUE!</v>
      </c>
      <c r="AM562"/>
    </row>
    <row r="563" spans="1:39" s="27" customFormat="1" ht="21.6" customHeight="1">
      <c r="A563" s="31">
        <v>86</v>
      </c>
      <c r="B563" s="31" t="s">
        <v>1724</v>
      </c>
      <c r="C563" s="31">
        <v>2025052107</v>
      </c>
      <c r="D563" s="31"/>
      <c r="E563" s="31"/>
      <c r="F563" s="31">
        <v>2301</v>
      </c>
      <c r="G563" s="31" t="s">
        <v>1519</v>
      </c>
      <c r="H563" s="31" t="s">
        <v>1725</v>
      </c>
      <c r="I563" s="31"/>
      <c r="J563" s="31"/>
      <c r="K563" s="31"/>
      <c r="L563" s="31"/>
      <c r="M563" s="32"/>
      <c r="N563" s="31"/>
      <c r="O563" s="32"/>
      <c r="P563" s="33"/>
      <c r="Q563" s="31" t="s">
        <v>5428</v>
      </c>
      <c r="R563" s="31" t="s">
        <v>52</v>
      </c>
      <c r="S563" s="31" t="s">
        <v>4110</v>
      </c>
      <c r="T563" s="31">
        <v>1</v>
      </c>
      <c r="U563" s="31" t="s">
        <v>1719</v>
      </c>
      <c r="V563" s="31" t="s">
        <v>7433</v>
      </c>
      <c r="W563" s="31" t="s">
        <v>7434</v>
      </c>
      <c r="X563" s="211">
        <v>45792.606249999997</v>
      </c>
      <c r="Y563" s="31"/>
      <c r="Z563" s="31">
        <v>0.4</v>
      </c>
      <c r="AA563" s="31"/>
      <c r="AB563" s="31" t="s">
        <v>1720</v>
      </c>
      <c r="AC563" s="33" t="s">
        <v>5109</v>
      </c>
      <c r="AD563" s="31" t="s">
        <v>1721</v>
      </c>
      <c r="AE563" s="31"/>
      <c r="AF563" s="31"/>
      <c r="AG563" s="31"/>
      <c r="AH563" s="31"/>
      <c r="AI563" s="31"/>
      <c r="AJ563" s="31"/>
      <c r="AK563" s="31" t="s">
        <v>1721</v>
      </c>
      <c r="AL563" s="325" t="e">
        <f t="shared" si="29"/>
        <v>#VALUE!</v>
      </c>
      <c r="AM563"/>
    </row>
    <row r="564" spans="1:39" s="27" customFormat="1" ht="21.6" customHeight="1">
      <c r="A564" s="28">
        <v>87</v>
      </c>
      <c r="B564" s="28" t="s">
        <v>1724</v>
      </c>
      <c r="C564" s="28">
        <v>2025052111</v>
      </c>
      <c r="D564" s="28"/>
      <c r="E564" s="28"/>
      <c r="F564" s="28">
        <v>4923</v>
      </c>
      <c r="G564" s="28" t="s">
        <v>559</v>
      </c>
      <c r="H564" s="28" t="s">
        <v>1725</v>
      </c>
      <c r="I564" s="28"/>
      <c r="J564" s="28"/>
      <c r="K564" s="28"/>
      <c r="L564" s="28"/>
      <c r="M564" s="29"/>
      <c r="N564" s="28"/>
      <c r="O564" s="29"/>
      <c r="P564" s="29"/>
      <c r="Q564" s="28" t="s">
        <v>6185</v>
      </c>
      <c r="R564" s="28" t="s">
        <v>52</v>
      </c>
      <c r="S564" s="28" t="s">
        <v>4110</v>
      </c>
      <c r="T564" s="28">
        <v>1</v>
      </c>
      <c r="U564" s="28" t="s">
        <v>1719</v>
      </c>
      <c r="V564" s="28" t="s">
        <v>7435</v>
      </c>
      <c r="W564" s="28" t="s">
        <v>7436</v>
      </c>
      <c r="X564" s="135">
        <v>45792.627083333333</v>
      </c>
      <c r="Y564" s="28"/>
      <c r="Z564" s="28">
        <v>0.4</v>
      </c>
      <c r="AA564" s="28"/>
      <c r="AB564" s="28" t="s">
        <v>1720</v>
      </c>
      <c r="AC564" s="29" t="s">
        <v>5109</v>
      </c>
      <c r="AD564" s="28" t="s">
        <v>1721</v>
      </c>
      <c r="AE564" s="28"/>
      <c r="AF564" s="28"/>
      <c r="AG564" s="28"/>
      <c r="AH564" s="28"/>
      <c r="AI564" s="28"/>
      <c r="AJ564" s="28"/>
      <c r="AK564" s="28" t="s">
        <v>1721</v>
      </c>
      <c r="AL564" s="325" t="e">
        <f t="shared" si="29"/>
        <v>#VALUE!</v>
      </c>
      <c r="AM564"/>
    </row>
    <row r="565" spans="1:39" s="27" customFormat="1" ht="21.6" customHeight="1">
      <c r="A565" s="31">
        <v>90</v>
      </c>
      <c r="B565" s="31" t="s">
        <v>1724</v>
      </c>
      <c r="C565" s="31">
        <v>2025052216</v>
      </c>
      <c r="D565" s="31"/>
      <c r="E565" s="31"/>
      <c r="F565" s="31">
        <v>5057</v>
      </c>
      <c r="G565" s="31" t="s">
        <v>579</v>
      </c>
      <c r="H565" s="31" t="s">
        <v>1748</v>
      </c>
      <c r="I565" s="31"/>
      <c r="J565" s="31"/>
      <c r="K565" s="31"/>
      <c r="L565" s="31"/>
      <c r="M565" s="32"/>
      <c r="N565" s="31"/>
      <c r="O565" s="32"/>
      <c r="P565" s="32"/>
      <c r="Q565" s="31" t="s">
        <v>6647</v>
      </c>
      <c r="R565" s="31" t="s">
        <v>52</v>
      </c>
      <c r="S565" s="31" t="s">
        <v>16</v>
      </c>
      <c r="T565" s="31">
        <v>1</v>
      </c>
      <c r="U565" s="31" t="s">
        <v>1719</v>
      </c>
      <c r="V565" s="31" t="s">
        <v>7439</v>
      </c>
      <c r="W565" s="31" t="s">
        <v>7440</v>
      </c>
      <c r="X565" s="211">
        <v>45793.416666666664</v>
      </c>
      <c r="Y565" s="31"/>
      <c r="Z565" s="31">
        <v>0.5</v>
      </c>
      <c r="AA565" s="31"/>
      <c r="AB565" s="31" t="s">
        <v>1720</v>
      </c>
      <c r="AC565" s="32" t="s">
        <v>5109</v>
      </c>
      <c r="AD565" s="31" t="s">
        <v>1721</v>
      </c>
      <c r="AE565" s="31"/>
      <c r="AF565" s="31"/>
      <c r="AG565" s="31"/>
      <c r="AH565" s="31"/>
      <c r="AI565" s="31"/>
      <c r="AJ565" s="31" t="s">
        <v>1721</v>
      </c>
      <c r="AK565" s="31" t="s">
        <v>1721</v>
      </c>
      <c r="AL565" s="325" t="e">
        <f t="shared" ref="AL565" si="30">DATEVALUE(TEXT(I565, "yyyy/mm/dd"))</f>
        <v>#VALUE!</v>
      </c>
      <c r="AM565"/>
    </row>
    <row r="566" spans="1:39" s="27" customFormat="1" ht="21.6" customHeight="1">
      <c r="A566" s="28">
        <v>91</v>
      </c>
      <c r="B566" s="28" t="s">
        <v>5033</v>
      </c>
      <c r="C566" s="28">
        <v>2025052503</v>
      </c>
      <c r="D566" s="28" t="s">
        <v>7442</v>
      </c>
      <c r="E566" s="28" t="s">
        <v>5035</v>
      </c>
      <c r="F566" s="28">
        <v>2349</v>
      </c>
      <c r="G566" s="28" t="s">
        <v>4083</v>
      </c>
      <c r="H566" s="28" t="s">
        <v>1747</v>
      </c>
      <c r="I566" s="28" t="s">
        <v>7443</v>
      </c>
      <c r="J566" s="28" t="s">
        <v>5299</v>
      </c>
      <c r="K566" s="28" t="s">
        <v>5039</v>
      </c>
      <c r="L566" s="28" t="s">
        <v>5068</v>
      </c>
      <c r="M566" s="29" t="s">
        <v>1723</v>
      </c>
      <c r="N566" s="28">
        <v>2306</v>
      </c>
      <c r="O566" s="29" t="s">
        <v>5541</v>
      </c>
      <c r="P566" s="30" t="s">
        <v>7444</v>
      </c>
      <c r="Q566" s="28" t="s">
        <v>6195</v>
      </c>
      <c r="R566" s="28" t="s">
        <v>52</v>
      </c>
      <c r="S566" s="28" t="s">
        <v>4110</v>
      </c>
      <c r="T566" s="28">
        <v>1</v>
      </c>
      <c r="U566" s="28" t="s">
        <v>1719</v>
      </c>
      <c r="V566" s="28" t="s">
        <v>7445</v>
      </c>
      <c r="W566" s="28" t="s">
        <v>7446</v>
      </c>
      <c r="X566" s="135">
        <v>45796.468055555553</v>
      </c>
      <c r="Y566" s="28" t="s">
        <v>7447</v>
      </c>
      <c r="Z566" s="28">
        <v>0.5</v>
      </c>
      <c r="AA566" s="28"/>
      <c r="AB566" s="28" t="s">
        <v>1720</v>
      </c>
      <c r="AC566" s="30" t="s">
        <v>7448</v>
      </c>
      <c r="AD566" s="28"/>
      <c r="AE566" s="28"/>
      <c r="AF566" s="28"/>
      <c r="AG566" s="28"/>
      <c r="AH566" s="28"/>
      <c r="AI566" s="28"/>
      <c r="AJ566" s="28"/>
      <c r="AK566" s="28" t="s">
        <v>1721</v>
      </c>
      <c r="AL566" s="325">
        <f t="shared" ref="AL566:AL569" si="31">DATEVALUE(TEXT(I566, "yyyy/mm/dd"))</f>
        <v>45793</v>
      </c>
      <c r="AM566"/>
    </row>
    <row r="567" spans="1:39" s="27" customFormat="1" ht="21.6" customHeight="1">
      <c r="A567" s="31">
        <v>92</v>
      </c>
      <c r="B567" s="31" t="s">
        <v>1724</v>
      </c>
      <c r="C567" s="31">
        <v>2025052584</v>
      </c>
      <c r="D567" s="31"/>
      <c r="E567" s="31"/>
      <c r="F567" s="31">
        <v>4856</v>
      </c>
      <c r="G567" s="31" t="s">
        <v>545</v>
      </c>
      <c r="H567" s="31" t="s">
        <v>1748</v>
      </c>
      <c r="I567" s="31"/>
      <c r="J567" s="31"/>
      <c r="K567" s="31"/>
      <c r="L567" s="31"/>
      <c r="M567" s="32"/>
      <c r="N567" s="31"/>
      <c r="O567" s="32"/>
      <c r="P567" s="33"/>
      <c r="Q567" s="31" t="s">
        <v>5453</v>
      </c>
      <c r="R567" s="31" t="s">
        <v>52</v>
      </c>
      <c r="S567" s="31" t="s">
        <v>16</v>
      </c>
      <c r="T567" s="31">
        <v>1</v>
      </c>
      <c r="U567" s="31" t="s">
        <v>1719</v>
      </c>
      <c r="V567" s="31" t="s">
        <v>7449</v>
      </c>
      <c r="W567" s="31" t="s">
        <v>7450</v>
      </c>
      <c r="X567" s="211">
        <v>45796.555555555555</v>
      </c>
      <c r="Y567" s="31"/>
      <c r="Z567" s="31">
        <v>0.3</v>
      </c>
      <c r="AA567" s="31"/>
      <c r="AB567" s="31" t="s">
        <v>1720</v>
      </c>
      <c r="AC567" s="33" t="s">
        <v>7452</v>
      </c>
      <c r="AD567" s="31"/>
      <c r="AE567" s="31"/>
      <c r="AF567" s="31"/>
      <c r="AG567" s="31"/>
      <c r="AH567" s="31"/>
      <c r="AI567" s="31"/>
      <c r="AJ567" s="31" t="s">
        <v>1721</v>
      </c>
      <c r="AK567" s="31" t="s">
        <v>1721</v>
      </c>
      <c r="AL567" s="325" t="e">
        <f t="shared" si="31"/>
        <v>#VALUE!</v>
      </c>
      <c r="AM567"/>
    </row>
    <row r="568" spans="1:39" s="27" customFormat="1" ht="21.6" customHeight="1">
      <c r="A568" s="28">
        <v>93</v>
      </c>
      <c r="B568" s="28" t="s">
        <v>1724</v>
      </c>
      <c r="C568" s="28">
        <v>2025052587</v>
      </c>
      <c r="D568" s="28"/>
      <c r="E568" s="28"/>
      <c r="F568" s="28">
        <v>3380</v>
      </c>
      <c r="G568" s="28" t="s">
        <v>182</v>
      </c>
      <c r="H568" s="28" t="s">
        <v>1748</v>
      </c>
      <c r="I568" s="28"/>
      <c r="J568" s="28"/>
      <c r="K568" s="28"/>
      <c r="L568" s="28"/>
      <c r="M568" s="29"/>
      <c r="N568" s="28"/>
      <c r="O568" s="29"/>
      <c r="P568" s="30"/>
      <c r="Q568" s="28" t="s">
        <v>5410</v>
      </c>
      <c r="R568" s="28" t="s">
        <v>52</v>
      </c>
      <c r="S568" s="28" t="s">
        <v>16</v>
      </c>
      <c r="T568" s="28">
        <v>1</v>
      </c>
      <c r="U568" s="28" t="s">
        <v>1719</v>
      </c>
      <c r="V568" s="28" t="s">
        <v>7453</v>
      </c>
      <c r="W568" s="28" t="s">
        <v>7451</v>
      </c>
      <c r="X568" s="135">
        <v>45796.576388888891</v>
      </c>
      <c r="Y568" s="28"/>
      <c r="Z568" s="28">
        <v>0.5</v>
      </c>
      <c r="AA568" s="28"/>
      <c r="AB568" s="28" t="s">
        <v>1720</v>
      </c>
      <c r="AC568" s="30" t="s">
        <v>5051</v>
      </c>
      <c r="AD568" s="28" t="s">
        <v>1721</v>
      </c>
      <c r="AE568" s="28"/>
      <c r="AF568" s="28"/>
      <c r="AG568" s="28"/>
      <c r="AH568" s="28"/>
      <c r="AI568" s="28"/>
      <c r="AJ568" s="28" t="s">
        <v>1721</v>
      </c>
      <c r="AK568" s="28" t="s">
        <v>1721</v>
      </c>
      <c r="AL568" s="325" t="e">
        <f t="shared" si="31"/>
        <v>#VALUE!</v>
      </c>
      <c r="AM568"/>
    </row>
    <row r="569" spans="1:39" s="27" customFormat="1" ht="21.6" customHeight="1">
      <c r="A569" s="31">
        <v>94</v>
      </c>
      <c r="B569" s="31" t="s">
        <v>1724</v>
      </c>
      <c r="C569" s="31">
        <v>2025052631</v>
      </c>
      <c r="D569" s="31"/>
      <c r="E569" s="31"/>
      <c r="F569" s="31">
        <v>4167</v>
      </c>
      <c r="G569" s="31" t="s">
        <v>319</v>
      </c>
      <c r="H569" s="31" t="s">
        <v>1722</v>
      </c>
      <c r="I569" s="31"/>
      <c r="J569" s="31"/>
      <c r="K569" s="31"/>
      <c r="L569" s="31"/>
      <c r="M569" s="32"/>
      <c r="N569" s="31"/>
      <c r="O569" s="32"/>
      <c r="P569" s="32"/>
      <c r="Q569" s="31" t="s">
        <v>5993</v>
      </c>
      <c r="R569" s="31" t="s">
        <v>52</v>
      </c>
      <c r="S569" s="31" t="s">
        <v>1157</v>
      </c>
      <c r="T569" s="31">
        <v>1</v>
      </c>
      <c r="U569" s="31" t="s">
        <v>1719</v>
      </c>
      <c r="V569" s="31" t="s">
        <v>7454</v>
      </c>
      <c r="W569" s="31" t="s">
        <v>7455</v>
      </c>
      <c r="X569" s="211">
        <v>45796.663194444445</v>
      </c>
      <c r="Y569" s="31"/>
      <c r="Z569" s="31">
        <v>0.8</v>
      </c>
      <c r="AA569" s="31"/>
      <c r="AB569" s="31" t="s">
        <v>1720</v>
      </c>
      <c r="AC569" s="32" t="s">
        <v>5051</v>
      </c>
      <c r="AD569" s="31" t="s">
        <v>1721</v>
      </c>
      <c r="AE569" s="31"/>
      <c r="AF569" s="31"/>
      <c r="AG569" s="31"/>
      <c r="AH569" s="31"/>
      <c r="AI569" s="31"/>
      <c r="AJ569" s="31" t="s">
        <v>1721</v>
      </c>
      <c r="AK569" s="31" t="s">
        <v>1721</v>
      </c>
      <c r="AL569" s="325" t="e">
        <f t="shared" si="31"/>
        <v>#VALUE!</v>
      </c>
      <c r="AM569"/>
    </row>
    <row r="570" spans="1:39" s="27" customFormat="1" ht="21.6" customHeight="1">
      <c r="A570" s="31">
        <v>96</v>
      </c>
      <c r="B570" s="31" t="s">
        <v>5033</v>
      </c>
      <c r="C570" s="31">
        <v>2025052699</v>
      </c>
      <c r="D570" s="31" t="s">
        <v>7456</v>
      </c>
      <c r="E570" s="31" t="s">
        <v>5035</v>
      </c>
      <c r="F570" s="31" t="s">
        <v>38</v>
      </c>
      <c r="G570" s="31" t="s">
        <v>4121</v>
      </c>
      <c r="H570" s="31" t="s">
        <v>1747</v>
      </c>
      <c r="I570" s="31" t="s">
        <v>7457</v>
      </c>
      <c r="J570" s="31" t="s">
        <v>5252</v>
      </c>
      <c r="K570" s="31" t="s">
        <v>5067</v>
      </c>
      <c r="L570" s="31" t="s">
        <v>5068</v>
      </c>
      <c r="M570" s="32" t="s">
        <v>1723</v>
      </c>
      <c r="N570" s="31">
        <v>2305</v>
      </c>
      <c r="O570" s="32" t="s">
        <v>5069</v>
      </c>
      <c r="P570" s="33" t="s">
        <v>7458</v>
      </c>
      <c r="Q570" s="31" t="s">
        <v>5439</v>
      </c>
      <c r="R570" s="31" t="s">
        <v>52</v>
      </c>
      <c r="S570" s="31" t="s">
        <v>4110</v>
      </c>
      <c r="T570" s="31">
        <v>1</v>
      </c>
      <c r="U570" s="31" t="s">
        <v>1719</v>
      </c>
      <c r="V570" s="31" t="s">
        <v>7459</v>
      </c>
      <c r="W570" s="31" t="s">
        <v>7460</v>
      </c>
      <c r="X570" s="211">
        <v>45797.440972222219</v>
      </c>
      <c r="Y570" s="31" t="s">
        <v>7461</v>
      </c>
      <c r="Z570" s="31">
        <v>0.5</v>
      </c>
      <c r="AA570" s="31"/>
      <c r="AB570" s="31" t="s">
        <v>1720</v>
      </c>
      <c r="AC570" s="33" t="s">
        <v>7462</v>
      </c>
      <c r="AD570" s="31"/>
      <c r="AE570" s="31"/>
      <c r="AF570" s="31"/>
      <c r="AG570" s="31"/>
      <c r="AH570" s="31"/>
      <c r="AI570" s="31"/>
      <c r="AJ570" s="31"/>
      <c r="AK570" s="31" t="s">
        <v>1721</v>
      </c>
      <c r="AL570" s="325">
        <f t="shared" ref="AL570:AL575" si="32">DATEVALUE(TEXT(I570, "yyyy/mm/dd"))</f>
        <v>45797</v>
      </c>
      <c r="AM570"/>
    </row>
    <row r="571" spans="1:39" s="27" customFormat="1" ht="21.6" customHeight="1">
      <c r="A571" s="28">
        <v>97</v>
      </c>
      <c r="B571" s="28" t="s">
        <v>5033</v>
      </c>
      <c r="C571" s="28">
        <v>2025052703</v>
      </c>
      <c r="D571" s="28" t="s">
        <v>7463</v>
      </c>
      <c r="E571" s="28" t="s">
        <v>5035</v>
      </c>
      <c r="F571" s="28" t="s">
        <v>22</v>
      </c>
      <c r="G571" s="28" t="s">
        <v>1559</v>
      </c>
      <c r="H571" s="28" t="s">
        <v>1747</v>
      </c>
      <c r="I571" s="28" t="s">
        <v>7464</v>
      </c>
      <c r="J571" s="28" t="s">
        <v>5252</v>
      </c>
      <c r="K571" s="28" t="s">
        <v>5451</v>
      </c>
      <c r="L571" s="28" t="s">
        <v>5040</v>
      </c>
      <c r="M571" s="29" t="s">
        <v>4057</v>
      </c>
      <c r="N571" s="28">
        <v>2501</v>
      </c>
      <c r="O571" s="29" t="s">
        <v>5041</v>
      </c>
      <c r="P571" s="30" t="s">
        <v>7465</v>
      </c>
      <c r="Q571" s="28" t="s">
        <v>5926</v>
      </c>
      <c r="R571" s="28" t="s">
        <v>52</v>
      </c>
      <c r="S571" s="28" t="s">
        <v>4110</v>
      </c>
      <c r="T571" s="28">
        <v>1</v>
      </c>
      <c r="U571" s="28" t="s">
        <v>1719</v>
      </c>
      <c r="V571" s="28" t="s">
        <v>7466</v>
      </c>
      <c r="W571" s="28" t="s">
        <v>7467</v>
      </c>
      <c r="X571" s="135">
        <v>45797.651388888888</v>
      </c>
      <c r="Y571" s="28" t="s">
        <v>7468</v>
      </c>
      <c r="Z571" s="28">
        <v>0.5</v>
      </c>
      <c r="AA571" s="28"/>
      <c r="AB571" s="28" t="s">
        <v>1720</v>
      </c>
      <c r="AC571" s="30" t="s">
        <v>7469</v>
      </c>
      <c r="AD571" s="28"/>
      <c r="AE571" s="28"/>
      <c r="AF571" s="28"/>
      <c r="AG571" s="28"/>
      <c r="AH571" s="28"/>
      <c r="AI571" s="28"/>
      <c r="AJ571" s="28"/>
      <c r="AK571" s="28" t="s">
        <v>1721</v>
      </c>
      <c r="AL571" s="325">
        <f t="shared" si="32"/>
        <v>45797</v>
      </c>
      <c r="AM571"/>
    </row>
    <row r="572" spans="1:39" s="27" customFormat="1" ht="21.6" customHeight="1">
      <c r="A572" s="31">
        <v>98</v>
      </c>
      <c r="B572" s="31" t="s">
        <v>5033</v>
      </c>
      <c r="C572" s="31">
        <v>2025052717</v>
      </c>
      <c r="D572" s="31" t="s">
        <v>7470</v>
      </c>
      <c r="E572" s="31" t="s">
        <v>5035</v>
      </c>
      <c r="F572" s="31">
        <v>3380</v>
      </c>
      <c r="G572" s="31" t="s">
        <v>182</v>
      </c>
      <c r="H572" s="31" t="s">
        <v>1748</v>
      </c>
      <c r="I572" s="31" t="s">
        <v>7471</v>
      </c>
      <c r="J572" s="31" t="s">
        <v>5252</v>
      </c>
      <c r="K572" s="31" t="s">
        <v>5067</v>
      </c>
      <c r="L572" s="31" t="s">
        <v>5261</v>
      </c>
      <c r="M572" s="32" t="s">
        <v>5262</v>
      </c>
      <c r="N572" s="31">
        <v>5802</v>
      </c>
      <c r="O572" s="32" t="s">
        <v>7472</v>
      </c>
      <c r="P572" s="33" t="s">
        <v>7473</v>
      </c>
      <c r="Q572" s="31" t="s">
        <v>5410</v>
      </c>
      <c r="R572" s="31" t="s">
        <v>52</v>
      </c>
      <c r="S572" s="31" t="s">
        <v>16</v>
      </c>
      <c r="T572" s="31">
        <v>1</v>
      </c>
      <c r="U572" s="31" t="s">
        <v>1719</v>
      </c>
      <c r="V572" s="31" t="s">
        <v>7474</v>
      </c>
      <c r="W572" s="31" t="s">
        <v>7475</v>
      </c>
      <c r="X572" s="211">
        <v>45797.583333333336</v>
      </c>
      <c r="Y572" s="31" t="s">
        <v>7477</v>
      </c>
      <c r="Z572" s="31">
        <v>1</v>
      </c>
      <c r="AA572" s="31"/>
      <c r="AB572" s="31" t="s">
        <v>1720</v>
      </c>
      <c r="AC572" s="33" t="s">
        <v>7478</v>
      </c>
      <c r="AD572" s="31"/>
      <c r="AE572" s="31"/>
      <c r="AF572" s="31"/>
      <c r="AG572" s="31"/>
      <c r="AH572" s="31"/>
      <c r="AI572" s="31"/>
      <c r="AJ572" s="31"/>
      <c r="AK572" s="31" t="s">
        <v>1721</v>
      </c>
      <c r="AL572" s="325">
        <f t="shared" si="32"/>
        <v>45797</v>
      </c>
      <c r="AM572"/>
    </row>
    <row r="573" spans="1:39" s="27" customFormat="1" ht="21.6" customHeight="1">
      <c r="A573" s="28">
        <v>99</v>
      </c>
      <c r="B573" s="28" t="s">
        <v>1724</v>
      </c>
      <c r="C573" s="28">
        <v>2025052744</v>
      </c>
      <c r="D573" s="28"/>
      <c r="E573" s="28"/>
      <c r="F573" s="28" t="s">
        <v>34</v>
      </c>
      <c r="G573" s="28" t="s">
        <v>653</v>
      </c>
      <c r="H573" s="28" t="s">
        <v>1722</v>
      </c>
      <c r="I573" s="28"/>
      <c r="J573" s="28"/>
      <c r="K573" s="28"/>
      <c r="L573" s="28"/>
      <c r="M573" s="29"/>
      <c r="N573" s="28"/>
      <c r="O573" s="29"/>
      <c r="P573" s="30"/>
      <c r="Q573" s="28" t="s">
        <v>5390</v>
      </c>
      <c r="R573" s="28" t="s">
        <v>52</v>
      </c>
      <c r="S573" s="28" t="s">
        <v>1157</v>
      </c>
      <c r="T573" s="28">
        <v>1</v>
      </c>
      <c r="U573" s="28" t="s">
        <v>1719</v>
      </c>
      <c r="V573" s="28" t="s">
        <v>7479</v>
      </c>
      <c r="W573" s="28" t="s">
        <v>7480</v>
      </c>
      <c r="X573" s="135">
        <v>45797.510416666664</v>
      </c>
      <c r="Y573" s="28"/>
      <c r="Z573" s="28">
        <v>0.6</v>
      </c>
      <c r="AA573" s="28"/>
      <c r="AB573" s="28" t="s">
        <v>1720</v>
      </c>
      <c r="AC573" s="30" t="s">
        <v>5051</v>
      </c>
      <c r="AD573" s="28" t="s">
        <v>1721</v>
      </c>
      <c r="AE573" s="28"/>
      <c r="AF573" s="28"/>
      <c r="AG573" s="28"/>
      <c r="AH573" s="28"/>
      <c r="AI573" s="28"/>
      <c r="AJ573" s="28" t="s">
        <v>1721</v>
      </c>
      <c r="AK573" s="28" t="s">
        <v>1721</v>
      </c>
      <c r="AL573" s="325" t="e">
        <f t="shared" si="32"/>
        <v>#VALUE!</v>
      </c>
      <c r="AM573"/>
    </row>
    <row r="574" spans="1:39" s="27" customFormat="1" ht="21.6" customHeight="1">
      <c r="A574" s="31">
        <v>100</v>
      </c>
      <c r="B574" s="31" t="s">
        <v>1724</v>
      </c>
      <c r="C574" s="31">
        <v>2025052788</v>
      </c>
      <c r="D574" s="31"/>
      <c r="E574" s="31"/>
      <c r="F574" s="31">
        <v>4260</v>
      </c>
      <c r="G574" s="31" t="s">
        <v>7481</v>
      </c>
      <c r="H574" s="31" t="s">
        <v>1747</v>
      </c>
      <c r="I574" s="31"/>
      <c r="J574" s="31"/>
      <c r="K574" s="31"/>
      <c r="L574" s="31"/>
      <c r="M574" s="32"/>
      <c r="N574" s="31"/>
      <c r="O574" s="32"/>
      <c r="P574" s="33"/>
      <c r="Q574" s="31" t="s">
        <v>5078</v>
      </c>
      <c r="R574" s="31" t="s">
        <v>52</v>
      </c>
      <c r="S574" s="31" t="s">
        <v>4110</v>
      </c>
      <c r="T574" s="31">
        <v>1</v>
      </c>
      <c r="U574" s="31" t="s">
        <v>1719</v>
      </c>
      <c r="V574" s="31" t="s">
        <v>7482</v>
      </c>
      <c r="W574" s="31" t="s">
        <v>7476</v>
      </c>
      <c r="X574" s="211">
        <v>45797.625694444447</v>
      </c>
      <c r="Y574" s="31"/>
      <c r="Z574" s="31">
        <v>1</v>
      </c>
      <c r="AA574" s="31"/>
      <c r="AB574" s="31" t="s">
        <v>1720</v>
      </c>
      <c r="AC574" s="33" t="s">
        <v>7483</v>
      </c>
      <c r="AD574" s="31"/>
      <c r="AE574" s="31" t="s">
        <v>1721</v>
      </c>
      <c r="AF574" s="31"/>
      <c r="AG574" s="31"/>
      <c r="AH574" s="31"/>
      <c r="AI574" s="31"/>
      <c r="AJ574" s="31"/>
      <c r="AK574" s="31" t="s">
        <v>1721</v>
      </c>
      <c r="AL574" s="325" t="e">
        <f t="shared" si="32"/>
        <v>#VALUE!</v>
      </c>
      <c r="AM574"/>
    </row>
    <row r="575" spans="1:39" s="27" customFormat="1" ht="21.6" customHeight="1">
      <c r="A575" s="28">
        <v>101</v>
      </c>
      <c r="B575" s="28" t="s">
        <v>1724</v>
      </c>
      <c r="C575" s="28">
        <v>2025052820</v>
      </c>
      <c r="D575" s="28"/>
      <c r="E575" s="28"/>
      <c r="F575" s="28" t="s">
        <v>22</v>
      </c>
      <c r="G575" s="28" t="s">
        <v>1559</v>
      </c>
      <c r="H575" s="28" t="s">
        <v>1747</v>
      </c>
      <c r="I575" s="28"/>
      <c r="J575" s="28"/>
      <c r="K575" s="28"/>
      <c r="L575" s="28"/>
      <c r="M575" s="29"/>
      <c r="N575" s="28"/>
      <c r="O575" s="29"/>
      <c r="P575" s="29"/>
      <c r="Q575" s="28" t="s">
        <v>5926</v>
      </c>
      <c r="R575" s="28" t="s">
        <v>52</v>
      </c>
      <c r="S575" s="28" t="s">
        <v>4110</v>
      </c>
      <c r="T575" s="28">
        <v>1</v>
      </c>
      <c r="U575" s="28" t="s">
        <v>1719</v>
      </c>
      <c r="V575" s="28" t="s">
        <v>7484</v>
      </c>
      <c r="W575" s="28" t="s">
        <v>7485</v>
      </c>
      <c r="X575" s="135">
        <v>45797.682638888888</v>
      </c>
      <c r="Y575" s="28"/>
      <c r="Z575" s="28">
        <v>1.1000000000000001</v>
      </c>
      <c r="AA575" s="28"/>
      <c r="AB575" s="28" t="s">
        <v>1720</v>
      </c>
      <c r="AC575" s="29" t="s">
        <v>5051</v>
      </c>
      <c r="AD575" s="28" t="s">
        <v>1721</v>
      </c>
      <c r="AE575" s="28"/>
      <c r="AF575" s="28"/>
      <c r="AG575" s="28"/>
      <c r="AH575" s="28"/>
      <c r="AI575" s="28"/>
      <c r="AJ575" s="28" t="s">
        <v>1721</v>
      </c>
      <c r="AK575" s="28" t="s">
        <v>1721</v>
      </c>
      <c r="AL575" s="325" t="e">
        <f t="shared" si="32"/>
        <v>#VALUE!</v>
      </c>
      <c r="AM575"/>
    </row>
    <row r="576" spans="1:39" s="27" customFormat="1" ht="21.6" customHeight="1">
      <c r="A576" s="31">
        <v>104</v>
      </c>
      <c r="B576" s="31" t="s">
        <v>1724</v>
      </c>
      <c r="C576" s="31">
        <v>2025052903</v>
      </c>
      <c r="D576" s="31"/>
      <c r="E576" s="31"/>
      <c r="F576" s="31" t="s">
        <v>39</v>
      </c>
      <c r="G576" s="31" t="s">
        <v>649</v>
      </c>
      <c r="H576" s="31" t="s">
        <v>1747</v>
      </c>
      <c r="I576" s="31"/>
      <c r="J576" s="31"/>
      <c r="K576" s="31"/>
      <c r="L576" s="31"/>
      <c r="M576" s="32"/>
      <c r="N576" s="31"/>
      <c r="O576" s="32"/>
      <c r="P576" s="33"/>
      <c r="Q576" s="31" t="s">
        <v>6363</v>
      </c>
      <c r="R576" s="31" t="s">
        <v>52</v>
      </c>
      <c r="S576" s="31" t="s">
        <v>4110</v>
      </c>
      <c r="T576" s="31">
        <v>1</v>
      </c>
      <c r="U576" s="31" t="s">
        <v>1719</v>
      </c>
      <c r="V576" s="31" t="s">
        <v>7486</v>
      </c>
      <c r="W576" s="31" t="s">
        <v>7487</v>
      </c>
      <c r="X576" s="211">
        <v>45798.487500000003</v>
      </c>
      <c r="Y576" s="31"/>
      <c r="Z576" s="31">
        <v>0.9</v>
      </c>
      <c r="AA576" s="31"/>
      <c r="AB576" s="31"/>
      <c r="AC576" s="33" t="s">
        <v>7488</v>
      </c>
      <c r="AD576" s="31"/>
      <c r="AE576" s="31"/>
      <c r="AF576" s="31"/>
      <c r="AG576" s="31"/>
      <c r="AH576" s="31"/>
      <c r="AI576" s="31"/>
      <c r="AJ576" s="31" t="s">
        <v>1721</v>
      </c>
      <c r="AK576" s="31" t="s">
        <v>1721</v>
      </c>
      <c r="AL576" s="325" t="e">
        <f t="shared" ref="AL576:AL585" si="33">DATEVALUE(TEXT(I576, "yyyy/mm/dd"))</f>
        <v>#VALUE!</v>
      </c>
      <c r="AM576"/>
    </row>
    <row r="577" spans="1:39" s="27" customFormat="1" ht="21.6" customHeight="1">
      <c r="A577" s="28">
        <v>105</v>
      </c>
      <c r="B577" s="28" t="s">
        <v>1724</v>
      </c>
      <c r="C577" s="28">
        <v>2025052919</v>
      </c>
      <c r="D577" s="28"/>
      <c r="E577" s="28"/>
      <c r="F577" s="28">
        <v>4483</v>
      </c>
      <c r="G577" s="28" t="s">
        <v>407</v>
      </c>
      <c r="H577" s="28" t="s">
        <v>1746</v>
      </c>
      <c r="I577" s="28"/>
      <c r="J577" s="28"/>
      <c r="K577" s="28"/>
      <c r="L577" s="28"/>
      <c r="M577" s="29"/>
      <c r="N577" s="28"/>
      <c r="O577" s="29"/>
      <c r="P577" s="30"/>
      <c r="Q577" s="28" t="s">
        <v>6544</v>
      </c>
      <c r="R577" s="28" t="s">
        <v>52</v>
      </c>
      <c r="S577" s="28" t="s">
        <v>16</v>
      </c>
      <c r="T577" s="28">
        <v>1</v>
      </c>
      <c r="U577" s="28" t="s">
        <v>1719</v>
      </c>
      <c r="V577" s="28" t="s">
        <v>7489</v>
      </c>
      <c r="W577" s="28" t="s">
        <v>7490</v>
      </c>
      <c r="X577" s="135">
        <v>45798.5</v>
      </c>
      <c r="Y577" s="28"/>
      <c r="Z577" s="28">
        <v>1</v>
      </c>
      <c r="AA577" s="28"/>
      <c r="AB577" s="28" t="s">
        <v>1720</v>
      </c>
      <c r="AC577" s="30" t="s">
        <v>5051</v>
      </c>
      <c r="AD577" s="28" t="s">
        <v>1721</v>
      </c>
      <c r="AE577" s="28"/>
      <c r="AF577" s="28"/>
      <c r="AG577" s="28"/>
      <c r="AH577" s="28"/>
      <c r="AI577" s="28"/>
      <c r="AJ577" s="28" t="s">
        <v>1721</v>
      </c>
      <c r="AK577" s="28" t="s">
        <v>1721</v>
      </c>
      <c r="AL577" s="325" t="e">
        <f t="shared" si="33"/>
        <v>#VALUE!</v>
      </c>
      <c r="AM577"/>
    </row>
    <row r="578" spans="1:39" s="27" customFormat="1" ht="21.6" customHeight="1">
      <c r="A578" s="31">
        <v>106</v>
      </c>
      <c r="B578" s="31" t="s">
        <v>1724</v>
      </c>
      <c r="C578" s="31">
        <v>2025052948</v>
      </c>
      <c r="D578" s="31"/>
      <c r="E578" s="31"/>
      <c r="F578" s="31">
        <v>4282</v>
      </c>
      <c r="G578" s="31" t="s">
        <v>350</v>
      </c>
      <c r="H578" s="31" t="s">
        <v>1746</v>
      </c>
      <c r="I578" s="31"/>
      <c r="J578" s="31"/>
      <c r="K578" s="31"/>
      <c r="L578" s="31"/>
      <c r="M578" s="32"/>
      <c r="N578" s="31"/>
      <c r="O578" s="32"/>
      <c r="P578" s="33"/>
      <c r="Q578" s="31" t="s">
        <v>5126</v>
      </c>
      <c r="R578" s="31" t="s">
        <v>52</v>
      </c>
      <c r="S578" s="31" t="s">
        <v>16</v>
      </c>
      <c r="T578" s="31">
        <v>1</v>
      </c>
      <c r="U578" s="31" t="s">
        <v>1719</v>
      </c>
      <c r="V578" s="31" t="s">
        <v>7491</v>
      </c>
      <c r="W578" s="31" t="s">
        <v>7492</v>
      </c>
      <c r="X578" s="211">
        <v>45798.604166666664</v>
      </c>
      <c r="Y578" s="31"/>
      <c r="Z578" s="31">
        <v>1.5</v>
      </c>
      <c r="AA578" s="31"/>
      <c r="AB578" s="31" t="s">
        <v>1720</v>
      </c>
      <c r="AC578" s="33" t="s">
        <v>7494</v>
      </c>
      <c r="AD578" s="31"/>
      <c r="AE578" s="31"/>
      <c r="AF578" s="31"/>
      <c r="AG578" s="31"/>
      <c r="AH578" s="31"/>
      <c r="AI578" s="31"/>
      <c r="AJ578" s="31" t="s">
        <v>1721</v>
      </c>
      <c r="AK578" s="31" t="s">
        <v>1721</v>
      </c>
      <c r="AL578" s="325" t="e">
        <f t="shared" si="33"/>
        <v>#VALUE!</v>
      </c>
      <c r="AM578"/>
    </row>
    <row r="579" spans="1:39" s="27" customFormat="1" ht="21.6" customHeight="1">
      <c r="A579" s="28">
        <v>107</v>
      </c>
      <c r="B579" s="28" t="s">
        <v>1724</v>
      </c>
      <c r="C579" s="28">
        <v>2025052949</v>
      </c>
      <c r="D579" s="28"/>
      <c r="E579" s="28"/>
      <c r="F579" s="28" t="s">
        <v>23</v>
      </c>
      <c r="G579" s="28" t="s">
        <v>1561</v>
      </c>
      <c r="H579" s="28" t="s">
        <v>1747</v>
      </c>
      <c r="I579" s="28"/>
      <c r="J579" s="28"/>
      <c r="K579" s="28"/>
      <c r="L579" s="28"/>
      <c r="M579" s="29"/>
      <c r="N579" s="28"/>
      <c r="O579" s="29"/>
      <c r="P579" s="30"/>
      <c r="Q579" s="28" t="s">
        <v>5965</v>
      </c>
      <c r="R579" s="28" t="s">
        <v>52</v>
      </c>
      <c r="S579" s="28" t="s">
        <v>4110</v>
      </c>
      <c r="T579" s="28">
        <v>1</v>
      </c>
      <c r="U579" s="28" t="s">
        <v>1719</v>
      </c>
      <c r="V579" s="28" t="s">
        <v>7495</v>
      </c>
      <c r="W579" s="28" t="s">
        <v>7496</v>
      </c>
      <c r="X579" s="135">
        <v>45798.604166666664</v>
      </c>
      <c r="Y579" s="28"/>
      <c r="Z579" s="28">
        <v>0.5</v>
      </c>
      <c r="AA579" s="28"/>
      <c r="AB579" s="28" t="s">
        <v>1720</v>
      </c>
      <c r="AC579" s="30" t="s">
        <v>7488</v>
      </c>
      <c r="AD579" s="28"/>
      <c r="AE579" s="28"/>
      <c r="AF579" s="28"/>
      <c r="AG579" s="28"/>
      <c r="AH579" s="28"/>
      <c r="AI579" s="28"/>
      <c r="AJ579" s="28" t="s">
        <v>1721</v>
      </c>
      <c r="AK579" s="28" t="s">
        <v>1721</v>
      </c>
      <c r="AL579" s="325" t="e">
        <f t="shared" si="33"/>
        <v>#VALUE!</v>
      </c>
      <c r="AM579"/>
    </row>
    <row r="580" spans="1:39" s="27" customFormat="1" ht="21.6" customHeight="1">
      <c r="A580" s="31">
        <v>108</v>
      </c>
      <c r="B580" s="31" t="s">
        <v>1724</v>
      </c>
      <c r="C580" s="31">
        <v>2025052957</v>
      </c>
      <c r="D580" s="31"/>
      <c r="E580" s="31"/>
      <c r="F580" s="31">
        <v>4514</v>
      </c>
      <c r="G580" s="31" t="s">
        <v>418</v>
      </c>
      <c r="H580" s="31" t="s">
        <v>1746</v>
      </c>
      <c r="I580" s="31"/>
      <c r="J580" s="31"/>
      <c r="K580" s="31"/>
      <c r="L580" s="31"/>
      <c r="M580" s="32"/>
      <c r="N580" s="31"/>
      <c r="O580" s="32"/>
      <c r="P580" s="33"/>
      <c r="Q580" s="31" t="s">
        <v>5937</v>
      </c>
      <c r="R580" s="31" t="s">
        <v>52</v>
      </c>
      <c r="S580" s="31" t="s">
        <v>16</v>
      </c>
      <c r="T580" s="31">
        <v>1</v>
      </c>
      <c r="U580" s="31" t="s">
        <v>1719</v>
      </c>
      <c r="V580" s="31" t="s">
        <v>7497</v>
      </c>
      <c r="W580" s="31" t="s">
        <v>7493</v>
      </c>
      <c r="X580" s="211">
        <v>45798.618055555555</v>
      </c>
      <c r="Y580" s="31"/>
      <c r="Z580" s="31">
        <v>0.3</v>
      </c>
      <c r="AA580" s="31"/>
      <c r="AB580" s="31" t="s">
        <v>1720</v>
      </c>
      <c r="AC580" s="33" t="s">
        <v>5109</v>
      </c>
      <c r="AD580" s="31" t="s">
        <v>1721</v>
      </c>
      <c r="AE580" s="31"/>
      <c r="AF580" s="31"/>
      <c r="AG580" s="31"/>
      <c r="AH580" s="31"/>
      <c r="AI580" s="31"/>
      <c r="AJ580" s="31" t="s">
        <v>1721</v>
      </c>
      <c r="AK580" s="31" t="s">
        <v>1721</v>
      </c>
      <c r="AL580" s="325" t="e">
        <f t="shared" si="33"/>
        <v>#VALUE!</v>
      </c>
      <c r="AM580"/>
    </row>
    <row r="581" spans="1:39" s="27" customFormat="1" ht="21.6" customHeight="1">
      <c r="A581" s="28">
        <v>109</v>
      </c>
      <c r="B581" s="28" t="s">
        <v>1724</v>
      </c>
      <c r="C581" s="28">
        <v>2025052962</v>
      </c>
      <c r="D581" s="28"/>
      <c r="E581" s="28"/>
      <c r="F581" s="28">
        <v>3137</v>
      </c>
      <c r="G581" s="28" t="s">
        <v>161</v>
      </c>
      <c r="H581" s="28" t="s">
        <v>3313</v>
      </c>
      <c r="I581" s="28"/>
      <c r="J581" s="28"/>
      <c r="K581" s="28"/>
      <c r="L581" s="28"/>
      <c r="M581" s="29"/>
      <c r="N581" s="28"/>
      <c r="O581" s="29"/>
      <c r="P581" s="30"/>
      <c r="Q581" s="28" t="s">
        <v>6556</v>
      </c>
      <c r="R581" s="28" t="s">
        <v>52</v>
      </c>
      <c r="S581" s="28" t="s">
        <v>16</v>
      </c>
      <c r="T581" s="28">
        <v>1</v>
      </c>
      <c r="U581" s="28" t="s">
        <v>1719</v>
      </c>
      <c r="V581" s="28" t="s">
        <v>7498</v>
      </c>
      <c r="W581" s="28" t="s">
        <v>7499</v>
      </c>
      <c r="X581" s="135">
        <v>45798.635416666664</v>
      </c>
      <c r="Y581" s="28"/>
      <c r="Z581" s="28">
        <v>0.3</v>
      </c>
      <c r="AA581" s="28"/>
      <c r="AB581" s="28" t="s">
        <v>1720</v>
      </c>
      <c r="AC581" s="30" t="s">
        <v>5109</v>
      </c>
      <c r="AD581" s="28" t="s">
        <v>1721</v>
      </c>
      <c r="AE581" s="28"/>
      <c r="AF581" s="28"/>
      <c r="AG581" s="28"/>
      <c r="AH581" s="28"/>
      <c r="AI581" s="28"/>
      <c r="AJ581" s="28" t="s">
        <v>1721</v>
      </c>
      <c r="AK581" s="28" t="s">
        <v>1721</v>
      </c>
      <c r="AL581" s="325" t="e">
        <f t="shared" si="33"/>
        <v>#VALUE!</v>
      </c>
      <c r="AM581"/>
    </row>
    <row r="582" spans="1:39" s="27" customFormat="1" ht="21.6" customHeight="1">
      <c r="A582" s="31">
        <v>110</v>
      </c>
      <c r="B582" s="31" t="s">
        <v>1724</v>
      </c>
      <c r="C582" s="31">
        <v>2025052974</v>
      </c>
      <c r="D582" s="31"/>
      <c r="E582" s="31"/>
      <c r="F582" s="31">
        <v>4977</v>
      </c>
      <c r="G582" s="31" t="s">
        <v>574</v>
      </c>
      <c r="H582" s="31" t="s">
        <v>1747</v>
      </c>
      <c r="I582" s="31"/>
      <c r="J582" s="31"/>
      <c r="K582" s="31"/>
      <c r="L582" s="31"/>
      <c r="M582" s="32"/>
      <c r="N582" s="31"/>
      <c r="O582" s="32"/>
      <c r="P582" s="33"/>
      <c r="Q582" s="31" t="s">
        <v>4133</v>
      </c>
      <c r="R582" s="31" t="s">
        <v>52</v>
      </c>
      <c r="S582" s="31" t="s">
        <v>4110</v>
      </c>
      <c r="T582" s="31">
        <v>1</v>
      </c>
      <c r="U582" s="31" t="s">
        <v>1719</v>
      </c>
      <c r="V582" s="31" t="s">
        <v>7500</v>
      </c>
      <c r="W582" s="31" t="s">
        <v>7501</v>
      </c>
      <c r="X582" s="211">
        <v>45798.665972222225</v>
      </c>
      <c r="Y582" s="31"/>
      <c r="Z582" s="31">
        <v>0.5</v>
      </c>
      <c r="AA582" s="31"/>
      <c r="AB582" s="31" t="s">
        <v>1720</v>
      </c>
      <c r="AC582" s="33" t="s">
        <v>5109</v>
      </c>
      <c r="AD582" s="31" t="s">
        <v>1721</v>
      </c>
      <c r="AE582" s="31"/>
      <c r="AF582" s="31"/>
      <c r="AG582" s="31"/>
      <c r="AH582" s="31"/>
      <c r="AI582" s="31"/>
      <c r="AJ582" s="31"/>
      <c r="AK582" s="31" t="s">
        <v>1721</v>
      </c>
      <c r="AL582" s="325" t="e">
        <f t="shared" si="33"/>
        <v>#VALUE!</v>
      </c>
      <c r="AM582"/>
    </row>
    <row r="583" spans="1:39" s="27" customFormat="1" ht="21.6" customHeight="1">
      <c r="A583" s="28">
        <v>111</v>
      </c>
      <c r="B583" s="28" t="s">
        <v>1724</v>
      </c>
      <c r="C583" s="28">
        <v>2025052992</v>
      </c>
      <c r="D583" s="28"/>
      <c r="E583" s="28"/>
      <c r="F583" s="28">
        <v>4483</v>
      </c>
      <c r="G583" s="28" t="s">
        <v>407</v>
      </c>
      <c r="H583" s="28" t="s">
        <v>1746</v>
      </c>
      <c r="I583" s="28"/>
      <c r="J583" s="28"/>
      <c r="K583" s="28"/>
      <c r="L583" s="28"/>
      <c r="M583" s="29"/>
      <c r="N583" s="28"/>
      <c r="O583" s="29"/>
      <c r="P583" s="30"/>
      <c r="Q583" s="28" t="s">
        <v>6544</v>
      </c>
      <c r="R583" s="28" t="s">
        <v>52</v>
      </c>
      <c r="S583" s="28" t="s">
        <v>16</v>
      </c>
      <c r="T583" s="28">
        <v>1</v>
      </c>
      <c r="U583" s="28" t="s">
        <v>1719</v>
      </c>
      <c r="V583" s="28" t="s">
        <v>7502</v>
      </c>
      <c r="W583" s="28" t="s">
        <v>7503</v>
      </c>
      <c r="X583" s="135">
        <v>45798.70416666667</v>
      </c>
      <c r="Y583" s="28"/>
      <c r="Z583" s="28">
        <v>0.3</v>
      </c>
      <c r="AA583" s="28"/>
      <c r="AB583" s="28" t="s">
        <v>1720</v>
      </c>
      <c r="AC583" s="30" t="s">
        <v>7504</v>
      </c>
      <c r="AD583" s="28" t="s">
        <v>1721</v>
      </c>
      <c r="AE583" s="28"/>
      <c r="AF583" s="28"/>
      <c r="AG583" s="28"/>
      <c r="AH583" s="28"/>
      <c r="AI583" s="28"/>
      <c r="AJ583" s="28" t="s">
        <v>1721</v>
      </c>
      <c r="AK583" s="28" t="s">
        <v>1721</v>
      </c>
      <c r="AL583" s="325" t="e">
        <f t="shared" si="33"/>
        <v>#VALUE!</v>
      </c>
      <c r="AM583"/>
    </row>
    <row r="584" spans="1:39" s="27" customFormat="1" ht="21.6" customHeight="1">
      <c r="A584" s="31">
        <v>112</v>
      </c>
      <c r="B584" s="31" t="s">
        <v>1724</v>
      </c>
      <c r="C584" s="31">
        <v>2025053058</v>
      </c>
      <c r="D584" s="31"/>
      <c r="E584" s="31"/>
      <c r="F584" s="31">
        <v>4282</v>
      </c>
      <c r="G584" s="31" t="s">
        <v>350</v>
      </c>
      <c r="H584" s="31" t="s">
        <v>1746</v>
      </c>
      <c r="I584" s="31"/>
      <c r="J584" s="31"/>
      <c r="K584" s="31"/>
      <c r="L584" s="31"/>
      <c r="M584" s="32"/>
      <c r="N584" s="31"/>
      <c r="O584" s="32"/>
      <c r="P584" s="33"/>
      <c r="Q584" s="31" t="s">
        <v>5126</v>
      </c>
      <c r="R584" s="31" t="s">
        <v>52</v>
      </c>
      <c r="S584" s="31" t="s">
        <v>16</v>
      </c>
      <c r="T584" s="31">
        <v>1</v>
      </c>
      <c r="U584" s="31" t="s">
        <v>1719</v>
      </c>
      <c r="V584" s="31" t="s">
        <v>7505</v>
      </c>
      <c r="W584" s="31" t="s">
        <v>7506</v>
      </c>
      <c r="X584" s="211">
        <v>45799.493055555555</v>
      </c>
      <c r="Y584" s="31"/>
      <c r="Z584" s="31">
        <v>0.8</v>
      </c>
      <c r="AA584" s="31"/>
      <c r="AB584" s="31" t="s">
        <v>1720</v>
      </c>
      <c r="AC584" s="33" t="s">
        <v>7507</v>
      </c>
      <c r="AD584" s="31"/>
      <c r="AE584" s="31"/>
      <c r="AF584" s="31"/>
      <c r="AG584" s="31"/>
      <c r="AH584" s="31"/>
      <c r="AI584" s="31"/>
      <c r="AJ584" s="31" t="s">
        <v>1721</v>
      </c>
      <c r="AK584" s="31" t="s">
        <v>1721</v>
      </c>
      <c r="AL584" s="325" t="e">
        <f t="shared" si="33"/>
        <v>#VALUE!</v>
      </c>
      <c r="AM584"/>
    </row>
    <row r="585" spans="1:39" s="27" customFormat="1" ht="21.6" customHeight="1">
      <c r="A585" s="28">
        <v>113</v>
      </c>
      <c r="B585" s="28" t="s">
        <v>5033</v>
      </c>
      <c r="C585" s="28">
        <v>2025053124</v>
      </c>
      <c r="D585" s="28" t="s">
        <v>7508</v>
      </c>
      <c r="E585" s="28" t="s">
        <v>5035</v>
      </c>
      <c r="F585" s="28">
        <v>5352</v>
      </c>
      <c r="G585" s="28" t="s">
        <v>5222</v>
      </c>
      <c r="H585" s="28" t="s">
        <v>1747</v>
      </c>
      <c r="I585" s="28" t="s">
        <v>7509</v>
      </c>
      <c r="J585" s="28" t="s">
        <v>5096</v>
      </c>
      <c r="K585" s="28" t="s">
        <v>5039</v>
      </c>
      <c r="L585" s="28" t="s">
        <v>5227</v>
      </c>
      <c r="M585" s="29" t="s">
        <v>5228</v>
      </c>
      <c r="N585" s="28" t="s">
        <v>5540</v>
      </c>
      <c r="O585" s="29" t="s">
        <v>5541</v>
      </c>
      <c r="P585" s="29" t="s">
        <v>7510</v>
      </c>
      <c r="Q585" s="28" t="s">
        <v>7106</v>
      </c>
      <c r="R585" s="28" t="s">
        <v>52</v>
      </c>
      <c r="S585" s="28" t="s">
        <v>4110</v>
      </c>
      <c r="T585" s="28">
        <v>1</v>
      </c>
      <c r="U585" s="28" t="s">
        <v>1719</v>
      </c>
      <c r="V585" s="28" t="s">
        <v>7511</v>
      </c>
      <c r="W585" s="28" t="s">
        <v>7512</v>
      </c>
      <c r="X585" s="135">
        <v>45799.677777777775</v>
      </c>
      <c r="Y585" s="28" t="s">
        <v>7513</v>
      </c>
      <c r="Z585" s="28">
        <v>0.5</v>
      </c>
      <c r="AA585" s="28"/>
      <c r="AB585" s="28" t="s">
        <v>5562</v>
      </c>
      <c r="AC585" s="29" t="s">
        <v>5389</v>
      </c>
      <c r="AD585" s="28"/>
      <c r="AE585" s="28"/>
      <c r="AF585" s="28"/>
      <c r="AG585" s="28"/>
      <c r="AH585" s="28"/>
      <c r="AI585" s="28"/>
      <c r="AJ585" s="28"/>
      <c r="AK585" s="28" t="s">
        <v>1721</v>
      </c>
      <c r="AL585" s="325">
        <f t="shared" si="33"/>
        <v>45799</v>
      </c>
      <c r="AM585"/>
    </row>
    <row r="586" spans="1:39" s="27" customFormat="1" ht="21.6" customHeight="1">
      <c r="A586" s="28">
        <v>115</v>
      </c>
      <c r="B586" s="28" t="s">
        <v>1724</v>
      </c>
      <c r="C586" s="28">
        <v>2025053201</v>
      </c>
      <c r="D586" s="28"/>
      <c r="E586" s="28"/>
      <c r="F586" s="28">
        <v>3890</v>
      </c>
      <c r="G586" s="28" t="s">
        <v>253</v>
      </c>
      <c r="H586" s="28" t="s">
        <v>1747</v>
      </c>
      <c r="I586" s="28"/>
      <c r="J586" s="28"/>
      <c r="K586" s="28"/>
      <c r="L586" s="28"/>
      <c r="M586" s="29"/>
      <c r="N586" s="28"/>
      <c r="O586" s="29"/>
      <c r="P586" s="30"/>
      <c r="Q586" s="28" t="s">
        <v>5284</v>
      </c>
      <c r="R586" s="28" t="s">
        <v>52</v>
      </c>
      <c r="S586" s="28" t="s">
        <v>4110</v>
      </c>
      <c r="T586" s="28">
        <v>1</v>
      </c>
      <c r="U586" s="28" t="s">
        <v>1719</v>
      </c>
      <c r="V586" s="28" t="s">
        <v>7517</v>
      </c>
      <c r="W586" s="28" t="s">
        <v>7518</v>
      </c>
      <c r="X586" s="135">
        <v>45800.494444444441</v>
      </c>
      <c r="Y586" s="28"/>
      <c r="Z586" s="28">
        <v>1.4</v>
      </c>
      <c r="AA586" s="28"/>
      <c r="AB586" s="28" t="s">
        <v>1720</v>
      </c>
      <c r="AC586" s="30" t="s">
        <v>5051</v>
      </c>
      <c r="AD586" s="28" t="s">
        <v>1721</v>
      </c>
      <c r="AE586" s="28"/>
      <c r="AF586" s="28"/>
      <c r="AG586" s="28"/>
      <c r="AH586" s="28"/>
      <c r="AI586" s="28"/>
      <c r="AJ586" s="28" t="s">
        <v>1721</v>
      </c>
      <c r="AK586" s="28" t="s">
        <v>1721</v>
      </c>
      <c r="AL586" s="325" t="e">
        <f t="shared" ref="AL586:AL587" si="34">DATEVALUE(TEXT(I586, "yyyy/mm/dd"))</f>
        <v>#VALUE!</v>
      </c>
      <c r="AM586"/>
    </row>
    <row r="587" spans="1:39" s="27" customFormat="1" ht="21.6" customHeight="1">
      <c r="A587" s="31">
        <v>116</v>
      </c>
      <c r="B587" s="31" t="s">
        <v>1724</v>
      </c>
      <c r="C587" s="31">
        <v>2025053236</v>
      </c>
      <c r="D587" s="31"/>
      <c r="E587" s="31"/>
      <c r="F587" s="31">
        <v>4388</v>
      </c>
      <c r="G587" s="31" t="s">
        <v>382</v>
      </c>
      <c r="H587" s="31" t="s">
        <v>1747</v>
      </c>
      <c r="I587" s="31"/>
      <c r="J587" s="31"/>
      <c r="K587" s="31"/>
      <c r="L587" s="31"/>
      <c r="M587" s="32"/>
      <c r="N587" s="31"/>
      <c r="O587" s="32"/>
      <c r="P587" s="32"/>
      <c r="Q587" s="31" t="s">
        <v>6137</v>
      </c>
      <c r="R587" s="31" t="s">
        <v>52</v>
      </c>
      <c r="S587" s="31" t="s">
        <v>4110</v>
      </c>
      <c r="T587" s="31">
        <v>1</v>
      </c>
      <c r="U587" s="31" t="s">
        <v>1719</v>
      </c>
      <c r="V587" s="31" t="s">
        <v>7519</v>
      </c>
      <c r="W587" s="31" t="s">
        <v>7520</v>
      </c>
      <c r="X587" s="211">
        <v>45800.67083333333</v>
      </c>
      <c r="Y587" s="31"/>
      <c r="Z587" s="31">
        <v>1.1000000000000001</v>
      </c>
      <c r="AA587" s="31"/>
      <c r="AB587" s="31" t="s">
        <v>1720</v>
      </c>
      <c r="AC587" s="32" t="s">
        <v>5051</v>
      </c>
      <c r="AD587" s="31" t="s">
        <v>1721</v>
      </c>
      <c r="AE587" s="31"/>
      <c r="AF587" s="31"/>
      <c r="AG587" s="31"/>
      <c r="AH587" s="31"/>
      <c r="AI587" s="31"/>
      <c r="AJ587" s="31" t="s">
        <v>1721</v>
      </c>
      <c r="AK587" s="31" t="s">
        <v>1721</v>
      </c>
      <c r="AL587" s="325" t="e">
        <f t="shared" si="34"/>
        <v>#VALUE!</v>
      </c>
      <c r="AM587"/>
    </row>
    <row r="588" spans="1:39" s="27" customFormat="1" ht="21.6" customHeight="1">
      <c r="A588" s="28">
        <v>117</v>
      </c>
      <c r="B588" s="28" t="s">
        <v>5033</v>
      </c>
      <c r="C588" s="28">
        <v>2025053253</v>
      </c>
      <c r="D588" s="28" t="s">
        <v>7521</v>
      </c>
      <c r="E588" s="28" t="s">
        <v>5503</v>
      </c>
      <c r="F588" s="28">
        <v>2259</v>
      </c>
      <c r="G588" s="28" t="s">
        <v>1455</v>
      </c>
      <c r="H588" s="28" t="s">
        <v>1747</v>
      </c>
      <c r="I588" s="28" t="s">
        <v>7522</v>
      </c>
      <c r="J588" s="28" t="s">
        <v>5575</v>
      </c>
      <c r="K588" s="28" t="s">
        <v>5067</v>
      </c>
      <c r="L588" s="28" t="s">
        <v>5505</v>
      </c>
      <c r="M588" s="29" t="s">
        <v>5506</v>
      </c>
      <c r="N588" s="28">
        <v>2405</v>
      </c>
      <c r="O588" s="29" t="s">
        <v>5606</v>
      </c>
      <c r="P588" s="30" t="s">
        <v>7523</v>
      </c>
      <c r="Q588" s="28" t="s">
        <v>5131</v>
      </c>
      <c r="R588" s="28" t="s">
        <v>52</v>
      </c>
      <c r="S588" s="28" t="s">
        <v>16</v>
      </c>
      <c r="T588" s="28">
        <v>1</v>
      </c>
      <c r="U588" s="28" t="s">
        <v>1719</v>
      </c>
      <c r="V588" s="28" t="s">
        <v>7524</v>
      </c>
      <c r="W588" s="28" t="s">
        <v>7525</v>
      </c>
      <c r="X588" s="135">
        <v>45801.600694444445</v>
      </c>
      <c r="Y588" s="28" t="s">
        <v>7526</v>
      </c>
      <c r="Z588" s="28">
        <v>1.9</v>
      </c>
      <c r="AA588" s="28"/>
      <c r="AB588" s="28" t="s">
        <v>1720</v>
      </c>
      <c r="AC588" s="30" t="s">
        <v>7527</v>
      </c>
      <c r="AD588" s="28"/>
      <c r="AE588" s="28"/>
      <c r="AF588" s="28"/>
      <c r="AG588" s="28"/>
      <c r="AH588" s="28"/>
      <c r="AI588" s="28"/>
      <c r="AJ588" s="28"/>
      <c r="AK588" s="28" t="s">
        <v>1721</v>
      </c>
      <c r="AL588" s="325">
        <f t="shared" ref="AL588:AL595" si="35">DATEVALUE(TEXT(I588, "yyyy/mm/dd"))</f>
        <v>45801</v>
      </c>
      <c r="AM588"/>
    </row>
    <row r="589" spans="1:39" s="27" customFormat="1" ht="21.6" customHeight="1">
      <c r="A589" s="31">
        <v>118</v>
      </c>
      <c r="B589" s="31" t="s">
        <v>5033</v>
      </c>
      <c r="C589" s="31">
        <v>2025053255</v>
      </c>
      <c r="D589" s="31" t="s">
        <v>7528</v>
      </c>
      <c r="E589" s="31" t="s">
        <v>5035</v>
      </c>
      <c r="F589" s="31">
        <v>5080</v>
      </c>
      <c r="G589" s="31" t="s">
        <v>582</v>
      </c>
      <c r="H589" s="31" t="s">
        <v>3323</v>
      </c>
      <c r="I589" s="31" t="s">
        <v>7529</v>
      </c>
      <c r="J589" s="31" t="s">
        <v>5575</v>
      </c>
      <c r="K589" s="31" t="s">
        <v>5067</v>
      </c>
      <c r="L589" s="31" t="s">
        <v>5261</v>
      </c>
      <c r="M589" s="32" t="s">
        <v>5262</v>
      </c>
      <c r="N589" s="31">
        <v>5804</v>
      </c>
      <c r="O589" s="32" t="s">
        <v>5308</v>
      </c>
      <c r="P589" s="33" t="s">
        <v>7530</v>
      </c>
      <c r="Q589" s="31" t="s">
        <v>5836</v>
      </c>
      <c r="R589" s="31" t="s">
        <v>52</v>
      </c>
      <c r="S589" s="31" t="s">
        <v>4110</v>
      </c>
      <c r="T589" s="31">
        <v>1</v>
      </c>
      <c r="U589" s="31" t="s">
        <v>1719</v>
      </c>
      <c r="V589" s="31" t="s">
        <v>7531</v>
      </c>
      <c r="W589" s="31" t="s">
        <v>7532</v>
      </c>
      <c r="X589" s="211">
        <v>45803.469444444447</v>
      </c>
      <c r="Y589" s="31" t="s">
        <v>7533</v>
      </c>
      <c r="Z589" s="31">
        <v>0.5</v>
      </c>
      <c r="AA589" s="31"/>
      <c r="AB589" s="31" t="s">
        <v>1720</v>
      </c>
      <c r="AC589" s="33" t="s">
        <v>7534</v>
      </c>
      <c r="AD589" s="31"/>
      <c r="AE589" s="31"/>
      <c r="AF589" s="31"/>
      <c r="AG589" s="31"/>
      <c r="AH589" s="31"/>
      <c r="AI589" s="31"/>
      <c r="AJ589" s="31"/>
      <c r="AK589" s="31" t="s">
        <v>1721</v>
      </c>
      <c r="AL589" s="325">
        <f t="shared" si="35"/>
        <v>45801</v>
      </c>
      <c r="AM589"/>
    </row>
    <row r="590" spans="1:39" s="27" customFormat="1" ht="21.6" customHeight="1">
      <c r="A590" s="28">
        <v>119</v>
      </c>
      <c r="B590" s="28" t="s">
        <v>1724</v>
      </c>
      <c r="C590" s="28">
        <v>2025053298</v>
      </c>
      <c r="D590" s="28"/>
      <c r="E590" s="28"/>
      <c r="F590" s="28">
        <v>4341</v>
      </c>
      <c r="G590" s="28" t="s">
        <v>367</v>
      </c>
      <c r="H590" s="28" t="s">
        <v>1748</v>
      </c>
      <c r="I590" s="28"/>
      <c r="J590" s="28"/>
      <c r="K590" s="28"/>
      <c r="L590" s="28"/>
      <c r="M590" s="29"/>
      <c r="N590" s="28"/>
      <c r="O590" s="29"/>
      <c r="P590" s="30"/>
      <c r="Q590" s="28" t="s">
        <v>6742</v>
      </c>
      <c r="R590" s="28" t="s">
        <v>52</v>
      </c>
      <c r="S590" s="28" t="s">
        <v>16</v>
      </c>
      <c r="T590" s="28">
        <v>1</v>
      </c>
      <c r="U590" s="28" t="s">
        <v>1719</v>
      </c>
      <c r="V590" s="28" t="s">
        <v>7535</v>
      </c>
      <c r="W590" s="28" t="s">
        <v>7536</v>
      </c>
      <c r="X590" s="135">
        <v>45803.5</v>
      </c>
      <c r="Y590" s="28"/>
      <c r="Z590" s="28">
        <v>1</v>
      </c>
      <c r="AA590" s="28"/>
      <c r="AB590" s="28" t="s">
        <v>1720</v>
      </c>
      <c r="AC590" s="30" t="s">
        <v>5051</v>
      </c>
      <c r="AD590" s="28" t="s">
        <v>1721</v>
      </c>
      <c r="AE590" s="28"/>
      <c r="AF590" s="28"/>
      <c r="AG590" s="28"/>
      <c r="AH590" s="28"/>
      <c r="AI590" s="28"/>
      <c r="AJ590" s="28" t="s">
        <v>1721</v>
      </c>
      <c r="AK590" s="28" t="s">
        <v>1721</v>
      </c>
      <c r="AL590" s="325" t="e">
        <f t="shared" si="35"/>
        <v>#VALUE!</v>
      </c>
      <c r="AM590"/>
    </row>
    <row r="591" spans="1:39" s="27" customFormat="1" ht="21.6" customHeight="1">
      <c r="A591" s="31">
        <v>120</v>
      </c>
      <c r="B591" s="31" t="s">
        <v>1724</v>
      </c>
      <c r="C591" s="31">
        <v>2025053303</v>
      </c>
      <c r="D591" s="31"/>
      <c r="E591" s="31"/>
      <c r="F591" s="31">
        <v>3751</v>
      </c>
      <c r="G591" s="31" t="s">
        <v>229</v>
      </c>
      <c r="H591" s="31" t="s">
        <v>3321</v>
      </c>
      <c r="I591" s="31"/>
      <c r="J591" s="31"/>
      <c r="K591" s="31"/>
      <c r="L591" s="31"/>
      <c r="M591" s="32"/>
      <c r="N591" s="31"/>
      <c r="O591" s="32"/>
      <c r="P591" s="33"/>
      <c r="Q591" s="31" t="s">
        <v>6459</v>
      </c>
      <c r="R591" s="31" t="s">
        <v>52</v>
      </c>
      <c r="S591" s="31" t="s">
        <v>4110</v>
      </c>
      <c r="T591" s="31">
        <v>1</v>
      </c>
      <c r="U591" s="31" t="s">
        <v>1719</v>
      </c>
      <c r="V591" s="31" t="s">
        <v>7537</v>
      </c>
      <c r="W591" s="31" t="s">
        <v>7538</v>
      </c>
      <c r="X591" s="211">
        <v>45803.519444444442</v>
      </c>
      <c r="Y591" s="31"/>
      <c r="Z591" s="31">
        <v>1.1000000000000001</v>
      </c>
      <c r="AA591" s="31"/>
      <c r="AB591" s="31" t="s">
        <v>1720</v>
      </c>
      <c r="AC591" s="33" t="s">
        <v>5051</v>
      </c>
      <c r="AD591" s="31" t="s">
        <v>1721</v>
      </c>
      <c r="AE591" s="31"/>
      <c r="AF591" s="31"/>
      <c r="AG591" s="31"/>
      <c r="AH591" s="31"/>
      <c r="AI591" s="31"/>
      <c r="AJ591" s="31" t="s">
        <v>1721</v>
      </c>
      <c r="AK591" s="31" t="s">
        <v>1721</v>
      </c>
      <c r="AL591" s="325" t="e">
        <f t="shared" si="35"/>
        <v>#VALUE!</v>
      </c>
      <c r="AM591"/>
    </row>
    <row r="592" spans="1:39" s="27" customFormat="1" ht="21.6" customHeight="1">
      <c r="A592" s="28">
        <v>121</v>
      </c>
      <c r="B592" s="28" t="s">
        <v>1724</v>
      </c>
      <c r="C592" s="28">
        <v>2025053312</v>
      </c>
      <c r="D592" s="28"/>
      <c r="E592" s="28"/>
      <c r="F592" s="28">
        <v>4093</v>
      </c>
      <c r="G592" s="28" t="s">
        <v>1472</v>
      </c>
      <c r="H592" s="28" t="s">
        <v>3321</v>
      </c>
      <c r="I592" s="28"/>
      <c r="J592" s="28"/>
      <c r="K592" s="28"/>
      <c r="L592" s="28"/>
      <c r="M592" s="29"/>
      <c r="N592" s="28"/>
      <c r="O592" s="29"/>
      <c r="P592" s="30"/>
      <c r="Q592" s="28" t="s">
        <v>6308</v>
      </c>
      <c r="R592" s="28" t="s">
        <v>52</v>
      </c>
      <c r="S592" s="28" t="s">
        <v>4110</v>
      </c>
      <c r="T592" s="28">
        <v>1</v>
      </c>
      <c r="U592" s="28" t="s">
        <v>1719</v>
      </c>
      <c r="V592" s="28" t="s">
        <v>7539</v>
      </c>
      <c r="W592" s="28" t="s">
        <v>7540</v>
      </c>
      <c r="X592" s="135">
        <v>45803.555555555555</v>
      </c>
      <c r="Y592" s="28"/>
      <c r="Z592" s="28">
        <v>0.6</v>
      </c>
      <c r="AA592" s="28"/>
      <c r="AB592" s="28" t="s">
        <v>1720</v>
      </c>
      <c r="AC592" s="30" t="s">
        <v>5051</v>
      </c>
      <c r="AD592" s="28" t="s">
        <v>1721</v>
      </c>
      <c r="AE592" s="28"/>
      <c r="AF592" s="28"/>
      <c r="AG592" s="28"/>
      <c r="AH592" s="28"/>
      <c r="AI592" s="28"/>
      <c r="AJ592" s="28"/>
      <c r="AK592" s="28" t="s">
        <v>1721</v>
      </c>
      <c r="AL592" s="325" t="e">
        <f t="shared" si="35"/>
        <v>#VALUE!</v>
      </c>
      <c r="AM592"/>
    </row>
    <row r="593" spans="1:39" s="27" customFormat="1" ht="21.6" customHeight="1">
      <c r="A593" s="31">
        <v>122</v>
      </c>
      <c r="B593" s="31" t="s">
        <v>1724</v>
      </c>
      <c r="C593" s="31">
        <v>2025053314</v>
      </c>
      <c r="D593" s="31"/>
      <c r="E593" s="31"/>
      <c r="F593" s="31">
        <v>4228</v>
      </c>
      <c r="G593" s="31" t="s">
        <v>1554</v>
      </c>
      <c r="H593" s="31" t="s">
        <v>1748</v>
      </c>
      <c r="I593" s="31"/>
      <c r="J593" s="31"/>
      <c r="K593" s="31"/>
      <c r="L593" s="31"/>
      <c r="M593" s="32"/>
      <c r="N593" s="31"/>
      <c r="O593" s="32"/>
      <c r="P593" s="33"/>
      <c r="Q593" s="31" t="s">
        <v>6816</v>
      </c>
      <c r="R593" s="31" t="s">
        <v>52</v>
      </c>
      <c r="S593" s="31" t="s">
        <v>16</v>
      </c>
      <c r="T593" s="31">
        <v>1</v>
      </c>
      <c r="U593" s="31" t="s">
        <v>1719</v>
      </c>
      <c r="V593" s="31" t="s">
        <v>7541</v>
      </c>
      <c r="W593" s="31" t="s">
        <v>7542</v>
      </c>
      <c r="X593" s="211">
        <v>45803.5625</v>
      </c>
      <c r="Y593" s="31"/>
      <c r="Z593" s="31">
        <v>1</v>
      </c>
      <c r="AA593" s="31"/>
      <c r="AB593" s="31" t="s">
        <v>1720</v>
      </c>
      <c r="AC593" s="33" t="s">
        <v>5051</v>
      </c>
      <c r="AD593" s="31" t="s">
        <v>1721</v>
      </c>
      <c r="AE593" s="31"/>
      <c r="AF593" s="31"/>
      <c r="AG593" s="31"/>
      <c r="AH593" s="31"/>
      <c r="AI593" s="31"/>
      <c r="AJ593" s="31" t="s">
        <v>1721</v>
      </c>
      <c r="AK593" s="31" t="s">
        <v>1721</v>
      </c>
      <c r="AL593" s="325" t="e">
        <f t="shared" si="35"/>
        <v>#VALUE!</v>
      </c>
      <c r="AM593"/>
    </row>
    <row r="594" spans="1:39" s="27" customFormat="1" ht="21.6" customHeight="1">
      <c r="A594" s="28">
        <v>123</v>
      </c>
      <c r="B594" s="28" t="s">
        <v>1724</v>
      </c>
      <c r="C594" s="28">
        <v>2025053327</v>
      </c>
      <c r="D594" s="28"/>
      <c r="E594" s="28"/>
      <c r="F594" s="28">
        <v>4153</v>
      </c>
      <c r="G594" s="28" t="s">
        <v>314</v>
      </c>
      <c r="H594" s="28" t="s">
        <v>3321</v>
      </c>
      <c r="I594" s="28"/>
      <c r="J594" s="28"/>
      <c r="K594" s="28"/>
      <c r="L594" s="28"/>
      <c r="M594" s="29"/>
      <c r="N594" s="28"/>
      <c r="O594" s="29"/>
      <c r="P594" s="30"/>
      <c r="Q594" s="28" t="s">
        <v>6609</v>
      </c>
      <c r="R594" s="28" t="s">
        <v>52</v>
      </c>
      <c r="S594" s="28" t="s">
        <v>4110</v>
      </c>
      <c r="T594" s="28">
        <v>1</v>
      </c>
      <c r="U594" s="28" t="s">
        <v>1719</v>
      </c>
      <c r="V594" s="28" t="s">
        <v>7543</v>
      </c>
      <c r="W594" s="28" t="s">
        <v>7544</v>
      </c>
      <c r="X594" s="135">
        <v>45803.603472222225</v>
      </c>
      <c r="Y594" s="28"/>
      <c r="Z594" s="28">
        <v>0.8</v>
      </c>
      <c r="AA594" s="28"/>
      <c r="AB594" s="28" t="s">
        <v>1720</v>
      </c>
      <c r="AC594" s="30" t="s">
        <v>5051</v>
      </c>
      <c r="AD594" s="28" t="s">
        <v>1721</v>
      </c>
      <c r="AE594" s="28"/>
      <c r="AF594" s="28"/>
      <c r="AG594" s="28"/>
      <c r="AH594" s="28"/>
      <c r="AI594" s="28"/>
      <c r="AJ594" s="28" t="s">
        <v>1721</v>
      </c>
      <c r="AK594" s="28" t="s">
        <v>1721</v>
      </c>
      <c r="AL594" s="325" t="e">
        <f t="shared" si="35"/>
        <v>#VALUE!</v>
      </c>
      <c r="AM594"/>
    </row>
    <row r="595" spans="1:39" s="27" customFormat="1" ht="21.6" customHeight="1">
      <c r="A595" s="31">
        <v>124</v>
      </c>
      <c r="B595" s="31" t="s">
        <v>1724</v>
      </c>
      <c r="C595" s="31">
        <v>2025053351</v>
      </c>
      <c r="D595" s="31"/>
      <c r="E595" s="31"/>
      <c r="F595" s="31">
        <v>4529</v>
      </c>
      <c r="G595" s="31" t="s">
        <v>428</v>
      </c>
      <c r="H595" s="31" t="s">
        <v>3321</v>
      </c>
      <c r="I595" s="31"/>
      <c r="J595" s="31"/>
      <c r="K595" s="31"/>
      <c r="L595" s="31"/>
      <c r="M595" s="32"/>
      <c r="N595" s="31"/>
      <c r="O595" s="32"/>
      <c r="P595" s="32"/>
      <c r="Q595" s="31" t="s">
        <v>5861</v>
      </c>
      <c r="R595" s="31" t="s">
        <v>52</v>
      </c>
      <c r="S595" s="31" t="s">
        <v>4110</v>
      </c>
      <c r="T595" s="31">
        <v>1</v>
      </c>
      <c r="U595" s="31" t="s">
        <v>1719</v>
      </c>
      <c r="V595" s="31" t="s">
        <v>7545</v>
      </c>
      <c r="W595" s="31" t="s">
        <v>7546</v>
      </c>
      <c r="X595" s="211">
        <v>45803.660416666666</v>
      </c>
      <c r="Y595" s="31"/>
      <c r="Z595" s="31">
        <v>0.9</v>
      </c>
      <c r="AA595" s="31"/>
      <c r="AB595" s="31" t="s">
        <v>1720</v>
      </c>
      <c r="AC595" s="32" t="s">
        <v>5051</v>
      </c>
      <c r="AD595" s="31" t="s">
        <v>1721</v>
      </c>
      <c r="AE595" s="31"/>
      <c r="AF595" s="31"/>
      <c r="AG595" s="31"/>
      <c r="AH595" s="31"/>
      <c r="AI595" s="31"/>
      <c r="AJ595" s="31" t="s">
        <v>1721</v>
      </c>
      <c r="AK595" s="31" t="s">
        <v>1721</v>
      </c>
      <c r="AL595" s="325" t="e">
        <f t="shared" si="35"/>
        <v>#VALUE!</v>
      </c>
      <c r="AM595"/>
    </row>
  </sheetData>
  <autoFilter ref="A1:AM3" xr:uid="{14E30BF7-AA7D-495E-A6B4-204819EF3B74}"/>
  <phoneticPr fontId="30" type="noConversion"/>
  <conditionalFormatting sqref="C1:C428">
    <cfRule type="duplicateValues" dxfId="371"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G16" sqref="G16"/>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5"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86" t="s">
        <v>5161</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5155</v>
      </c>
      <c r="R4" s="28" t="s">
        <v>52</v>
      </c>
      <c r="S4" s="28" t="s">
        <v>4110</v>
      </c>
      <c r="T4" s="28">
        <v>1</v>
      </c>
      <c r="U4" s="28" t="s">
        <v>1719</v>
      </c>
      <c r="V4" s="28" t="s">
        <v>5156</v>
      </c>
      <c r="W4" s="28" t="s">
        <v>5157</v>
      </c>
      <c r="X4" s="135">
        <v>45756.634027777778</v>
      </c>
      <c r="Y4" s="28"/>
      <c r="Z4" s="28">
        <v>0.3</v>
      </c>
      <c r="AA4" s="28"/>
      <c r="AB4" s="28" t="s">
        <v>1720</v>
      </c>
      <c r="AC4" s="30"/>
      <c r="AD4" s="284" t="s">
        <v>5161</v>
      </c>
      <c r="AE4" s="28"/>
      <c r="AF4" s="28"/>
      <c r="AG4" s="28"/>
      <c r="AH4" s="28"/>
      <c r="AI4" s="28"/>
      <c r="AJ4" s="28"/>
      <c r="AK4" s="28" t="s">
        <v>1721</v>
      </c>
      <c r="AL4" s="112" t="e">
        <f t="shared" si="0"/>
        <v>#VALUE!</v>
      </c>
      <c r="AM4" s="285" t="s">
        <v>5160</v>
      </c>
      <c r="AN4" s="375">
        <v>2025041163</v>
      </c>
      <c r="AO4" s="376"/>
      <c r="AP4" s="377"/>
    </row>
    <row r="5" spans="1:42" s="27" customFormat="1" ht="21.6" customHeight="1">
      <c r="A5" s="28">
        <v>49</v>
      </c>
      <c r="B5" s="28" t="s">
        <v>5033</v>
      </c>
      <c r="C5" s="28">
        <v>2025051401</v>
      </c>
      <c r="D5" s="28" t="s">
        <v>7296</v>
      </c>
      <c r="E5" s="28" t="s">
        <v>5035</v>
      </c>
      <c r="F5" s="28">
        <v>5316</v>
      </c>
      <c r="G5" s="28" t="s">
        <v>5144</v>
      </c>
      <c r="H5" s="28" t="s">
        <v>1747</v>
      </c>
      <c r="I5" s="28" t="s">
        <v>7297</v>
      </c>
      <c r="J5" s="28" t="s">
        <v>5299</v>
      </c>
      <c r="K5" s="28" t="s">
        <v>5039</v>
      </c>
      <c r="L5" s="28" t="s">
        <v>6044</v>
      </c>
      <c r="M5" s="29" t="s">
        <v>6045</v>
      </c>
      <c r="N5" s="28">
        <v>3404</v>
      </c>
      <c r="O5" s="29" t="s">
        <v>6046</v>
      </c>
      <c r="P5" s="30" t="s">
        <v>7298</v>
      </c>
      <c r="Q5" s="28" t="s">
        <v>5147</v>
      </c>
      <c r="R5" s="28" t="s">
        <v>52</v>
      </c>
      <c r="S5" s="28" t="s">
        <v>4110</v>
      </c>
      <c r="T5" s="28">
        <v>1</v>
      </c>
      <c r="U5" s="28" t="s">
        <v>1719</v>
      </c>
      <c r="V5" s="28" t="s">
        <v>7299</v>
      </c>
      <c r="W5" s="28" t="s">
        <v>7300</v>
      </c>
      <c r="X5" s="135">
        <v>45786.517361111109</v>
      </c>
      <c r="Y5" s="28" t="s">
        <v>7301</v>
      </c>
      <c r="Z5" s="28">
        <v>0.5</v>
      </c>
      <c r="AA5" s="28"/>
      <c r="AB5" s="28" t="s">
        <v>1720</v>
      </c>
      <c r="AC5" s="30" t="s">
        <v>7302</v>
      </c>
      <c r="AD5" s="110" t="s">
        <v>7343</v>
      </c>
      <c r="AE5" s="28"/>
      <c r="AF5" s="28"/>
      <c r="AG5" s="28"/>
      <c r="AH5" s="28"/>
      <c r="AI5" s="28"/>
      <c r="AJ5" s="28"/>
      <c r="AK5" s="28" t="s">
        <v>1721</v>
      </c>
      <c r="AL5" s="325">
        <f t="shared" si="0"/>
        <v>45786</v>
      </c>
      <c r="AM5"/>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ref="AL6" si="1">DATEVALUE(TEXT(I6, "yyyy/mm/dd"))</f>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2</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I2" sqref="I2"/>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292" customFormat="1" ht="20.25" customHeight="1">
      <c r="A1" s="326" t="s">
        <v>7211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39</v>
      </c>
      <c r="V1" s="292">
        <v>39</v>
      </c>
      <c r="W1" s="292">
        <v>39</v>
      </c>
    </row>
    <row r="2" spans="1:23" s="292" customFormat="1" ht="21" customHeight="1">
      <c r="A2" s="297">
        <f>COUNTA(I7:I150)</f>
        <v>117</v>
      </c>
      <c r="B2" s="296">
        <v>4</v>
      </c>
      <c r="C2" s="297">
        <f>U1</f>
        <v>39</v>
      </c>
      <c r="D2" s="297">
        <f>E2</f>
        <v>45</v>
      </c>
      <c r="E2" s="296">
        <f>COUNTIF(C$7:C$150,"v")</f>
        <v>45</v>
      </c>
      <c r="F2" s="296" t="str">
        <f>IF((C2-E2)&lt;0,"0",(C2-E2))</f>
        <v>0</v>
      </c>
      <c r="G2" s="298" t="str">
        <f>ROUND(IF((E2/C2)&gt;1,1,(E2/C2))*100,0)&amp;"%"</f>
        <v>100%</v>
      </c>
      <c r="H2" s="297">
        <f>COUNTIFS(門市主檔!E:E,A1,門市主檔!Z:Z,"STAR")</f>
        <v>93</v>
      </c>
      <c r="I2" s="297">
        <f>COUNTIF($G$7:$G$150,"已更換")+COUNTIF($G$7:$G$150,"完工已補裝")</f>
        <v>49</v>
      </c>
      <c r="J2" s="297">
        <f>COUNTIF($G$7:$G$150,"未更換")+COUNTIF($G$7:$G$150,"已PM未更換")</f>
        <v>44</v>
      </c>
      <c r="K2" s="195"/>
      <c r="L2" s="195"/>
      <c r="M2" s="195"/>
      <c r="N2" s="195"/>
      <c r="O2" s="195"/>
      <c r="P2" s="196"/>
      <c r="Q2" s="196"/>
      <c r="R2" s="291">
        <v>45778</v>
      </c>
      <c r="S2" s="216"/>
      <c r="U2" s="291">
        <f ca="1">TODAY()</f>
        <v>45803</v>
      </c>
    </row>
    <row r="3" spans="1:23" s="292" customFormat="1" ht="21" customHeight="1">
      <c r="A3" s="293"/>
      <c r="B3" s="296">
        <v>5</v>
      </c>
      <c r="C3" s="297">
        <f>V1</f>
        <v>39</v>
      </c>
      <c r="D3" s="297">
        <f>A2-E2-D4</f>
        <v>44</v>
      </c>
      <c r="E3" s="296">
        <f>COUNTIF(D$7:D$150,"v")</f>
        <v>44</v>
      </c>
      <c r="F3" s="296">
        <f>IF((D3-E3)&lt;0,"0",(D3-E3))</f>
        <v>0</v>
      </c>
      <c r="G3" s="298" t="str">
        <f>ROUND(IF((E3/C3)&gt;1,1,(E3/C3))*100,0)&amp;"%"</f>
        <v>100%</v>
      </c>
      <c r="H3" s="299"/>
      <c r="I3" s="300"/>
      <c r="J3" s="300"/>
      <c r="K3" s="195"/>
      <c r="L3" s="195"/>
      <c r="M3" s="195"/>
      <c r="N3" s="195"/>
      <c r="O3" s="195"/>
      <c r="P3" s="196"/>
      <c r="Q3" s="196"/>
      <c r="R3" s="291">
        <v>45809</v>
      </c>
      <c r="S3" s="291"/>
    </row>
    <row r="4" spans="1:23" s="292" customFormat="1" ht="21" customHeight="1">
      <c r="A4" s="198"/>
      <c r="B4" s="296">
        <v>6</v>
      </c>
      <c r="C4" s="297">
        <f>W1</f>
        <v>39</v>
      </c>
      <c r="D4" s="297">
        <f>A2-E2-E3</f>
        <v>28</v>
      </c>
      <c r="E4" s="296">
        <f>COUNTIF(E$7:E$150,"v")</f>
        <v>0</v>
      </c>
      <c r="F4" s="296">
        <f>IF((D4-E4)&lt;0,"0",(D4-E4))</f>
        <v>28</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117</v>
      </c>
      <c r="D5" s="329">
        <f>SUM(D2:D4)</f>
        <v>117</v>
      </c>
      <c r="E5" s="329">
        <f t="shared" ref="E5:F5" si="0">SUM(E2:E4)</f>
        <v>89</v>
      </c>
      <c r="F5" s="329">
        <f t="shared" si="0"/>
        <v>28</v>
      </c>
      <c r="G5" s="330" t="str">
        <f>ROUND(IF((E5/C5)&gt;1,1,(E5/C5))*100,0)&amp;"%"</f>
        <v>76%</v>
      </c>
      <c r="H5" s="331"/>
      <c r="I5" s="331"/>
      <c r="J5" s="332"/>
      <c r="K5" s="195"/>
      <c r="L5" s="195"/>
      <c r="M5" s="195"/>
      <c r="N5" s="195"/>
      <c r="O5" s="195"/>
      <c r="P5" s="196"/>
      <c r="Q5" s="196"/>
      <c r="R5" s="294" t="s">
        <v>7516</v>
      </c>
      <c r="S5" s="295" t="str" cm="1">
        <f t="array" ref="S5">IFERROR(HYPERLINK("#" &amp; ADDRESS(MIN(IF(ISNUMBER(SEARCH(R5, A6:J193)), ROW(A6:J193), 10000000000)), MIN(IF(ISNUMBER(SEARCH(R5, A6:J193)), COLUMN(A6:J193), 10000000000))), "搜索"), "未找到")</f>
        <v>搜索</v>
      </c>
    </row>
    <row r="6" spans="1:23" ht="25.5" customHeight="1">
      <c r="A6" s="199" t="s">
        <v>0</v>
      </c>
      <c r="B6" s="199" t="s">
        <v>1</v>
      </c>
      <c r="C6" s="199" t="s">
        <v>5030</v>
      </c>
      <c r="D6" s="199" t="s">
        <v>5031</v>
      </c>
      <c r="E6" s="199" t="s">
        <v>5032</v>
      </c>
      <c r="F6" s="199" t="s">
        <v>50</v>
      </c>
      <c r="G6" s="199" t="s">
        <v>4427</v>
      </c>
      <c r="H6" s="199" t="s">
        <v>4420</v>
      </c>
      <c r="I6" s="199" t="s">
        <v>4089</v>
      </c>
      <c r="J6" s="199" t="s">
        <v>4118</v>
      </c>
      <c r="K6" s="200"/>
      <c r="L6" s="200"/>
      <c r="M6" s="200"/>
      <c r="N6" s="200"/>
      <c r="O6" s="200"/>
      <c r="P6" s="196"/>
      <c r="Q6" s="196"/>
    </row>
    <row r="7" spans="1:23" ht="19.5" customHeight="1">
      <c r="A7" s="201" t="s">
        <v>21</v>
      </c>
      <c r="B7" s="201" t="str">
        <f>VLOOKUP(A7,門市主檔!A:B,2,FALSE)</f>
        <v>北縣溪尾二店</v>
      </c>
      <c r="C7" s="279" t="str">
        <f>IF(COUNTIFS(IM!$F:$F,A7,IM!$AD:$AD,"O",IM!$X:$X,"&gt;="&amp;$R$1, IM!$X:$X,"&lt;"&amp;$R$2)&gt;0,"V","")</f>
        <v/>
      </c>
      <c r="D7" s="279" t="str">
        <f>IF(AND(C7&lt;&gt;"V", COUNTIFS(IM!$F:$F,A7, IM!$AD:$AD, "O", IM!$X:$X, "&gt;="&amp;$R$2, IM!$X:$X, "&lt;"&amp;$R$3)&gt;0), "V", "")</f>
        <v/>
      </c>
      <c r="E7" s="279" t="str">
        <f>IF(AND(C7&lt;&gt;"V",D7&lt;&gt;"V", COUNTIFS(IM!$F:$F, A7, IM!$AD:$AD, "O", IM!$X:$X, "&gt;="&amp;$R$3, IM!$X:$X, "&lt;"&amp;$R$4)&gt;0), "V", "")</f>
        <v/>
      </c>
      <c r="F7" s="201" t="str">
        <f t="shared" ref="F7:F38" si="1">IF(COUNTBLANK(C7:E7)=3,"未保養","")</f>
        <v>未保養</v>
      </c>
      <c r="G7" s="201" t="str">
        <f>IF(VLOOKUP(A7,門市主檔!A:O,15,FALSE)="完工已補裝", "完工已補裝",
IF(AND(VLOOKUP(A7,門市主檔!A:Z,26,FALSE)="STAR", VLOOKUP(A7,門市主檔!A:R,18,FALSE)=""),
    IF(OR(C7="V", D7="V", E7="V"), "已PM未更換", "未更換"),
    IF(VLOOKUP(A7,門市主檔!A:Z,26,FALSE)&lt;&gt;"STAR", "無專案", "已更換")
))</f>
        <v>未更換</v>
      </c>
      <c r="H7" s="263">
        <f>VLOOKUP(A7,門市主檔!A:V,22,FALSE)</f>
        <v>2</v>
      </c>
      <c r="I7" s="201" t="str">
        <f>VLOOKUP(A7,'0919門市清單主檔'!B:V,21,FALSE)</f>
        <v>三重區</v>
      </c>
      <c r="J7" s="209">
        <v>45708.584722222222</v>
      </c>
      <c r="K7" s="202"/>
      <c r="L7" s="202"/>
      <c r="M7" s="202"/>
      <c r="N7" s="202"/>
      <c r="O7" s="202"/>
      <c r="P7" s="196" t="s">
        <v>51</v>
      </c>
      <c r="Q7" s="206" t="s">
        <v>4109</v>
      </c>
    </row>
    <row r="8" spans="1:23" ht="19.5" customHeight="1">
      <c r="A8" s="201">
        <v>3796</v>
      </c>
      <c r="B8" s="201" t="str">
        <f>VLOOKUP(A8,門市主檔!A:B,2,FALSE)</f>
        <v>三重進安店</v>
      </c>
      <c r="C8" s="279" t="str">
        <f>IF(COUNTIFS(IM!$F:$F,A8,IM!$AD:$AD,"O",IM!$X:$X,"&gt;="&amp;$R$1, IM!$X:$X,"&lt;"&amp;$R$2)&gt;0,"V","")</f>
        <v/>
      </c>
      <c r="D8" s="279" t="str">
        <f>IF(AND(C8&lt;&gt;"V", COUNTIFS(IM!$F:$F,A8, IM!$AD:$AD, "O", IM!$X:$X, "&gt;="&amp;$R$2, IM!$X:$X, "&lt;"&amp;$R$3)&gt;0), "V", "")</f>
        <v/>
      </c>
      <c r="E8" s="279" t="str">
        <f>IF(AND(C8&lt;&gt;"V",D8&lt;&gt;"V", COUNTIFS(IM!$F:$F, A8, IM!$AD:$AD, "O", IM!$X:$X, "&gt;="&amp;$R$3, IM!$X:$X, "&lt;"&amp;$R$4)&gt;0), "V", "")</f>
        <v/>
      </c>
      <c r="F8" s="201" t="str">
        <f t="shared" si="1"/>
        <v>未保養</v>
      </c>
      <c r="G8" s="201" t="str">
        <f>IF(VLOOKUP(A8,門市主檔!A:O,15,FALSE)="完工已補裝", "完工已補裝",
IF(AND(VLOOKUP(A8,門市主檔!A:Z,26,FALSE)="STAR", VLOOKUP(A8,門市主檔!A:R,18,FALSE)=""),
    IF(OR(C8="V", D8="V", E8="V"), "已PM未更換", "未更換"),
    IF(VLOOKUP(A8,門市主檔!A:Z,26,FALSE)&lt;&gt;"STAR", "無專案", "已更換")
))</f>
        <v>未更換</v>
      </c>
      <c r="H8" s="263">
        <f>VLOOKUP(A8,門市主檔!A:V,22,FALSE)</f>
        <v>2</v>
      </c>
      <c r="I8" s="201" t="str">
        <f>VLOOKUP(A8,'0919門市清單主檔'!B:V,21,FALSE)</f>
        <v>三重區</v>
      </c>
      <c r="J8" s="209">
        <v>45719.634722222225</v>
      </c>
      <c r="K8" s="202"/>
      <c r="L8" s="202"/>
      <c r="M8" s="202"/>
      <c r="N8" s="202"/>
      <c r="O8" s="202"/>
      <c r="P8" s="196" t="s">
        <v>51</v>
      </c>
      <c r="Q8" s="206" t="s">
        <v>4109</v>
      </c>
    </row>
    <row r="9" spans="1:23" ht="19.5" customHeight="1">
      <c r="A9" s="201">
        <v>3601</v>
      </c>
      <c r="B9" s="201" t="str">
        <f>VLOOKUP(A9,門市主檔!A:B,2,FALSE)</f>
        <v>北縣重富店</v>
      </c>
      <c r="C9" s="279" t="str">
        <f>IF(COUNTIFS(IM!$F:$F,A9,IM!$AD:$AD,"O",IM!$X:$X,"&gt;="&amp;$R$1, IM!$X:$X,"&lt;"&amp;$R$2)&gt;0,"V","")</f>
        <v/>
      </c>
      <c r="D9" s="279" t="str">
        <f>IF(AND(C9&lt;&gt;"V", COUNTIFS(IM!$F:$F,A9, IM!$AD:$AD, "O", IM!$X:$X, "&gt;="&amp;$R$2, IM!$X:$X, "&lt;"&amp;$R$3)&gt;0), "V", "")</f>
        <v/>
      </c>
      <c r="E9" s="279" t="str">
        <f>IF(AND(C9&lt;&gt;"V",D9&lt;&gt;"V", COUNTIFS(IM!$F:$F, A9, IM!$AD:$AD, "O", IM!$X:$X, "&gt;="&amp;$R$3, IM!$X:$X, "&lt;"&amp;$R$4)&gt;0), "V", "")</f>
        <v/>
      </c>
      <c r="F9" s="201" t="str">
        <f t="shared" si="1"/>
        <v>未保養</v>
      </c>
      <c r="G9" s="201" t="str">
        <f>IF(VLOOKUP(A9,門市主檔!A:O,15,FALSE)="完工已補裝", "完工已補裝",
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三重區</v>
      </c>
      <c r="J9" s="209">
        <v>45719.445833333331</v>
      </c>
      <c r="K9" s="202"/>
      <c r="L9" s="202"/>
      <c r="M9" s="202"/>
      <c r="N9" s="202"/>
      <c r="O9" s="202"/>
      <c r="P9" s="196"/>
      <c r="Q9" s="206" t="s">
        <v>4109</v>
      </c>
    </row>
    <row r="10" spans="1:23" ht="19.5" customHeight="1">
      <c r="A10" s="201">
        <v>3811</v>
      </c>
      <c r="B10" s="201" t="str">
        <f>VLOOKUP(A10,門市主檔!A:B,2,FALSE)</f>
        <v>三重碧華公園</v>
      </c>
      <c r="C10" s="279" t="str">
        <f>IF(COUNTIFS(IM!$F:$F,A10,IM!$AD:$AD,"O",IM!$X:$X,"&gt;="&amp;$R$1, IM!$X:$X,"&lt;"&amp;$R$2)&gt;0,"V","")</f>
        <v/>
      </c>
      <c r="D10" s="279" t="str">
        <f>IF(AND(C10&lt;&gt;"V", COUNTIFS(IM!$F:$F,A10, IM!$AD:$AD, "O", IM!$X:$X, "&gt;="&amp;$R$2, IM!$X:$X, "&lt;"&amp;$R$3)&gt;0), "V", "")</f>
        <v/>
      </c>
      <c r="E10" s="279" t="str">
        <f>IF(AND(C10&lt;&gt;"V",D10&lt;&gt;"V", COUNTIFS(IM!$F:$F, A10, IM!$AD:$AD, "O", IM!$X:$X, "&gt;="&amp;$R$3, IM!$X:$X, "&lt;"&amp;$R$4)&gt;0), "V", "")</f>
        <v/>
      </c>
      <c r="F10" s="201" t="str">
        <f t="shared" si="1"/>
        <v>未保養</v>
      </c>
      <c r="G10" s="201" t="str">
        <f>IF(VLOOKUP(A10,門市主檔!A:O,15,FALSE)="完工已補裝", "完工已補裝",
IF(AND(VLOOKUP(A10,門市主檔!A:Z,26,FALSE)="STAR", VLOOKUP(A10,門市主檔!A:R,18,FALSE)=""),
    IF(OR(C10="V", D10="V", E10="V"), "已PM未更換", "未更換"),
    IF(VLOOKUP(A10,門市主檔!A:Z,26,FALSE)&lt;&gt;"STAR", "無專案", "已更換")
))</f>
        <v>未更換</v>
      </c>
      <c r="H10" s="263">
        <f>VLOOKUP(A10,門市主檔!A:V,22,FALSE)</f>
        <v>2</v>
      </c>
      <c r="I10" s="201" t="str">
        <f>VLOOKUP(A10,'0919門市清單主檔'!B:V,21,FALSE)</f>
        <v>三重區</v>
      </c>
      <c r="J10" s="209">
        <v>45720.579861111109</v>
      </c>
      <c r="K10" s="202"/>
      <c r="L10" s="202"/>
      <c r="M10" s="202"/>
      <c r="N10" s="202"/>
      <c r="O10" s="202"/>
      <c r="P10" s="196"/>
      <c r="Q10" s="206" t="s">
        <v>4109</v>
      </c>
    </row>
    <row r="11" spans="1:23" ht="19.5" customHeight="1">
      <c r="A11" s="201">
        <v>2222</v>
      </c>
      <c r="B11" s="201" t="str">
        <f>VLOOKUP(A11,門市主檔!A:B,2,FALSE)</f>
        <v>三重義天店</v>
      </c>
      <c r="C11" s="279" t="str">
        <f>IF(COUNTIFS(IM!$F:$F,A11,IM!$AD:$AD,"O",IM!$X:$X,"&gt;="&amp;$R$1, IM!$X:$X,"&lt;"&amp;$R$2)&gt;0,"V","")</f>
        <v/>
      </c>
      <c r="D11" s="279" t="str">
        <f>IF(AND(C11&lt;&gt;"V", COUNTIFS(IM!$F:$F,A11, IM!$AD:$AD, "O", IM!$X:$X, "&gt;="&amp;$R$2, IM!$X:$X, "&lt;"&amp;$R$3)&gt;0), "V", "")</f>
        <v/>
      </c>
      <c r="E11" s="279" t="str">
        <f>IF(AND(C11&lt;&gt;"V",D11&lt;&gt;"V", COUNTIFS(IM!$F:$F, A11, IM!$AD:$AD, "O", IM!$X:$X, "&gt;="&amp;$R$3, IM!$X:$X, "&lt;"&amp;$R$4)&gt;0), "V", "")</f>
        <v/>
      </c>
      <c r="F11" s="201" t="str">
        <f t="shared" si="1"/>
        <v>未保養</v>
      </c>
      <c r="G11" s="201" t="str">
        <f>IF(VLOOKUP(A11,門市主檔!A:O,15,FALSE)="完工已補裝", "完工已補裝",
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三重區</v>
      </c>
      <c r="J11" s="209">
        <v>45715.615277777775</v>
      </c>
      <c r="K11" s="202"/>
      <c r="L11" s="202"/>
      <c r="M11" s="202"/>
      <c r="N11" s="202"/>
      <c r="O11" s="202"/>
      <c r="P11" s="196" t="s">
        <v>51</v>
      </c>
      <c r="Q11" s="206" t="s">
        <v>4109</v>
      </c>
    </row>
    <row r="12" spans="1:23" ht="19.5" customHeight="1">
      <c r="A12" s="201" t="s">
        <v>37</v>
      </c>
      <c r="B12" s="201" t="str">
        <f>VLOOKUP(A12,門市主檔!A:B,2,FALSE)</f>
        <v>北縣仁和店</v>
      </c>
      <c r="C12" s="279" t="str">
        <f>IF(COUNTIFS(IM!$F:$F,A12,IM!$AD:$AD,"O",IM!$X:$X,"&gt;="&amp;$R$1, IM!$X:$X,"&lt;"&amp;$R$2)&gt;0,"V","")</f>
        <v/>
      </c>
      <c r="D12" s="279" t="str">
        <f>IF(AND(C12&lt;&gt;"V", COUNTIFS(IM!$F:$F,A12, IM!$AD:$AD, "O", IM!$X:$X, "&gt;="&amp;$R$2, IM!$X:$X, "&lt;"&amp;$R$3)&gt;0), "V", "")</f>
        <v/>
      </c>
      <c r="E12" s="279" t="str">
        <f>IF(AND(C12&lt;&gt;"V",D12&lt;&gt;"V", COUNTIFS(IM!$F:$F, A12, IM!$AD:$AD, "O", IM!$X:$X, "&gt;="&amp;$R$3, IM!$X:$X, "&lt;"&amp;$R$4)&gt;0), "V", "")</f>
        <v/>
      </c>
      <c r="F12" s="201" t="str">
        <f t="shared" si="1"/>
        <v>未保養</v>
      </c>
      <c r="G12" s="201" t="str">
        <f>IF(VLOOKUP(A12,門市主檔!A:O,15,FALSE)="完工已補裝", "完工已補裝",
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三重區</v>
      </c>
      <c r="J12" s="209">
        <v>45720.618055555555</v>
      </c>
      <c r="K12" s="202"/>
      <c r="L12" s="202"/>
      <c r="M12" s="202"/>
      <c r="N12" s="202"/>
      <c r="O12" s="202"/>
      <c r="P12" s="196" t="s">
        <v>51</v>
      </c>
      <c r="Q12" s="206" t="s">
        <v>4109</v>
      </c>
    </row>
    <row r="13" spans="1:23" ht="19.5" customHeight="1">
      <c r="A13" s="201">
        <v>4098</v>
      </c>
      <c r="B13" s="201" t="str">
        <f>VLOOKUP(A13,門市主檔!A:B,2,FALSE)</f>
        <v>三重仁美店</v>
      </c>
      <c r="C13" s="279" t="str">
        <f>IF(COUNTIFS(IM!$F:$F,A13,IM!$AD:$AD,"O",IM!$X:$X,"&gt;="&amp;$R$1, IM!$X:$X,"&lt;"&amp;$R$2)&gt;0,"V","")</f>
        <v/>
      </c>
      <c r="D13" s="279" t="str">
        <f>IF(AND(C13&lt;&gt;"V", COUNTIFS(IM!$F:$F,A13, IM!$AD:$AD, "O", IM!$X:$X, "&gt;="&amp;$R$2, IM!$X:$X, "&lt;"&amp;$R$3)&gt;0), "V", "")</f>
        <v/>
      </c>
      <c r="E13" s="279" t="str">
        <f>IF(AND(C13&lt;&gt;"V",D13&lt;&gt;"V", COUNTIFS(IM!$F:$F, A13, IM!$AD:$AD, "O", IM!$X:$X, "&gt;="&amp;$R$3, IM!$X:$X, "&lt;"&amp;$R$4)&gt;0), "V", "")</f>
        <v/>
      </c>
      <c r="F13" s="201" t="str">
        <f t="shared" si="1"/>
        <v>未保養</v>
      </c>
      <c r="G13" s="201" t="str">
        <f>IF(VLOOKUP(A13,門市主檔!A:O,15,FALSE)="完工已補裝", "完工已補裝",
IF(AND(VLOOKUP(A13,門市主檔!A:Z,26,FALSE)="STAR", VLOOKUP(A13,門市主檔!A:R,18,FALSE)=""),
    IF(OR(C13="V", D13="V", E13="V"), "已PM未更換", "未更換"),
    IF(VLOOKUP(A13,門市主檔!A:Z,26,FALSE)&lt;&gt;"STAR", "無專案", "已更換")
))</f>
        <v>未更換</v>
      </c>
      <c r="H13" s="263">
        <f>VLOOKUP(A13,門市主檔!A:V,22,FALSE)</f>
        <v>1</v>
      </c>
      <c r="I13" s="201" t="str">
        <f>VLOOKUP(A13,'0919門市清單主檔'!B:V,21,FALSE)</f>
        <v>三重區</v>
      </c>
      <c r="J13" s="209">
        <v>45720.493055555555</v>
      </c>
      <c r="K13" s="202"/>
      <c r="L13" s="202"/>
      <c r="M13" s="202"/>
      <c r="N13" s="202"/>
      <c r="O13" s="202"/>
      <c r="P13" s="196" t="s">
        <v>51</v>
      </c>
      <c r="Q13" s="206" t="s">
        <v>4109</v>
      </c>
    </row>
    <row r="14" spans="1:23" ht="19.5" customHeight="1">
      <c r="A14" s="201">
        <v>3957</v>
      </c>
      <c r="B14" s="201" t="str">
        <f>VLOOKUP(A14,門市主檔!A:B,2,FALSE)</f>
        <v>三重福仁店</v>
      </c>
      <c r="C14" s="279" t="str">
        <f>IF(COUNTIFS(IM!$F:$F,A14,IM!$AD:$AD,"O",IM!$X:$X,"&gt;="&amp;$R$1, IM!$X:$X,"&lt;"&amp;$R$2)&gt;0,"V","")</f>
        <v/>
      </c>
      <c r="D14" s="279" t="str">
        <f>IF(AND(C14&lt;&gt;"V", COUNTIFS(IM!$F:$F,A14, IM!$AD:$AD, "O", IM!$X:$X, "&gt;="&amp;$R$2, IM!$X:$X, "&lt;"&amp;$R$3)&gt;0), "V", "")</f>
        <v/>
      </c>
      <c r="E14" s="279" t="str">
        <f>IF(AND(C14&lt;&gt;"V",D14&lt;&gt;"V", COUNTIFS(IM!$F:$F, A14, IM!$AD:$AD, "O", IM!$X:$X, "&gt;="&amp;$R$3, IM!$X:$X, "&lt;"&amp;$R$4)&gt;0), "V", "")</f>
        <v/>
      </c>
      <c r="F14" s="201" t="str">
        <f t="shared" si="1"/>
        <v>未保養</v>
      </c>
      <c r="G14" s="201" t="str">
        <f>IF(VLOOKUP(A14,門市主檔!A:O,15,FALSE)="完工已補裝", "完工已補裝",
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三重區</v>
      </c>
      <c r="J14" s="209">
        <v>45720.640972222223</v>
      </c>
      <c r="K14" s="202"/>
      <c r="L14" s="202"/>
      <c r="M14" s="202"/>
      <c r="N14" s="202"/>
      <c r="O14" s="202"/>
      <c r="P14" s="196" t="s">
        <v>51</v>
      </c>
      <c r="Q14" s="206" t="s">
        <v>4109</v>
      </c>
    </row>
    <row r="15" spans="1:23" ht="19.5" customHeight="1">
      <c r="A15" s="201" t="s">
        <v>27</v>
      </c>
      <c r="B15" s="201" t="str">
        <f>VLOOKUP(A15,門市主檔!A:B,2,FALSE)</f>
        <v>三重車路頭</v>
      </c>
      <c r="C15" s="279" t="str">
        <f>IF(COUNTIFS(IM!$F:$F,A15,IM!$AD:$AD,"O",IM!$X:$X,"&gt;="&amp;$R$1, IM!$X:$X,"&lt;"&amp;$R$2)&gt;0,"V","")</f>
        <v/>
      </c>
      <c r="D15" s="279" t="str">
        <f>IF(AND(C15&lt;&gt;"V", COUNTIFS(IM!$F:$F,A15, IM!$AD:$AD, "O", IM!$X:$X, "&gt;="&amp;$R$2, IM!$X:$X, "&lt;"&amp;$R$3)&gt;0), "V", "")</f>
        <v/>
      </c>
      <c r="E15" s="279" t="str">
        <f>IF(AND(C15&lt;&gt;"V",D15&lt;&gt;"V", COUNTIFS(IM!$F:$F, A15, IM!$AD:$AD, "O", IM!$X:$X, "&gt;="&amp;$R$3, IM!$X:$X, "&lt;"&amp;$R$4)&gt;0), "V", "")</f>
        <v/>
      </c>
      <c r="F15" s="201" t="str">
        <f t="shared" si="1"/>
        <v>未保養</v>
      </c>
      <c r="G15" s="201" t="str">
        <f>IF(VLOOKUP(A15,門市主檔!A:O,15,FALSE)="完工已補裝", "完工已補裝",
IF(AND(VLOOKUP(A15,門市主檔!A:Z,26,FALSE)="STAR", VLOOKUP(A15,門市主檔!A:R,18,FALSE)=""),
    IF(OR(C15="V", D15="V", E15="V"), "已PM未更換", "未更換"),
    IF(VLOOKUP(A15,門市主檔!A:Z,26,FALSE)&lt;&gt;"STAR", "無專案", "已更換")
))</f>
        <v>未更換</v>
      </c>
      <c r="H15" s="263">
        <f>VLOOKUP(A15,門市主檔!A:V,22,FALSE)</f>
        <v>1</v>
      </c>
      <c r="I15" s="201" t="str">
        <f>VLOOKUP(A15,'0919門市清單主檔'!B:V,21,FALSE)</f>
        <v>三重區</v>
      </c>
      <c r="J15" s="209">
        <v>45715.510416666664</v>
      </c>
      <c r="K15" s="202"/>
      <c r="L15" s="202"/>
      <c r="M15" s="202"/>
      <c r="N15" s="202"/>
      <c r="O15" s="202"/>
      <c r="P15" s="196" t="s">
        <v>51</v>
      </c>
      <c r="Q15" s="206" t="s">
        <v>4109</v>
      </c>
    </row>
    <row r="16" spans="1:23" ht="19.5" customHeight="1">
      <c r="A16" s="201">
        <v>4388</v>
      </c>
      <c r="B16" s="201" t="str">
        <f>VLOOKUP(A16,門市主檔!A:B,2,FALSE)</f>
        <v>三重薔薇店</v>
      </c>
      <c r="C16" s="279" t="str">
        <f>IF(COUNTIFS(IM!$F:$F,A16,IM!$AD:$AD,"O",IM!$X:$X,"&gt;="&amp;$R$1, IM!$X:$X,"&lt;"&amp;$R$2)&gt;0,"V","")</f>
        <v/>
      </c>
      <c r="D16" s="279" t="str">
        <f>IF(AND(C16&lt;&gt;"V", COUNTIFS(IM!$F:$F,A16, IM!$AD:$AD, "O", IM!$X:$X, "&gt;="&amp;$R$2, IM!$X:$X, "&lt;"&amp;$R$3)&gt;0), "V", "")</f>
        <v>V</v>
      </c>
      <c r="E16" s="279" t="str">
        <f>IF(AND(C16&lt;&gt;"V",D16&lt;&gt;"V", COUNTIFS(IM!$F:$F, A16, IM!$AD:$AD, "O", IM!$X:$X, "&gt;="&amp;$R$3, IM!$X:$X, "&lt;"&amp;$R$4)&gt;0), "V", "")</f>
        <v/>
      </c>
      <c r="F16" s="201" t="str">
        <f t="shared" si="1"/>
        <v/>
      </c>
      <c r="G16" s="201" t="str">
        <f>IF(VLOOKUP(A16,門市主檔!A:O,15,FALSE)="完工已補裝", "完工已補裝",
IF(AND(VLOOKUP(A16,門市主檔!A:Z,26,FALSE)="STAR", VLOOKUP(A16,門市主檔!A:R,18,FALSE)=""),
    IF(OR(C16="V", D16="V", E16="V"), "已PM未更換", "未更換"),
    IF(VLOOKUP(A16,門市主檔!A:Z,26,FALSE)&lt;&gt;"STAR", "無專案", "已更換")
))</f>
        <v>已更換</v>
      </c>
      <c r="H16" s="263">
        <f>VLOOKUP(A16,門市主檔!A:V,22,FALSE)</f>
        <v>2</v>
      </c>
      <c r="I16" s="201" t="str">
        <f>VLOOKUP(A16,'0919門市清單主檔'!B:V,21,FALSE)</f>
        <v>三重區</v>
      </c>
      <c r="J16" s="209">
        <v>45702.684027777781</v>
      </c>
      <c r="K16" s="196"/>
      <c r="L16" s="196"/>
      <c r="M16" s="196"/>
      <c r="N16" s="196"/>
      <c r="O16" s="196"/>
      <c r="P16" s="196" t="s">
        <v>51</v>
      </c>
      <c r="Q16" s="206" t="s">
        <v>4109</v>
      </c>
    </row>
    <row r="17" spans="1:17" ht="19.5" customHeight="1">
      <c r="A17" s="201" t="s">
        <v>28</v>
      </c>
      <c r="B17" s="201" t="str">
        <f>VLOOKUP(A17,門市主檔!A:B,2,FALSE)</f>
        <v>三重維德店</v>
      </c>
      <c r="C17" s="279" t="str">
        <f>IF(COUNTIFS(IM!$F:$F,A17,IM!$AD:$AD,"O",IM!$X:$X,"&gt;="&amp;$R$1, IM!$X:$X,"&lt;"&amp;$R$2)&gt;0,"V","")</f>
        <v/>
      </c>
      <c r="D17" s="279" t="str">
        <f>IF(AND(C17&lt;&gt;"V", COUNTIFS(IM!$F:$F,A17, IM!$AD:$AD, "O", IM!$X:$X, "&gt;="&amp;$R$2, IM!$X:$X, "&lt;"&amp;$R$3)&gt;0), "V", "")</f>
        <v/>
      </c>
      <c r="E17" s="279" t="str">
        <f>IF(AND(C17&lt;&gt;"V",D17&lt;&gt;"V", COUNTIFS(IM!$F:$F, A17, IM!$AD:$AD, "O", IM!$X:$X, "&gt;="&amp;$R$3, IM!$X:$X, "&lt;"&amp;$R$4)&gt;0), "V", "")</f>
        <v/>
      </c>
      <c r="F17" s="201" t="str">
        <f t="shared" si="1"/>
        <v>未保養</v>
      </c>
      <c r="G17" s="201" t="str">
        <f>IF(VLOOKUP(A17,門市主檔!A:O,15,FALSE)="完工已補裝", "完工已補裝",
IF(AND(VLOOKUP(A17,門市主檔!A:Z,26,FALSE)="STAR", VLOOKUP(A17,門市主檔!A:R,18,FALSE)=""),
    IF(OR(C17="V", D17="V", E17="V"), "已PM未更換", "未更換"),
    IF(VLOOKUP(A17,門市主檔!A:Z,26,FALSE)&lt;&gt;"STAR", "無專案", "已更換")
))</f>
        <v>未更換</v>
      </c>
      <c r="H17" s="263">
        <f>VLOOKUP(A17,門市主檔!A:V,22,FALSE)</f>
        <v>1</v>
      </c>
      <c r="I17" s="201" t="str">
        <f>VLOOKUP(A17,'0919門市清單主檔'!B:V,21,FALSE)</f>
        <v>三重區</v>
      </c>
      <c r="J17" s="209">
        <v>45719.701388888891</v>
      </c>
      <c r="K17" s="202"/>
      <c r="L17" s="202"/>
      <c r="M17" s="202"/>
      <c r="N17" s="202"/>
      <c r="O17" s="202"/>
      <c r="P17" s="196"/>
      <c r="Q17" s="206" t="s">
        <v>4109</v>
      </c>
    </row>
    <row r="18" spans="1:17" ht="19.5" customHeight="1">
      <c r="A18" s="201">
        <v>3890</v>
      </c>
      <c r="B18" s="201" t="str">
        <f>VLOOKUP(A18,門市主檔!A:B,2,FALSE)</f>
        <v>三重美堤店</v>
      </c>
      <c r="C18" s="279" t="str">
        <f>IF(COUNTIFS(IM!$F:$F,A18,IM!$AD:$AD,"O",IM!$X:$X,"&gt;="&amp;$R$1, IM!$X:$X,"&lt;"&amp;$R$2)&gt;0,"V","")</f>
        <v/>
      </c>
      <c r="D18" s="279" t="str">
        <f>IF(AND(C18&lt;&gt;"V", COUNTIFS(IM!$F:$F,A18, IM!$AD:$AD, "O", IM!$X:$X, "&gt;="&amp;$R$2, IM!$X:$X, "&lt;"&amp;$R$3)&gt;0), "V", "")</f>
        <v>V</v>
      </c>
      <c r="E18" s="279" t="str">
        <f>IF(AND(C18&lt;&gt;"V",D18&lt;&gt;"V", COUNTIFS(IM!$F:$F, A18, IM!$AD:$AD, "O", IM!$X:$X, "&gt;="&amp;$R$3, IM!$X:$X, "&lt;"&amp;$R$4)&gt;0), "V", "")</f>
        <v/>
      </c>
      <c r="F18" s="201" t="str">
        <f t="shared" si="1"/>
        <v/>
      </c>
      <c r="G18" s="201" t="str">
        <f>IF(VLOOKUP(A18,門市主檔!A:O,15,FALSE)="完工已補裝", "完工已補裝",
IF(AND(VLOOKUP(A18,門市主檔!A:Z,26,FALSE)="STAR", VLOOKUP(A18,門市主檔!A:R,18,FALSE)=""),
    IF(OR(C18="V", D18="V", E18="V"), "已PM未更換", "未更換"),
    IF(VLOOKUP(A18,門市主檔!A:Z,26,FALSE)&lt;&gt;"STAR", "無專案", "已更換")
))</f>
        <v>已更換</v>
      </c>
      <c r="H18" s="263">
        <f>VLOOKUP(A18,門市主檔!A:V,22,FALSE)</f>
        <v>2</v>
      </c>
      <c r="I18" s="201" t="str">
        <f>VLOOKUP(A18,'0919門市清單主檔'!B:V,21,FALSE)</f>
        <v>三重區</v>
      </c>
      <c r="J18" s="209">
        <v>45660.463888888888</v>
      </c>
      <c r="K18" s="202"/>
      <c r="L18" s="202"/>
      <c r="M18" s="202"/>
      <c r="N18" s="202"/>
      <c r="O18" s="202"/>
      <c r="P18" s="196" t="s">
        <v>51</v>
      </c>
      <c r="Q18" s="206" t="s">
        <v>4109</v>
      </c>
    </row>
    <row r="19" spans="1:17" ht="19.5" customHeight="1">
      <c r="A19" s="201" t="s">
        <v>38</v>
      </c>
      <c r="B19" s="201" t="str">
        <f>VLOOKUP(A19,門市主檔!A:B,2,FALSE)</f>
        <v>三重大有店</v>
      </c>
      <c r="C19" s="279" t="str">
        <f>IF(COUNTIFS(IM!$F:$F,A19,IM!$AD:$AD,"O",IM!$X:$X,"&gt;="&amp;$R$1, IM!$X:$X,"&lt;"&amp;$R$2)&gt;0,"V","")</f>
        <v/>
      </c>
      <c r="D19" s="279" t="str">
        <f>IF(AND(C19&lt;&gt;"V", COUNTIFS(IM!$F:$F,A19, IM!$AD:$AD, "O", IM!$X:$X, "&gt;="&amp;$R$2, IM!$X:$X, "&lt;"&amp;$R$3)&gt;0), "V", "")</f>
        <v/>
      </c>
      <c r="E19" s="279" t="str">
        <f>IF(AND(C19&lt;&gt;"V",D19&lt;&gt;"V", COUNTIFS(IM!$F:$F, A19, IM!$AD:$AD, "O", IM!$X:$X, "&gt;="&amp;$R$3, IM!$X:$X, "&lt;"&amp;$R$4)&gt;0), "V", "")</f>
        <v/>
      </c>
      <c r="F19" s="201" t="str">
        <f t="shared" si="1"/>
        <v>未保養</v>
      </c>
      <c r="G19" s="201" t="str">
        <f>IF(VLOOKUP(A19,門市主檔!A:O,15,FALSE)="完工已補裝", "完工已補裝",
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三重區</v>
      </c>
      <c r="J19" s="209">
        <v>45664.631944444445</v>
      </c>
      <c r="K19" s="202"/>
      <c r="L19" s="202"/>
      <c r="M19" s="202"/>
      <c r="N19" s="202"/>
      <c r="O19" s="202"/>
      <c r="P19" s="196" t="s">
        <v>51</v>
      </c>
      <c r="Q19" s="206" t="s">
        <v>4109</v>
      </c>
    </row>
    <row r="20" spans="1:17" ht="19.5" customHeight="1">
      <c r="A20" s="201">
        <v>4968</v>
      </c>
      <c r="B20" s="201" t="str">
        <f>VLOOKUP(A20,門市主檔!A:B,2,FALSE)</f>
        <v>三重太璞宮</v>
      </c>
      <c r="C20" s="279" t="str">
        <f>IF(COUNTIFS(IM!$F:$F,A20,IM!$AD:$AD,"O",IM!$X:$X,"&gt;="&amp;$R$1, IM!$X:$X,"&lt;"&amp;$R$2)&gt;0,"V","")</f>
        <v/>
      </c>
      <c r="D20" s="279" t="str">
        <f>IF(AND(C20&lt;&gt;"V", COUNTIFS(IM!$F:$F,A20, IM!$AD:$AD, "O", IM!$X:$X, "&gt;="&amp;$R$2, IM!$X:$X, "&lt;"&amp;$R$3)&gt;0), "V", "")</f>
        <v/>
      </c>
      <c r="E20" s="279" t="str">
        <f>IF(AND(C20&lt;&gt;"V",D20&lt;&gt;"V", COUNTIFS(IM!$F:$F, A20, IM!$AD:$AD, "O", IM!$X:$X, "&gt;="&amp;$R$3, IM!$X:$X, "&lt;"&amp;$R$4)&gt;0), "V", "")</f>
        <v/>
      </c>
      <c r="F20" s="201" t="str">
        <f t="shared" si="1"/>
        <v>未保養</v>
      </c>
      <c r="G20" s="201" t="str">
        <f>IF(VLOOKUP(A20,門市主檔!A:O,15,FALSE)="完工已補裝", "完工已補裝",
IF(AND(VLOOKUP(A20,門市主檔!A:Z,26,FALSE)="STAR", VLOOKUP(A20,門市主檔!A:R,18,FALSE)=""),
    IF(OR(C20="V", D20="V", E20="V"), "已PM未更換", "未更換"),
    IF(VLOOKUP(A20,門市主檔!A:Z,26,FALSE)&lt;&gt;"STAR", "無專案", "已更換")
))</f>
        <v>未更換</v>
      </c>
      <c r="H20" s="263">
        <f>VLOOKUP(A20,門市主檔!A:V,22,FALSE)</f>
        <v>1</v>
      </c>
      <c r="I20" s="201" t="str">
        <f>VLOOKUP(A20,'0919門市清單主檔'!B:V,21,FALSE)</f>
        <v>三重區</v>
      </c>
      <c r="J20" s="209">
        <v>45664.662499999999</v>
      </c>
      <c r="K20" s="202"/>
      <c r="L20" s="202"/>
      <c r="M20" s="202"/>
      <c r="N20" s="202"/>
      <c r="O20" s="202"/>
      <c r="P20" s="196" t="s">
        <v>51</v>
      </c>
      <c r="Q20" s="206" t="s">
        <v>4109</v>
      </c>
    </row>
    <row r="21" spans="1:17" ht="19.5" customHeight="1">
      <c r="A21" s="201">
        <v>4698</v>
      </c>
      <c r="B21" s="201" t="str">
        <f>VLOOKUP(A21,門市主檔!A:B,2,FALSE)</f>
        <v>三重頂崁店</v>
      </c>
      <c r="C21" s="279" t="str">
        <f>IF(COUNTIFS(IM!$F:$F,A21,IM!$AD:$AD,"O",IM!$X:$X,"&gt;="&amp;$R$1, IM!$X:$X,"&lt;"&amp;$R$2)&gt;0,"V","")</f>
        <v/>
      </c>
      <c r="D21" s="279" t="str">
        <f>IF(AND(C21&lt;&gt;"V", COUNTIFS(IM!$F:$F,A21, IM!$AD:$AD, "O", IM!$X:$X, "&gt;="&amp;$R$2, IM!$X:$X, "&lt;"&amp;$R$3)&gt;0), "V", "")</f>
        <v/>
      </c>
      <c r="E21" s="279" t="str">
        <f>IF(AND(C21&lt;&gt;"V",D21&lt;&gt;"V", COUNTIFS(IM!$F:$F, A21, IM!$AD:$AD, "O", IM!$X:$X, "&gt;="&amp;$R$3, IM!$X:$X, "&lt;"&amp;$R$4)&gt;0), "V", "")</f>
        <v/>
      </c>
      <c r="F21" s="201" t="str">
        <f t="shared" si="1"/>
        <v>未保養</v>
      </c>
      <c r="G21" s="201" t="str">
        <f>IF(VLOOKUP(A21,門市主檔!A:O,15,FALSE)="完工已補裝", "完工已補裝",
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三重區</v>
      </c>
      <c r="J21" s="209">
        <v>45695.669444444444</v>
      </c>
      <c r="K21" s="202"/>
      <c r="L21" s="202"/>
      <c r="M21" s="202"/>
      <c r="N21" s="202"/>
      <c r="O21" s="202"/>
      <c r="P21" s="196" t="s">
        <v>51</v>
      </c>
      <c r="Q21" s="206" t="s">
        <v>4109</v>
      </c>
    </row>
    <row r="22" spans="1:17" ht="19.5" customHeight="1">
      <c r="A22" s="201">
        <v>4906</v>
      </c>
      <c r="B22" s="201" t="str">
        <f>VLOOKUP(A22,門市主檔!A:B,2,FALSE)</f>
        <v>金山銀山店</v>
      </c>
      <c r="C22" s="279" t="str">
        <f>IF(COUNTIFS(IM!$F:$F,A22,IM!$AD:$AD,"O",IM!$X:$X,"&gt;="&amp;$R$1, IM!$X:$X,"&lt;"&amp;$R$2)&gt;0,"V","")</f>
        <v/>
      </c>
      <c r="D22" s="279" t="str">
        <f>IF(AND(C22&lt;&gt;"V", COUNTIFS(IM!$F:$F,A22, IM!$AD:$AD, "O", IM!$X:$X, "&gt;="&amp;$R$2, IM!$X:$X, "&lt;"&amp;$R$3)&gt;0), "V", "")</f>
        <v/>
      </c>
      <c r="E22" s="279" t="str">
        <f>IF(AND(C22&lt;&gt;"V",D22&lt;&gt;"V", COUNTIFS(IM!$F:$F, A22, IM!$AD:$AD, "O", IM!$X:$X, "&gt;="&amp;$R$3, IM!$X:$X, "&lt;"&amp;$R$4)&gt;0), "V", "")</f>
        <v/>
      </c>
      <c r="F22" s="201" t="str">
        <f t="shared" si="1"/>
        <v>未保養</v>
      </c>
      <c r="G22" s="201" t="str">
        <f>IF(VLOOKUP(A22,門市主檔!A:O,15,FALSE)="完工已補裝", "完工已補裝",
IF(AND(VLOOKUP(A22,門市主檔!A:Z,26,FALSE)="STAR", VLOOKUP(A22,門市主檔!A:R,18,FALSE)=""),
    IF(OR(C22="V", D22="V", E22="V"), "已PM未更換", "未更換"),
    IF(VLOOKUP(A22,門市主檔!A:Z,26,FALSE)&lt;&gt;"STAR", "無專案", "已更換")
))</f>
        <v>無專案</v>
      </c>
      <c r="H22" s="263">
        <f>VLOOKUP(A22,門市主檔!A:V,22,FALSE)</f>
        <v>0</v>
      </c>
      <c r="I22" s="201" t="str">
        <f>VLOOKUP(A22,'0919門市清單主檔'!B:V,21,FALSE)</f>
        <v>金山區</v>
      </c>
      <c r="J22" s="209">
        <v>45679.57708333333</v>
      </c>
      <c r="K22" s="202"/>
      <c r="L22" s="202"/>
      <c r="M22" s="202"/>
      <c r="N22" s="202"/>
      <c r="O22" s="202"/>
      <c r="P22" s="196"/>
      <c r="Q22" s="206" t="s">
        <v>4109</v>
      </c>
    </row>
    <row r="23" spans="1:17" ht="19.5" customHeight="1">
      <c r="A23" s="201">
        <v>4298</v>
      </c>
      <c r="B23" s="201" t="str">
        <f>VLOOKUP(A23,門市主檔!A:B,2,FALSE)</f>
        <v>淡水後洲店</v>
      </c>
      <c r="C23" s="279" t="str">
        <f>IF(COUNTIFS(IM!$F:$F,A23,IM!$AD:$AD,"O",IM!$X:$X,"&gt;="&amp;$R$1, IM!$X:$X,"&lt;"&amp;$R$2)&gt;0,"V","")</f>
        <v/>
      </c>
      <c r="D23" s="279" t="str">
        <f>IF(AND(C23&lt;&gt;"V", COUNTIFS(IM!$F:$F,A23, IM!$AD:$AD, "O", IM!$X:$X, "&gt;="&amp;$R$2, IM!$X:$X, "&lt;"&amp;$R$3)&gt;0), "V", "")</f>
        <v/>
      </c>
      <c r="E23" s="279" t="str">
        <f>IF(AND(C23&lt;&gt;"V",D23&lt;&gt;"V", COUNTIFS(IM!$F:$F, A23, IM!$AD:$AD, "O", IM!$X:$X, "&gt;="&amp;$R$3, IM!$X:$X, "&lt;"&amp;$R$4)&gt;0), "V", "")</f>
        <v/>
      </c>
      <c r="F23" s="201" t="str">
        <f t="shared" si="1"/>
        <v>未保養</v>
      </c>
      <c r="G23" s="201" t="str">
        <f>IF(VLOOKUP(A23,門市主檔!A:O,15,FALSE)="完工已補裝", "完工已補裝",
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淡水區</v>
      </c>
      <c r="J23" s="209">
        <v>45730.588888888888</v>
      </c>
      <c r="K23" s="202"/>
      <c r="L23" s="202"/>
      <c r="M23" s="202"/>
      <c r="N23" s="202"/>
      <c r="O23" s="202"/>
      <c r="P23" s="196"/>
      <c r="Q23" s="206" t="s">
        <v>4109</v>
      </c>
    </row>
    <row r="24" spans="1:17" ht="19.5" customHeight="1">
      <c r="A24" s="201">
        <v>4788</v>
      </c>
      <c r="B24" s="201" t="str">
        <f>VLOOKUP(A24,門市主檔!A:B,2,FALSE)</f>
        <v>淡水國家店</v>
      </c>
      <c r="C24" s="279" t="str">
        <f>IF(COUNTIFS(IM!$F:$F,A24,IM!$AD:$AD,"O",IM!$X:$X,"&gt;="&amp;$R$1, IM!$X:$X,"&lt;"&amp;$R$2)&gt;0,"V","")</f>
        <v/>
      </c>
      <c r="D24" s="279" t="str">
        <f>IF(AND(C24&lt;&gt;"V", COUNTIFS(IM!$F:$F,A24, IM!$AD:$AD, "O", IM!$X:$X, "&gt;="&amp;$R$2, IM!$X:$X, "&lt;"&amp;$R$3)&gt;0), "V", "")</f>
        <v/>
      </c>
      <c r="E24" s="279" t="str">
        <f>IF(AND(C24&lt;&gt;"V",D24&lt;&gt;"V", COUNTIFS(IM!$F:$F, A24, IM!$AD:$AD, "O", IM!$X:$X, "&gt;="&amp;$R$3, IM!$X:$X, "&lt;"&amp;$R$4)&gt;0), "V", "")</f>
        <v/>
      </c>
      <c r="F24" s="201" t="str">
        <f t="shared" si="1"/>
        <v>未保養</v>
      </c>
      <c r="G24" s="201" t="str">
        <f>IF(VLOOKUP(A24,門市主檔!A:O,15,FALSE)="完工已補裝", "完工已補裝",
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淡水區</v>
      </c>
      <c r="J24" s="209">
        <v>45730.568055555559</v>
      </c>
      <c r="K24" s="202"/>
      <c r="L24" s="202"/>
      <c r="M24" s="202"/>
      <c r="N24" s="202"/>
      <c r="O24" s="202"/>
      <c r="P24" s="196"/>
      <c r="Q24" s="206" t="s">
        <v>4109</v>
      </c>
    </row>
    <row r="25" spans="1:17" ht="19.5" customHeight="1">
      <c r="A25" s="201">
        <v>3751</v>
      </c>
      <c r="B25" s="201" t="str">
        <f>VLOOKUP(A25,門市主檔!A:B,2,FALSE)</f>
        <v>淡水真理大</v>
      </c>
      <c r="C25" s="279" t="str">
        <f>IF(COUNTIFS(IM!$F:$F,A25,IM!$AD:$AD,"O",IM!$X:$X,"&gt;="&amp;$R$1, IM!$X:$X,"&lt;"&amp;$R$2)&gt;0,"V","")</f>
        <v/>
      </c>
      <c r="D25" s="279" t="str">
        <f>IF(AND(C25&lt;&gt;"V", COUNTIFS(IM!$F:$F,A25, IM!$AD:$AD, "O", IM!$X:$X, "&gt;="&amp;$R$2, IM!$X:$X, "&lt;"&amp;$R$3)&gt;0), "V", "")</f>
        <v>V</v>
      </c>
      <c r="E25" s="279" t="str">
        <f>IF(AND(C25&lt;&gt;"V",D25&lt;&gt;"V", COUNTIFS(IM!$F:$F, A25, IM!$AD:$AD, "O", IM!$X:$X, "&gt;="&amp;$R$3, IM!$X:$X, "&lt;"&amp;$R$4)&gt;0), "V", "")</f>
        <v/>
      </c>
      <c r="F25" s="201" t="str">
        <f t="shared" si="1"/>
        <v/>
      </c>
      <c r="G25" s="201" t="str">
        <f>IF(VLOOKUP(A25,門市主檔!A:O,15,FALSE)="完工已補裝", "完工已補裝",
IF(AND(VLOOKUP(A25,門市主檔!A:Z,26,FALSE)="STAR", VLOOKUP(A25,門市主檔!A:R,18,FALSE)=""),
    IF(OR(C25="V", D25="V", E25="V"), "已PM未更換", "未更換"),
    IF(VLOOKUP(A25,門市主檔!A:Z,26,FALSE)&lt;&gt;"STAR", "無專案", "已更換")
))</f>
        <v>已更換</v>
      </c>
      <c r="H25" s="263">
        <f>VLOOKUP(A25,門市主檔!A:V,22,FALSE)</f>
        <v>2</v>
      </c>
      <c r="I25" s="201" t="str">
        <f>VLOOKUP(A25,'0919門市清單主檔'!B:V,21,FALSE)</f>
        <v>淡水區</v>
      </c>
      <c r="J25" s="209">
        <v>45723.651388888888</v>
      </c>
      <c r="K25" s="202"/>
      <c r="L25" s="202"/>
      <c r="M25" s="202"/>
      <c r="N25" s="202"/>
      <c r="O25" s="202"/>
      <c r="P25" s="196" t="s">
        <v>51</v>
      </c>
      <c r="Q25" s="206" t="s">
        <v>4109</v>
      </c>
    </row>
    <row r="26" spans="1:17" ht="19.5" customHeight="1">
      <c r="A26" s="201">
        <v>4093</v>
      </c>
      <c r="B26" s="201" t="str">
        <f>VLOOKUP(A26,門市主檔!A:B,2,FALSE)</f>
        <v>淡水新市一</v>
      </c>
      <c r="C26" s="279" t="str">
        <f>IF(COUNTIFS(IM!$F:$F,A26,IM!$AD:$AD,"O",IM!$X:$X,"&gt;="&amp;$R$1, IM!$X:$X,"&lt;"&amp;$R$2)&gt;0,"V","")</f>
        <v/>
      </c>
      <c r="D26" s="279" t="str">
        <f>IF(AND(C26&lt;&gt;"V", COUNTIFS(IM!$F:$F,A26, IM!$AD:$AD, "O", IM!$X:$X, "&gt;="&amp;$R$2, IM!$X:$X, "&lt;"&amp;$R$3)&gt;0), "V", "")</f>
        <v>V</v>
      </c>
      <c r="E26" s="279" t="str">
        <f>IF(AND(C26&lt;&gt;"V",D26&lt;&gt;"V", COUNTIFS(IM!$F:$F, A26, IM!$AD:$AD, "O", IM!$X:$X, "&gt;="&amp;$R$3, IM!$X:$X, "&lt;"&amp;$R$4)&gt;0), "V", "")</f>
        <v/>
      </c>
      <c r="F26" s="201" t="str">
        <f t="shared" si="1"/>
        <v/>
      </c>
      <c r="G26" s="201" t="str">
        <f>IF(VLOOKUP(A26,門市主檔!A:O,15,FALSE)="完工已補裝", "完工已補裝",
IF(AND(VLOOKUP(A26,門市主檔!A:Z,26,FALSE)="STAR", VLOOKUP(A26,門市主檔!A:R,18,FALSE)=""),
    IF(OR(C26="V", D26="V", E26="V"), "已PM未更換", "未更換"),
    IF(VLOOKUP(A26,門市主檔!A:Z,26,FALSE)&lt;&gt;"STAR", "無專案", "已更換")
))</f>
        <v>已更換</v>
      </c>
      <c r="H26" s="263">
        <f>VLOOKUP(A26,門市主檔!A:V,22,FALSE)</f>
        <v>1</v>
      </c>
      <c r="I26" s="201" t="str">
        <f>VLOOKUP(A26,'0919門市清單主檔'!B:V,21,FALSE)</f>
        <v>淡水區</v>
      </c>
      <c r="J26" s="209">
        <v>45730.545138888891</v>
      </c>
      <c r="K26" s="202"/>
      <c r="L26" s="202"/>
      <c r="M26" s="202"/>
      <c r="N26" s="202"/>
      <c r="O26" s="202"/>
      <c r="P26" s="196" t="s">
        <v>51</v>
      </c>
      <c r="Q26" s="206" t="s">
        <v>4109</v>
      </c>
    </row>
    <row r="27" spans="1:17" ht="19.5" customHeight="1">
      <c r="A27" s="201">
        <v>4153</v>
      </c>
      <c r="B27" s="201" t="str">
        <f>VLOOKUP(A27,門市主檔!A:B,2,FALSE)</f>
        <v>淡水莊園店</v>
      </c>
      <c r="C27" s="279" t="str">
        <f>IF(COUNTIFS(IM!$F:$F,A27,IM!$AD:$AD,"O",IM!$X:$X,"&gt;="&amp;$R$1, IM!$X:$X,"&lt;"&amp;$R$2)&gt;0,"V","")</f>
        <v/>
      </c>
      <c r="D27" s="279" t="str">
        <f>IF(AND(C27&lt;&gt;"V", COUNTIFS(IM!$F:$F,A27, IM!$AD:$AD, "O", IM!$X:$X, "&gt;="&amp;$R$2, IM!$X:$X, "&lt;"&amp;$R$3)&gt;0), "V", "")</f>
        <v>V</v>
      </c>
      <c r="E27" s="279" t="str">
        <f>IF(AND(C27&lt;&gt;"V",D27&lt;&gt;"V", COUNTIFS(IM!$F:$F, A27, IM!$AD:$AD, "O", IM!$X:$X, "&gt;="&amp;$R$3, IM!$X:$X, "&lt;"&amp;$R$4)&gt;0), "V", "")</f>
        <v/>
      </c>
      <c r="F27" s="201" t="str">
        <f t="shared" si="1"/>
        <v/>
      </c>
      <c r="G27" s="201" t="str">
        <f>IF(VLOOKUP(A27,門市主檔!A:O,15,FALSE)="完工已補裝", "完工已補裝",
IF(AND(VLOOKUP(A27,門市主檔!A:Z,26,FALSE)="STAR", VLOOKUP(A27,門市主檔!A:R,18,FALSE)=""),
    IF(OR(C27="V", D27="V", E27="V"), "已PM未更換", "未更換"),
    IF(VLOOKUP(A27,門市主檔!A:Z,26,FALSE)&lt;&gt;"STAR", "無專案", "已更換")
))</f>
        <v>已更換</v>
      </c>
      <c r="H27" s="263">
        <f>VLOOKUP(A27,門市主檔!A:V,22,FALSE)</f>
        <v>2</v>
      </c>
      <c r="I27" s="201" t="str">
        <f>VLOOKUP(A27,'0919門市清單主檔'!B:V,21,FALSE)</f>
        <v>淡水區</v>
      </c>
      <c r="J27" s="209">
        <v>45730.53125</v>
      </c>
      <c r="K27" s="202"/>
      <c r="L27" s="202"/>
      <c r="M27" s="202"/>
      <c r="N27" s="202"/>
      <c r="O27" s="202"/>
      <c r="P27" s="196" t="s">
        <v>51</v>
      </c>
      <c r="Q27" s="206" t="s">
        <v>4109</v>
      </c>
    </row>
    <row r="28" spans="1:17" ht="19.5" customHeight="1">
      <c r="A28" s="201">
        <v>4541</v>
      </c>
      <c r="B28" s="201" t="str">
        <f>VLOOKUP(A28,門市主檔!A:B,2,FALSE)</f>
        <v>淡水海天店</v>
      </c>
      <c r="C28" s="279" t="str">
        <f>IF(COUNTIFS(IM!$F:$F,A28,IM!$AD:$AD,"O",IM!$X:$X,"&gt;="&amp;$R$1, IM!$X:$X,"&lt;"&amp;$R$2)&gt;0,"V","")</f>
        <v/>
      </c>
      <c r="D28" s="279" t="str">
        <f>IF(AND(C28&lt;&gt;"V", COUNTIFS(IM!$F:$F,A28, IM!$AD:$AD, "O", IM!$X:$X, "&gt;="&amp;$R$2, IM!$X:$X, "&lt;"&amp;$R$3)&gt;0), "V", "")</f>
        <v/>
      </c>
      <c r="E28" s="279" t="str">
        <f>IF(AND(C28&lt;&gt;"V",D28&lt;&gt;"V", COUNTIFS(IM!$F:$F, A28, IM!$AD:$AD, "O", IM!$X:$X, "&gt;="&amp;$R$3, IM!$X:$X, "&lt;"&amp;$R$4)&gt;0), "V", "")</f>
        <v/>
      </c>
      <c r="F28" s="201" t="str">
        <f t="shared" si="1"/>
        <v>未保養</v>
      </c>
      <c r="G28" s="201" t="str">
        <f>IF(VLOOKUP(A28,門市主檔!A:O,15,FALSE)="完工已補裝", "完工已補裝",
IF(AND(VLOOKUP(A28,門市主檔!A:Z,26,FALSE)="STAR", VLOOKUP(A28,門市主檔!A:R,18,FALSE)=""),
    IF(OR(C28="V", D28="V", E28="V"), "已PM未更換", "未更換"),
    IF(VLOOKUP(A28,門市主檔!A:Z,26,FALSE)&lt;&gt;"STAR", "無專案", "已更換")
))</f>
        <v>無專案</v>
      </c>
      <c r="H28" s="263">
        <f>VLOOKUP(A28,門市主檔!A:V,22,FALSE)</f>
        <v>0</v>
      </c>
      <c r="I28" s="201" t="str">
        <f>VLOOKUP(A28,'0919門市清單主檔'!B:V,21,FALSE)</f>
        <v>淡水區</v>
      </c>
      <c r="J28" s="209">
        <v>45730.60833333333</v>
      </c>
      <c r="K28" s="202"/>
      <c r="L28" s="202"/>
      <c r="M28" s="202"/>
      <c r="N28" s="202"/>
      <c r="O28" s="202"/>
      <c r="P28" s="196" t="s">
        <v>51</v>
      </c>
      <c r="Q28" s="206" t="s">
        <v>4109</v>
      </c>
    </row>
    <row r="29" spans="1:17" ht="19.5" customHeight="1">
      <c r="A29" s="201">
        <v>4802</v>
      </c>
      <c r="B29" s="201" t="str">
        <f>VLOOKUP(A29,門市主檔!A:B,2,FALSE)</f>
        <v>淡水沙崙店</v>
      </c>
      <c r="C29" s="279" t="str">
        <f>IF(COUNTIFS(IM!$F:$F,A29,IM!$AD:$AD,"O",IM!$X:$X,"&gt;="&amp;$R$1, IM!$X:$X,"&lt;"&amp;$R$2)&gt;0,"V","")</f>
        <v/>
      </c>
      <c r="D29" s="279" t="str">
        <f>IF(AND(C29&lt;&gt;"V", COUNTIFS(IM!$F:$F,A29, IM!$AD:$AD, "O", IM!$X:$X, "&gt;="&amp;$R$2, IM!$X:$X, "&lt;"&amp;$R$3)&gt;0), "V", "")</f>
        <v/>
      </c>
      <c r="E29" s="279" t="str">
        <f>IF(AND(C29&lt;&gt;"V",D29&lt;&gt;"V", COUNTIFS(IM!$F:$F, A29, IM!$AD:$AD, "O", IM!$X:$X, "&gt;="&amp;$R$3, IM!$X:$X, "&lt;"&amp;$R$4)&gt;0), "V", "")</f>
        <v/>
      </c>
      <c r="F29" s="201" t="str">
        <f t="shared" si="1"/>
        <v>未保養</v>
      </c>
      <c r="G29" s="201" t="str">
        <f>IF(VLOOKUP(A29,門市主檔!A:O,15,FALSE)="完工已補裝", "完工已補裝",
IF(AND(VLOOKUP(A29,門市主檔!A:Z,26,FALSE)="STAR", VLOOKUP(A29,門市主檔!A:R,18,FALSE)=""),
    IF(OR(C29="V", D29="V", E29="V"), "已PM未更換", "未更換"),
    IF(VLOOKUP(A29,門市主檔!A:Z,26,FALSE)&lt;&gt;"STAR", "無專案", "已更換")
))</f>
        <v>無專案</v>
      </c>
      <c r="H29" s="263">
        <f>VLOOKUP(A29,門市主檔!A:V,22,FALSE)</f>
        <v>0</v>
      </c>
      <c r="I29" s="201" t="str">
        <f>VLOOKUP(A29,'0919門市清單主檔'!B:V,21,FALSE)</f>
        <v>淡水區</v>
      </c>
      <c r="J29" s="209">
        <v>45730.628472222219</v>
      </c>
      <c r="K29" s="202"/>
      <c r="L29" s="202"/>
      <c r="M29" s="202"/>
      <c r="N29" s="202"/>
      <c r="O29" s="202"/>
      <c r="P29" s="196" t="s">
        <v>51</v>
      </c>
      <c r="Q29" s="206" t="s">
        <v>4109</v>
      </c>
    </row>
    <row r="30" spans="1:17" ht="19.5" customHeight="1">
      <c r="A30" s="201">
        <v>5101</v>
      </c>
      <c r="B30" s="201" t="str">
        <f>VLOOKUP(A30,門市主檔!A:B,2,FALSE)</f>
        <v>淡水小坪頂</v>
      </c>
      <c r="C30" s="279" t="str">
        <f>IF(COUNTIFS(IM!$F:$F,A30,IM!$AD:$AD,"O",IM!$X:$X,"&gt;="&amp;$R$1, IM!$X:$X,"&lt;"&amp;$R$2)&gt;0,"V","")</f>
        <v/>
      </c>
      <c r="D30" s="279" t="str">
        <f>IF(AND(C30&lt;&gt;"V", COUNTIFS(IM!$F:$F,A30, IM!$AD:$AD, "O", IM!$X:$X, "&gt;="&amp;$R$2, IM!$X:$X, "&lt;"&amp;$R$3)&gt;0), "V", "")</f>
        <v/>
      </c>
      <c r="E30" s="279" t="str">
        <f>IF(AND(C30&lt;&gt;"V",D30&lt;&gt;"V", COUNTIFS(IM!$F:$F, A30, IM!$AD:$AD, "O", IM!$X:$X, "&gt;="&amp;$R$3, IM!$X:$X, "&lt;"&amp;$R$4)&gt;0), "V", "")</f>
        <v/>
      </c>
      <c r="F30" s="201" t="str">
        <f t="shared" si="1"/>
        <v>未保養</v>
      </c>
      <c r="G30" s="201" t="str">
        <f>IF(VLOOKUP(A30,門市主檔!A:O,15,FALSE)="完工已補裝", "完工已補裝",
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淡水區</v>
      </c>
      <c r="J30" s="209">
        <v>45727.497916666667</v>
      </c>
      <c r="K30" s="202"/>
      <c r="L30" s="202"/>
      <c r="M30" s="202"/>
      <c r="N30" s="202"/>
      <c r="O30" s="202"/>
      <c r="P30" s="196"/>
      <c r="Q30" s="206" t="s">
        <v>4109</v>
      </c>
    </row>
    <row r="31" spans="1:17" ht="19.5" customHeight="1">
      <c r="A31" s="201">
        <v>4658</v>
      </c>
      <c r="B31" s="201" t="str">
        <f>VLOOKUP(A31,門市主檔!A:B,2,FALSE)</f>
        <v>淡水英才店</v>
      </c>
      <c r="C31" s="279" t="str">
        <f>IF(COUNTIFS(IM!$F:$F,A31,IM!$AD:$AD,"O",IM!$X:$X,"&gt;="&amp;$R$1, IM!$X:$X,"&lt;"&amp;$R$2)&gt;0,"V","")</f>
        <v/>
      </c>
      <c r="D31" s="279" t="str">
        <f>IF(AND(C31&lt;&gt;"V", COUNTIFS(IM!$F:$F,A31, IM!$AD:$AD, "O", IM!$X:$X, "&gt;="&amp;$R$2, IM!$X:$X, "&lt;"&amp;$R$3)&gt;0), "V", "")</f>
        <v/>
      </c>
      <c r="E31" s="279" t="str">
        <f>IF(AND(C31&lt;&gt;"V",D31&lt;&gt;"V", COUNTIFS(IM!$F:$F, A31, IM!$AD:$AD, "O", IM!$X:$X, "&gt;="&amp;$R$3, IM!$X:$X, "&lt;"&amp;$R$4)&gt;0), "V", "")</f>
        <v/>
      </c>
      <c r="F31" s="201" t="str">
        <f t="shared" si="1"/>
        <v>未保養</v>
      </c>
      <c r="G31" s="201" t="str">
        <f>IF(VLOOKUP(A31,門市主檔!A:O,15,FALSE)="完工已補裝", "完工已補裝",
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淡水區</v>
      </c>
      <c r="J31" s="209">
        <v>45723.629861111112</v>
      </c>
      <c r="K31" s="202"/>
      <c r="L31" s="202"/>
      <c r="M31" s="202"/>
      <c r="N31" s="202"/>
      <c r="O31" s="202"/>
      <c r="P31" s="196"/>
      <c r="Q31" s="206" t="s">
        <v>4109</v>
      </c>
    </row>
    <row r="32" spans="1:17" ht="19.5" customHeight="1">
      <c r="A32" s="201">
        <v>4529</v>
      </c>
      <c r="B32" s="201" t="str">
        <f>VLOOKUP(A32,門市主檔!A:B,2,FALSE)</f>
        <v>淡水新洲店</v>
      </c>
      <c r="C32" s="279" t="str">
        <f>IF(COUNTIFS(IM!$F:$F,A32,IM!$AD:$AD,"O",IM!$X:$X,"&gt;="&amp;$R$1, IM!$X:$X,"&lt;"&amp;$R$2)&gt;0,"V","")</f>
        <v/>
      </c>
      <c r="D32" s="279" t="str">
        <f>IF(AND(C32&lt;&gt;"V", COUNTIFS(IM!$F:$F,A32, IM!$AD:$AD, "O", IM!$X:$X, "&gt;="&amp;$R$2, IM!$X:$X, "&lt;"&amp;$R$3)&gt;0), "V", "")</f>
        <v>V</v>
      </c>
      <c r="E32" s="279" t="str">
        <f>IF(AND(C32&lt;&gt;"V",D32&lt;&gt;"V", COUNTIFS(IM!$F:$F, A32, IM!$AD:$AD, "O", IM!$X:$X, "&gt;="&amp;$R$3, IM!$X:$X, "&lt;"&amp;$R$4)&gt;0), "V", "")</f>
        <v/>
      </c>
      <c r="F32" s="201" t="str">
        <f t="shared" si="1"/>
        <v/>
      </c>
      <c r="G32" s="201" t="str">
        <f>IF(VLOOKUP(A32,門市主檔!A:O,15,FALSE)="完工已補裝", "完工已補裝",
IF(AND(VLOOKUP(A32,門市主檔!A:Z,26,FALSE)="STAR", VLOOKUP(A32,門市主檔!A:R,18,FALSE)=""),
    IF(OR(C32="V", D32="V", E32="V"), "已PM未更換", "未更換"),
    IF(VLOOKUP(A32,門市主檔!A:Z,26,FALSE)&lt;&gt;"STAR", "無專案", "已更換")
))</f>
        <v>已更換</v>
      </c>
      <c r="H32" s="263">
        <f>VLOOKUP(A32,門市主檔!A:V,22,FALSE)</f>
        <v>2</v>
      </c>
      <c r="I32" s="201" t="str">
        <f>VLOOKUP(A32,'0919門市清單主檔'!B:V,21,FALSE)</f>
        <v>淡水區</v>
      </c>
      <c r="J32" s="209">
        <v>45692.496527777781</v>
      </c>
      <c r="K32" s="202"/>
      <c r="L32" s="202"/>
      <c r="M32" s="202"/>
      <c r="N32" s="202"/>
      <c r="O32" s="202"/>
      <c r="P32" s="196" t="s">
        <v>51</v>
      </c>
      <c r="Q32" s="206" t="s">
        <v>4109</v>
      </c>
    </row>
    <row r="33" spans="1:17" ht="19.5" customHeight="1">
      <c r="A33" s="201">
        <v>4218</v>
      </c>
      <c r="B33" s="201" t="str">
        <f>VLOOKUP(A33,門市主檔!A:B,2,FALSE)</f>
        <v>蘆洲湧蓮店</v>
      </c>
      <c r="C33" s="279" t="str">
        <f>IF(COUNTIFS(IM!$F:$F,A33,IM!$AD:$AD,"O",IM!$X:$X,"&gt;="&amp;$R$1, IM!$X:$X,"&lt;"&amp;$R$2)&gt;0,"V","")</f>
        <v/>
      </c>
      <c r="D33" s="279" t="str">
        <f>IF(AND(C33&lt;&gt;"V", COUNTIFS(IM!$F:$F,A33, IM!$AD:$AD, "O", IM!$X:$X, "&gt;="&amp;$R$2, IM!$X:$X, "&lt;"&amp;$R$3)&gt;0), "V", "")</f>
        <v/>
      </c>
      <c r="E33" s="279" t="str">
        <f>IF(AND(C33&lt;&gt;"V",D33&lt;&gt;"V", COUNTIFS(IM!$F:$F, A33, IM!$AD:$AD, "O", IM!$X:$X, "&gt;="&amp;$R$3, IM!$X:$X, "&lt;"&amp;$R$4)&gt;0), "V", "")</f>
        <v/>
      </c>
      <c r="F33" s="201" t="str">
        <f t="shared" si="1"/>
        <v>未保養</v>
      </c>
      <c r="G33" s="201" t="str">
        <f>IF(VLOOKUP(A33,門市主檔!A:O,15,FALSE)="完工已補裝", "完工已補裝",
IF(AND(VLOOKUP(A33,門市主檔!A:Z,26,FALSE)="STAR", VLOOKUP(A33,門市主檔!A:R,18,FALSE)=""),
    IF(OR(C33="V", D33="V", E33="V"), "已PM未更換", "未更換"),
    IF(VLOOKUP(A33,門市主檔!A:Z,26,FALSE)&lt;&gt;"STAR", "無專案", "已更換")
))</f>
        <v>未更換</v>
      </c>
      <c r="H33" s="263">
        <f>VLOOKUP(A33,門市主檔!A:V,22,FALSE)</f>
        <v>1</v>
      </c>
      <c r="I33" s="201" t="str">
        <f>VLOOKUP(A33,'0919門市清單主檔'!B:V,21,FALSE)</f>
        <v>蘆洲區</v>
      </c>
      <c r="J33" s="209">
        <v>45721.678472222222</v>
      </c>
      <c r="K33" s="202"/>
      <c r="L33" s="202"/>
      <c r="M33" s="202"/>
      <c r="N33" s="202"/>
      <c r="O33" s="202"/>
      <c r="P33" s="196" t="s">
        <v>51</v>
      </c>
      <c r="Q33" s="206" t="s">
        <v>4109</v>
      </c>
    </row>
    <row r="34" spans="1:17" ht="19.5" customHeight="1">
      <c r="A34" s="201">
        <v>4125</v>
      </c>
      <c r="B34" s="201" t="str">
        <f>VLOOKUP(A34,門市主檔!A:B,2,FALSE)</f>
        <v>蘆洲長樂店</v>
      </c>
      <c r="C34" s="279" t="str">
        <f>IF(COUNTIFS(IM!$F:$F,A34,IM!$AD:$AD,"O",IM!$X:$X,"&gt;="&amp;$R$1, IM!$X:$X,"&lt;"&amp;$R$2)&gt;0,"V","")</f>
        <v/>
      </c>
      <c r="D34" s="279" t="str">
        <f>IF(AND(C34&lt;&gt;"V", COUNTIFS(IM!$F:$F,A34, IM!$AD:$AD, "O", IM!$X:$X, "&gt;="&amp;$R$2, IM!$X:$X, "&lt;"&amp;$R$3)&gt;0), "V", "")</f>
        <v/>
      </c>
      <c r="E34" s="279" t="str">
        <f>IF(AND(C34&lt;&gt;"V",D34&lt;&gt;"V", COUNTIFS(IM!$F:$F, A34, IM!$AD:$AD, "O", IM!$X:$X, "&gt;="&amp;$R$3, IM!$X:$X, "&lt;"&amp;$R$4)&gt;0), "V", "")</f>
        <v/>
      </c>
      <c r="F34" s="201" t="str">
        <f t="shared" si="1"/>
        <v>未保養</v>
      </c>
      <c r="G34" s="201" t="str">
        <f>IF(VLOOKUP(A34,門市主檔!A:O,15,FALSE)="完工已補裝", "完工已補裝",
IF(AND(VLOOKUP(A34,門市主檔!A:Z,26,FALSE)="STAR", VLOOKUP(A34,門市主檔!A:R,18,FALSE)=""),
    IF(OR(C34="V", D34="V", E34="V"), "已PM未更換", "未更換"),
    IF(VLOOKUP(A34,門市主檔!A:Z,26,FALSE)&lt;&gt;"STAR", "無專案", "已更換")
))</f>
        <v>未更換</v>
      </c>
      <c r="H34" s="263">
        <f>VLOOKUP(A34,門市主檔!A:V,22,FALSE)</f>
        <v>2</v>
      </c>
      <c r="I34" s="201" t="str">
        <f>VLOOKUP(A34,'0919門市清單主檔'!B:V,21,FALSE)</f>
        <v>蘆洲區</v>
      </c>
      <c r="J34" s="209">
        <v>45709.506944444445</v>
      </c>
      <c r="K34" s="202"/>
      <c r="L34" s="202"/>
      <c r="M34" s="202"/>
      <c r="N34" s="202"/>
      <c r="O34" s="202"/>
      <c r="P34" s="196"/>
      <c r="Q34" s="206" t="s">
        <v>4109</v>
      </c>
    </row>
    <row r="35" spans="1:17" ht="19.5" customHeight="1">
      <c r="A35" s="201">
        <v>4609</v>
      </c>
      <c r="B35" s="201" t="str">
        <f>VLOOKUP(A35,門市主檔!A:B,2,FALSE)</f>
        <v>蘆洲洲正店</v>
      </c>
      <c r="C35" s="279" t="str">
        <f>IF(COUNTIFS(IM!$F:$F,A35,IM!$AD:$AD,"O",IM!$X:$X,"&gt;="&amp;$R$1, IM!$X:$X,"&lt;"&amp;$R$2)&gt;0,"V","")</f>
        <v/>
      </c>
      <c r="D35" s="279" t="str">
        <f>IF(AND(C35&lt;&gt;"V", COUNTIFS(IM!$F:$F,A35, IM!$AD:$AD, "O", IM!$X:$X, "&gt;="&amp;$R$2, IM!$X:$X, "&lt;"&amp;$R$3)&gt;0), "V", "")</f>
        <v/>
      </c>
      <c r="E35" s="279" t="str">
        <f>IF(AND(C35&lt;&gt;"V",D35&lt;&gt;"V", COUNTIFS(IM!$F:$F, A35, IM!$AD:$AD, "O", IM!$X:$X, "&gt;="&amp;$R$3, IM!$X:$X, "&lt;"&amp;$R$4)&gt;0), "V", "")</f>
        <v/>
      </c>
      <c r="F35" s="201" t="str">
        <f t="shared" si="1"/>
        <v>未保養</v>
      </c>
      <c r="G35" s="201" t="str">
        <f>IF(VLOOKUP(A35,門市主檔!A:O,15,FALSE)="完工已補裝", "完工已補裝",
IF(AND(VLOOKUP(A35,門市主檔!A:Z,26,FALSE)="STAR", VLOOKUP(A35,門市主檔!A:R,18,FALSE)=""),
    IF(OR(C35="V", D35="V", E35="V"), "已PM未更換", "未更換"),
    IF(VLOOKUP(A35,門市主檔!A:Z,26,FALSE)&lt;&gt;"STAR", "無專案", "已更換")
))</f>
        <v>未更換</v>
      </c>
      <c r="H35" s="263">
        <f>VLOOKUP(A35,門市主檔!A:V,22,FALSE)</f>
        <v>2</v>
      </c>
      <c r="I35" s="201" t="str">
        <f>VLOOKUP(A35,'0919門市清單主檔'!B:V,21,FALSE)</f>
        <v>蘆洲區</v>
      </c>
      <c r="J35" s="209">
        <v>45709.600694444445</v>
      </c>
      <c r="K35" s="202"/>
      <c r="L35" s="202"/>
      <c r="M35" s="202"/>
      <c r="N35" s="202"/>
      <c r="O35" s="202"/>
      <c r="P35" s="196"/>
      <c r="Q35" s="206" t="s">
        <v>4109</v>
      </c>
    </row>
    <row r="36" spans="1:17" ht="19.5" customHeight="1">
      <c r="A36" s="201">
        <v>3452</v>
      </c>
      <c r="B36" s="201" t="str">
        <f>VLOOKUP(A36,門市主檔!A:B,2,FALSE)</f>
        <v>北縣蘆信店</v>
      </c>
      <c r="C36" s="279" t="str">
        <f>IF(COUNTIFS(IM!$F:$F,A36,IM!$AD:$AD,"O",IM!$X:$X,"&gt;="&amp;$R$1, IM!$X:$X,"&lt;"&amp;$R$2)&gt;0,"V","")</f>
        <v/>
      </c>
      <c r="D36" s="279" t="str">
        <f>IF(AND(C36&lt;&gt;"V", COUNTIFS(IM!$F:$F,A36, IM!$AD:$AD, "O", IM!$X:$X, "&gt;="&amp;$R$2, IM!$X:$X, "&lt;"&amp;$R$3)&gt;0), "V", "")</f>
        <v/>
      </c>
      <c r="E36" s="279" t="str">
        <f>IF(AND(C36&lt;&gt;"V",D36&lt;&gt;"V", COUNTIFS(IM!$F:$F, A36, IM!$AD:$AD, "O", IM!$X:$X, "&gt;="&amp;$R$3, IM!$X:$X, "&lt;"&amp;$R$4)&gt;0), "V", "")</f>
        <v/>
      </c>
      <c r="F36" s="201" t="str">
        <f t="shared" si="1"/>
        <v>未保養</v>
      </c>
      <c r="G36" s="201" t="str">
        <f>IF(VLOOKUP(A36,門市主檔!A:O,15,FALSE)="完工已補裝", "完工已補裝",
IF(AND(VLOOKUP(A36,門市主檔!A:Z,26,FALSE)="STAR", VLOOKUP(A36,門市主檔!A:R,18,FALSE)=""),
    IF(OR(C36="V", D36="V", E36="V"), "已PM未更換", "未更換"),
    IF(VLOOKUP(A36,門市主檔!A:Z,26,FALSE)&lt;&gt;"STAR", "無專案", "已更換")
))</f>
        <v>未更換</v>
      </c>
      <c r="H36" s="263">
        <f>VLOOKUP(A36,門市主檔!A:V,22,FALSE)</f>
        <v>2</v>
      </c>
      <c r="I36" s="201" t="str">
        <f>VLOOKUP(A36,'0919門市清單主檔'!B:V,21,FALSE)</f>
        <v>蘆洲區</v>
      </c>
      <c r="J36" s="209">
        <v>45720.671527777777</v>
      </c>
      <c r="K36" s="202"/>
      <c r="L36" s="202"/>
      <c r="M36" s="202"/>
      <c r="N36" s="202"/>
      <c r="O36" s="202"/>
      <c r="P36" s="196" t="s">
        <v>51</v>
      </c>
      <c r="Q36" s="206" t="s">
        <v>4109</v>
      </c>
    </row>
    <row r="37" spans="1:17" ht="19.5" customHeight="1">
      <c r="A37" s="201">
        <v>2890</v>
      </c>
      <c r="B37" s="201" t="str">
        <f>VLOOKUP(A37,門市主檔!A:B,2,FALSE)</f>
        <v>蘆洲鷺江店</v>
      </c>
      <c r="C37" s="279" t="str">
        <f>IF(COUNTIFS(IM!$F:$F,A37,IM!$AD:$AD,"O",IM!$X:$X,"&gt;="&amp;$R$1, IM!$X:$X,"&lt;"&amp;$R$2)&gt;0,"V","")</f>
        <v/>
      </c>
      <c r="D37" s="279" t="str">
        <f>IF(AND(C37&lt;&gt;"V", COUNTIFS(IM!$F:$F,A37, IM!$AD:$AD, "O", IM!$X:$X, "&gt;="&amp;$R$2, IM!$X:$X, "&lt;"&amp;$R$3)&gt;0), "V", "")</f>
        <v/>
      </c>
      <c r="E37" s="279" t="str">
        <f>IF(AND(C37&lt;&gt;"V",D37&lt;&gt;"V", COUNTIFS(IM!$F:$F, A37, IM!$AD:$AD, "O", IM!$X:$X, "&gt;="&amp;$R$3, IM!$X:$X, "&lt;"&amp;$R$4)&gt;0), "V", "")</f>
        <v/>
      </c>
      <c r="F37" s="201" t="str">
        <f t="shared" si="1"/>
        <v>未保養</v>
      </c>
      <c r="G37" s="201" t="str">
        <f>IF(VLOOKUP(A37,門市主檔!A:O,15,FALSE)="完工已補裝", "完工已補裝",
IF(AND(VLOOKUP(A37,門市主檔!A:Z,26,FALSE)="STAR", VLOOKUP(A37,門市主檔!A:R,18,FALSE)=""),
    IF(OR(C37="V", D37="V", E37="V"), "已PM未更換", "未更換"),
    IF(VLOOKUP(A37,門市主檔!A:Z,26,FALSE)&lt;&gt;"STAR", "無專案", "已更換")
))</f>
        <v>未更換</v>
      </c>
      <c r="H37" s="263">
        <f>VLOOKUP(A37,門市主檔!A:V,22,FALSE)</f>
        <v>2</v>
      </c>
      <c r="I37" s="201" t="str">
        <f>VLOOKUP(A37,'0919門市清單主檔'!B:V,21,FALSE)</f>
        <v>蘆洲區</v>
      </c>
      <c r="J37" s="209">
        <v>45705.520833333336</v>
      </c>
      <c r="K37" s="202"/>
      <c r="L37" s="202"/>
      <c r="M37" s="202"/>
      <c r="N37" s="202"/>
      <c r="O37" s="202"/>
      <c r="P37" s="196" t="s">
        <v>51</v>
      </c>
      <c r="Q37" s="206" t="s">
        <v>4109</v>
      </c>
    </row>
    <row r="38" spans="1:17" ht="19.5" customHeight="1">
      <c r="A38" s="201">
        <v>2958</v>
      </c>
      <c r="B38" s="201" t="str">
        <f>VLOOKUP(A38,門市主檔!A:B,2,FALSE)</f>
        <v>北縣蘆旺店</v>
      </c>
      <c r="C38" s="279" t="str">
        <f>IF(COUNTIFS(IM!$F:$F,A38,IM!$AD:$AD,"O",IM!$X:$X,"&gt;="&amp;$R$1, IM!$X:$X,"&lt;"&amp;$R$2)&gt;0,"V","")</f>
        <v/>
      </c>
      <c r="D38" s="279" t="str">
        <f>IF(AND(C38&lt;&gt;"V", COUNTIFS(IM!$F:$F,A38, IM!$AD:$AD, "O", IM!$X:$X, "&gt;="&amp;$R$2, IM!$X:$X, "&lt;"&amp;$R$3)&gt;0), "V", "")</f>
        <v/>
      </c>
      <c r="E38" s="279" t="str">
        <f>IF(AND(C38&lt;&gt;"V",D38&lt;&gt;"V", COUNTIFS(IM!$F:$F, A38, IM!$AD:$AD, "O", IM!$X:$X, "&gt;="&amp;$R$3, IM!$X:$X, "&lt;"&amp;$R$4)&gt;0), "V", "")</f>
        <v/>
      </c>
      <c r="F38" s="201" t="str">
        <f t="shared" si="1"/>
        <v>未保養</v>
      </c>
      <c r="G38" s="201" t="str">
        <f>IF(VLOOKUP(A38,門市主檔!A:O,15,FALSE)="完工已補裝", "完工已補裝",
IF(AND(VLOOKUP(A38,門市主檔!A:Z,26,FALSE)="STAR", VLOOKUP(A38,門市主檔!A:R,18,FALSE)=""),
    IF(OR(C38="V", D38="V", E38="V"), "已PM未更換", "未更換"),
    IF(VLOOKUP(A38,門市主檔!A:Z,26,FALSE)&lt;&gt;"STAR", "無專案", "已更換")
))</f>
        <v>未更換</v>
      </c>
      <c r="H38" s="263">
        <f>VLOOKUP(A38,門市主檔!A:V,22,FALSE)</f>
        <v>2</v>
      </c>
      <c r="I38" s="201" t="str">
        <f>VLOOKUP(A38,'0919門市清單主檔'!B:V,21,FALSE)</f>
        <v>蘆洲區</v>
      </c>
      <c r="J38" s="209">
        <v>45709.619444444441</v>
      </c>
      <c r="K38" s="202"/>
      <c r="L38" s="202"/>
      <c r="M38" s="202"/>
      <c r="N38" s="202"/>
      <c r="O38" s="202"/>
      <c r="P38" s="196" t="s">
        <v>51</v>
      </c>
      <c r="Q38" s="206" t="s">
        <v>4109</v>
      </c>
    </row>
    <row r="39" spans="1:17" ht="19.5" customHeight="1">
      <c r="A39" s="201">
        <v>3929</v>
      </c>
      <c r="B39" s="201" t="str">
        <f>VLOOKUP(A39,門市主檔!A:B,2,FALSE)</f>
        <v>蘆洲中山一</v>
      </c>
      <c r="C39" s="279" t="str">
        <f>IF(COUNTIFS(IM!$F:$F,A39,IM!$AD:$AD,"O",IM!$X:$X,"&gt;="&amp;$R$1, IM!$X:$X,"&lt;"&amp;$R$2)&gt;0,"V","")</f>
        <v/>
      </c>
      <c r="D39" s="279" t="str">
        <f>IF(AND(C39&lt;&gt;"V", COUNTIFS(IM!$F:$F,A39, IM!$AD:$AD, "O", IM!$X:$X, "&gt;="&amp;$R$2, IM!$X:$X, "&lt;"&amp;$R$3)&gt;0), "V", "")</f>
        <v/>
      </c>
      <c r="E39" s="279" t="str">
        <f>IF(AND(C39&lt;&gt;"V",D39&lt;&gt;"V", COUNTIFS(IM!$F:$F, A39, IM!$AD:$AD, "O", IM!$X:$X, "&gt;="&amp;$R$3, IM!$X:$X, "&lt;"&amp;$R$4)&gt;0), "V", "")</f>
        <v/>
      </c>
      <c r="F39" s="201" t="str">
        <f t="shared" ref="F39:F70" si="2">IF(COUNTBLANK(C39:E39)=3,"未保養","")</f>
        <v>未保養</v>
      </c>
      <c r="G39" s="201" t="str">
        <f>IF(VLOOKUP(A39,門市主檔!A:O,15,FALSE)="完工已補裝", "完工已補裝",
IF(AND(VLOOKUP(A39,門市主檔!A:Z,26,FALSE)="STAR", VLOOKUP(A39,門市主檔!A:R,18,FALSE)=""),
    IF(OR(C39="V", D39="V", E39="V"), "已PM未更換", "未更換"),
    IF(VLOOKUP(A39,門市主檔!A:Z,26,FALSE)&lt;&gt;"STAR", "無專案", "已更換")
))</f>
        <v>未更換</v>
      </c>
      <c r="H39" s="263">
        <f>VLOOKUP(A39,門市主檔!A:V,22,FALSE)</f>
        <v>1</v>
      </c>
      <c r="I39" s="201" t="str">
        <f>VLOOKUP(A39,'0919門市清單主檔'!B:V,21,FALSE)</f>
        <v>蘆洲區</v>
      </c>
      <c r="J39" s="209">
        <v>45721.706944444442</v>
      </c>
      <c r="K39" s="202"/>
      <c r="L39" s="202"/>
      <c r="M39" s="202"/>
      <c r="N39" s="202"/>
      <c r="O39" s="202"/>
      <c r="P39" s="196" t="s">
        <v>51</v>
      </c>
      <c r="Q39" s="206" t="s">
        <v>4109</v>
      </c>
    </row>
    <row r="40" spans="1:17" ht="19.5" customHeight="1">
      <c r="A40" s="201" t="s">
        <v>17</v>
      </c>
      <c r="B40" s="201" t="str">
        <f>VLOOKUP(A40,門市主檔!A:B,2,FALSE)</f>
        <v>蘆洲權義店</v>
      </c>
      <c r="C40" s="279" t="str">
        <f>IF(COUNTIFS(IM!$F:$F,A40,IM!$AD:$AD,"O",IM!$X:$X,"&gt;="&amp;$R$1, IM!$X:$X,"&lt;"&amp;$R$2)&gt;0,"V","")</f>
        <v/>
      </c>
      <c r="D40" s="279" t="str">
        <f>IF(AND(C40&lt;&gt;"V", COUNTIFS(IM!$F:$F,A40, IM!$AD:$AD, "O", IM!$X:$X, "&gt;="&amp;$R$2, IM!$X:$X, "&lt;"&amp;$R$3)&gt;0), "V", "")</f>
        <v/>
      </c>
      <c r="E40" s="279" t="str">
        <f>IF(AND(C40&lt;&gt;"V",D40&lt;&gt;"V", COUNTIFS(IM!$F:$F, A40, IM!$AD:$AD, "O", IM!$X:$X, "&gt;="&amp;$R$3, IM!$X:$X, "&lt;"&amp;$R$4)&gt;0), "V", "")</f>
        <v/>
      </c>
      <c r="F40" s="201" t="str">
        <f t="shared" si="2"/>
        <v>未保養</v>
      </c>
      <c r="G40" s="201" t="str">
        <f>IF(VLOOKUP(A40,門市主檔!A:O,15,FALSE)="完工已補裝", "完工已補裝",
IF(AND(VLOOKUP(A40,門市主檔!A:Z,26,FALSE)="STAR", VLOOKUP(A40,門市主檔!A:R,18,FALSE)=""),
    IF(OR(C40="V", D40="V", E40="V"), "已PM未更換", "未更換"),
    IF(VLOOKUP(A40,門市主檔!A:Z,26,FALSE)&lt;&gt;"STAR", "無專案", "已更換")
))</f>
        <v>未更換</v>
      </c>
      <c r="H40" s="263">
        <f>VLOOKUP(A40,門市主檔!A:V,22,FALSE)</f>
        <v>2</v>
      </c>
      <c r="I40" s="201" t="str">
        <f>VLOOKUP(A40,'0919門市清單主檔'!B:V,21,FALSE)</f>
        <v>蘆洲區</v>
      </c>
      <c r="J40" s="209">
        <v>45664.484027777777</v>
      </c>
      <c r="K40" s="202"/>
      <c r="L40" s="202"/>
      <c r="M40" s="202"/>
      <c r="N40" s="202"/>
      <c r="O40" s="202"/>
      <c r="P40" s="196"/>
      <c r="Q40" s="206" t="s">
        <v>4109</v>
      </c>
    </row>
    <row r="41" spans="1:17" ht="19.5" customHeight="1">
      <c r="A41" s="201">
        <v>4977</v>
      </c>
      <c r="B41" s="201" t="str">
        <f>VLOOKUP(A41,門市主檔!A:B,2,FALSE)</f>
        <v>三重初戀店</v>
      </c>
      <c r="C41" s="279" t="str">
        <f>IF(COUNTIFS(IM!$F:$F,A41,IM!$AD:$AD,"O",IM!$X:$X,"&gt;="&amp;$R$1, IM!$X:$X,"&lt;"&amp;$R$2)&gt;0,"V","")</f>
        <v/>
      </c>
      <c r="D41" s="279" t="str">
        <f>IF(AND(C41&lt;&gt;"V", COUNTIFS(IM!$F:$F,A41, IM!$AD:$AD, "O", IM!$X:$X, "&gt;="&amp;$R$2, IM!$X:$X, "&lt;"&amp;$R$3)&gt;0), "V", "")</f>
        <v>V</v>
      </c>
      <c r="E41" s="279" t="str">
        <f>IF(AND(C41&lt;&gt;"V",D41&lt;&gt;"V", COUNTIFS(IM!$F:$F, A41, IM!$AD:$AD, "O", IM!$X:$X, "&gt;="&amp;$R$3, IM!$X:$X, "&lt;"&amp;$R$4)&gt;0), "V", "")</f>
        <v/>
      </c>
      <c r="F41" s="201" t="str">
        <f t="shared" si="2"/>
        <v/>
      </c>
      <c r="G41" s="201" t="str">
        <f>IF(VLOOKUP(A41,門市主檔!A:O,15,FALSE)="完工已補裝", "完工已補裝",
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三重區</v>
      </c>
      <c r="J41" s="209">
        <v>45691.67083333333</v>
      </c>
      <c r="K41" s="202"/>
      <c r="L41" s="202"/>
      <c r="M41" s="202"/>
      <c r="N41" s="202"/>
      <c r="O41" s="202"/>
      <c r="P41" s="196" t="s">
        <v>51</v>
      </c>
      <c r="Q41" s="206" t="s">
        <v>4109</v>
      </c>
    </row>
    <row r="42" spans="1:17" ht="19.5" customHeight="1">
      <c r="A42" s="201" t="s">
        <v>22</v>
      </c>
      <c r="B42" s="201" t="str">
        <f>VLOOKUP(A42,門市主檔!A:B,2,FALSE)</f>
        <v>三重中興北</v>
      </c>
      <c r="C42" s="279" t="str">
        <f>IF(COUNTIFS(IM!$F:$F,A42,IM!$AD:$AD,"O",IM!$X:$X,"&gt;="&amp;$R$1, IM!$X:$X,"&lt;"&amp;$R$2)&gt;0,"V","")</f>
        <v/>
      </c>
      <c r="D42" s="279" t="str">
        <f>IF(AND(C42&lt;&gt;"V", COUNTIFS(IM!$F:$F,A42, IM!$AD:$AD, "O", IM!$X:$X, "&gt;="&amp;$R$2, IM!$X:$X, "&lt;"&amp;$R$3)&gt;0), "V", "")</f>
        <v>V</v>
      </c>
      <c r="E42" s="279" t="str">
        <f>IF(AND(C42&lt;&gt;"V",D42&lt;&gt;"V", COUNTIFS(IM!$F:$F, A42, IM!$AD:$AD, "O", IM!$X:$X, "&gt;="&amp;$R$3, IM!$X:$X, "&lt;"&amp;$R$4)&gt;0), "V", "")</f>
        <v/>
      </c>
      <c r="F42" s="201" t="str">
        <f t="shared" si="2"/>
        <v/>
      </c>
      <c r="G42" s="201" t="str">
        <f>IF(VLOOKUP(A42,門市主檔!A:O,15,FALSE)="完工已補裝", "完工已補裝",
IF(AND(VLOOKUP(A42,門市主檔!A:Z,26,FALSE)="STAR", VLOOKUP(A42,門市主檔!A:R,18,FALSE)=""),
    IF(OR(C42="V", D42="V", E42="V"), "已PM未更換", "未更換"),
    IF(VLOOKUP(A42,門市主檔!A:Z,26,FALSE)&lt;&gt;"STAR", "無專案", "已更換")
))</f>
        <v>已更換</v>
      </c>
      <c r="H42" s="263">
        <f>VLOOKUP(A42,門市主檔!A:V,22,FALSE)</f>
        <v>1</v>
      </c>
      <c r="I42" s="201" t="str">
        <f>VLOOKUP(A42,'0919門市清單主檔'!B:V,21,FALSE)</f>
        <v>三重區</v>
      </c>
      <c r="J42" s="209">
        <v>45695.611805555556</v>
      </c>
      <c r="K42" s="202"/>
      <c r="L42" s="202"/>
      <c r="M42" s="202"/>
      <c r="N42" s="202"/>
      <c r="O42" s="202"/>
      <c r="P42" s="196" t="s">
        <v>51</v>
      </c>
      <c r="Q42" s="206" t="s">
        <v>4109</v>
      </c>
    </row>
    <row r="43" spans="1:17" ht="19.5" customHeight="1">
      <c r="A43" s="201">
        <v>4844</v>
      </c>
      <c r="B43" s="201" t="str">
        <f>VLOOKUP(A43,門市主檔!A:B,2,FALSE)</f>
        <v>三芝天涯店</v>
      </c>
      <c r="C43" s="279" t="str">
        <f>IF(COUNTIFS(IM!$F:$F,A43,IM!$AD:$AD,"O",IM!$X:$X,"&gt;="&amp;$R$1, IM!$X:$X,"&lt;"&amp;$R$2)&gt;0,"V","")</f>
        <v/>
      </c>
      <c r="D43" s="279" t="str">
        <f>IF(AND(C43&lt;&gt;"V", COUNTIFS(IM!$F:$F,A43, IM!$AD:$AD, "O", IM!$X:$X, "&gt;="&amp;$R$2, IM!$X:$X, "&lt;"&amp;$R$3)&gt;0), "V", "")</f>
        <v>V</v>
      </c>
      <c r="E43" s="279" t="str">
        <f>IF(AND(C43&lt;&gt;"V",D43&lt;&gt;"V", COUNTIFS(IM!$F:$F, A43, IM!$AD:$AD, "O", IM!$X:$X, "&gt;="&amp;$R$3, IM!$X:$X, "&lt;"&amp;$R$4)&gt;0), "V", "")</f>
        <v/>
      </c>
      <c r="F43" s="201" t="str">
        <f t="shared" si="2"/>
        <v/>
      </c>
      <c r="G43" s="201" t="str">
        <f>IF(VLOOKUP(A43,門市主檔!A:O,15,FALSE)="完工已補裝", "完工已補裝",
IF(AND(VLOOKUP(A43,門市主檔!A:Z,26,FALSE)="STAR", VLOOKUP(A43,門市主檔!A:R,18,FALSE)=""),
    IF(OR(C43="V", D43="V", E43="V"), "已PM未更換", "未更換"),
    IF(VLOOKUP(A43,門市主檔!A:Z,26,FALSE)&lt;&gt;"STAR", "無專案", "已更換")
))</f>
        <v>無專案</v>
      </c>
      <c r="H43" s="263">
        <f>VLOOKUP(A43,門市主檔!A:V,22,FALSE)</f>
        <v>0</v>
      </c>
      <c r="I43" s="201" t="str">
        <f>VLOOKUP(A43,'0919門市清單主檔'!B:V,21,FALSE)</f>
        <v>三芝區</v>
      </c>
      <c r="J43" s="209">
        <v>45692.668749999997</v>
      </c>
      <c r="K43" s="202"/>
      <c r="L43" s="202"/>
      <c r="M43" s="202"/>
      <c r="N43" s="202"/>
      <c r="O43" s="202"/>
      <c r="P43" s="196" t="s">
        <v>51</v>
      </c>
      <c r="Q43" s="206" t="s">
        <v>4109</v>
      </c>
    </row>
    <row r="44" spans="1:17" ht="19.5" customHeight="1">
      <c r="A44" s="201">
        <v>4352</v>
      </c>
      <c r="B44" s="201" t="str">
        <f>VLOOKUP(A44,門市主檔!A:B,2,FALSE)</f>
        <v>三重公園店</v>
      </c>
      <c r="C44" s="279" t="str">
        <f>IF(COUNTIFS(IM!$F:$F,A44,IM!$AD:$AD,"O",IM!$X:$X,"&gt;="&amp;$R$1, IM!$X:$X,"&lt;"&amp;$R$2)&gt;0,"V","")</f>
        <v/>
      </c>
      <c r="D44" s="279" t="str">
        <f>IF(AND(C44&lt;&gt;"V", COUNTIFS(IM!$F:$F,A44, IM!$AD:$AD, "O", IM!$X:$X, "&gt;="&amp;$R$2, IM!$X:$X, "&lt;"&amp;$R$3)&gt;0), "V", "")</f>
        <v>V</v>
      </c>
      <c r="E44" s="279" t="str">
        <f>IF(AND(C44&lt;&gt;"V",D44&lt;&gt;"V", COUNTIFS(IM!$F:$F, A44, IM!$AD:$AD, "O", IM!$X:$X, "&gt;="&amp;$R$3, IM!$X:$X, "&lt;"&amp;$R$4)&gt;0), "V", "")</f>
        <v/>
      </c>
      <c r="F44" s="201" t="str">
        <f t="shared" si="2"/>
        <v/>
      </c>
      <c r="G44" s="201"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63">
        <f>VLOOKUP(A44,門市主檔!A:V,22,FALSE)</f>
        <v>2</v>
      </c>
      <c r="I44" s="201" t="str">
        <f>VLOOKUP(A44,'0919門市清單主檔'!B:V,21,FALSE)</f>
        <v>三重區</v>
      </c>
      <c r="J44" s="209">
        <v>45719.584027777775</v>
      </c>
      <c r="K44" s="196"/>
      <c r="L44" s="196"/>
      <c r="M44" s="196"/>
      <c r="N44" s="196"/>
      <c r="O44" s="196"/>
      <c r="P44" s="196" t="s">
        <v>51</v>
      </c>
      <c r="Q44" s="206" t="s">
        <v>4109</v>
      </c>
    </row>
    <row r="45" spans="1:17" ht="19.5" customHeight="1">
      <c r="A45" s="201">
        <v>2303</v>
      </c>
      <c r="B45" s="201" t="str">
        <f>VLOOKUP(A45,門市主檔!A:B,2,FALSE)</f>
        <v>三重三和夜市</v>
      </c>
      <c r="C45" s="279" t="str">
        <f>IF(COUNTIFS(IM!$F:$F,A45,IM!$AD:$AD,"O",IM!$X:$X,"&gt;="&amp;$R$1, IM!$X:$X,"&lt;"&amp;$R$2)&gt;0,"V","")</f>
        <v/>
      </c>
      <c r="D45" s="279" t="str">
        <f>IF(AND(C45&lt;&gt;"V", COUNTIFS(IM!$F:$F,A45, IM!$AD:$AD, "O", IM!$X:$X, "&gt;="&amp;$R$2, IM!$X:$X, "&lt;"&amp;$R$3)&gt;0), "V", "")</f>
        <v>V</v>
      </c>
      <c r="E45" s="279" t="str">
        <f>IF(AND(C45&lt;&gt;"V",D45&lt;&gt;"V", COUNTIFS(IM!$F:$F, A45, IM!$AD:$AD, "O", IM!$X:$X, "&gt;="&amp;$R$3, IM!$X:$X, "&lt;"&amp;$R$4)&gt;0), "V", "")</f>
        <v/>
      </c>
      <c r="F45" s="201" t="str">
        <f t="shared" si="2"/>
        <v/>
      </c>
      <c r="G45" s="201"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63">
        <f>VLOOKUP(A45,門市主檔!A:V,22,FALSE)</f>
        <v>2</v>
      </c>
      <c r="I45" s="201" t="str">
        <f>VLOOKUP(A45,'0919門市清單主檔'!B:V,21,FALSE)</f>
        <v>三重區</v>
      </c>
      <c r="J45" s="209">
        <v>45720.458333333336</v>
      </c>
      <c r="K45" s="202"/>
      <c r="L45" s="202"/>
      <c r="M45" s="202"/>
      <c r="N45" s="202"/>
      <c r="O45" s="202"/>
      <c r="P45" s="196" t="s">
        <v>51</v>
      </c>
      <c r="Q45" s="206" t="s">
        <v>4109</v>
      </c>
    </row>
    <row r="46" spans="1:17" ht="19.5" customHeight="1">
      <c r="A46" s="201">
        <v>2042</v>
      </c>
      <c r="B46" s="201" t="str">
        <f>VLOOKUP(A46,門市主檔!A:B,2,FALSE)</f>
        <v>三重中央北店</v>
      </c>
      <c r="C46" s="279" t="str">
        <f>IF(COUNTIFS(IM!$F:$F,A46,IM!$AD:$AD,"O",IM!$X:$X,"&gt;="&amp;$R$1, IM!$X:$X,"&lt;"&amp;$R$2)&gt;0,"V","")</f>
        <v/>
      </c>
      <c r="D46" s="279" t="str">
        <f>IF(AND(C46&lt;&gt;"V", COUNTIFS(IM!$F:$F,A46, IM!$AD:$AD, "O", IM!$X:$X, "&gt;="&amp;$R$2, IM!$X:$X, "&lt;"&amp;$R$3)&gt;0), "V", "")</f>
        <v>V</v>
      </c>
      <c r="E46" s="279" t="str">
        <f>IF(AND(C46&lt;&gt;"V",D46&lt;&gt;"V", COUNTIFS(IM!$F:$F, A46, IM!$AD:$AD, "O", IM!$X:$X, "&gt;="&amp;$R$3, IM!$X:$X, "&lt;"&amp;$R$4)&gt;0), "V", "")</f>
        <v/>
      </c>
      <c r="F46" s="201" t="str">
        <f t="shared" si="2"/>
        <v/>
      </c>
      <c r="G46" s="201"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三重區</v>
      </c>
      <c r="J46" s="209">
        <v>45701.588194444441</v>
      </c>
      <c r="K46" s="202"/>
      <c r="L46" s="202"/>
      <c r="M46" s="202"/>
      <c r="N46" s="202"/>
      <c r="O46" s="202"/>
      <c r="P46" s="196" t="s">
        <v>51</v>
      </c>
      <c r="Q46" s="206" t="s">
        <v>4109</v>
      </c>
    </row>
    <row r="47" spans="1:17" ht="19.5" customHeight="1">
      <c r="A47" s="201">
        <v>4397</v>
      </c>
      <c r="B47" s="201" t="str">
        <f>VLOOKUP(A47,門市主檔!A:B,2,FALSE)</f>
        <v>三重仁旺店</v>
      </c>
      <c r="C47" s="279" t="str">
        <f>IF(COUNTIFS(IM!$F:$F,A47,IM!$AD:$AD,"O",IM!$X:$X,"&gt;="&amp;$R$1, IM!$X:$X,"&lt;"&amp;$R$2)&gt;0,"V","")</f>
        <v/>
      </c>
      <c r="D47" s="279" t="str">
        <f>IF(AND(C47&lt;&gt;"V", COUNTIFS(IM!$F:$F,A47, IM!$AD:$AD, "O", IM!$X:$X, "&gt;="&amp;$R$2, IM!$X:$X, "&lt;"&amp;$R$3)&gt;0), "V", "")</f>
        <v>V</v>
      </c>
      <c r="E47" s="279" t="str">
        <f>IF(AND(C47&lt;&gt;"V",D47&lt;&gt;"V", COUNTIFS(IM!$F:$F, A47, IM!$AD:$AD, "O", IM!$X:$X, "&gt;="&amp;$R$3, IM!$X:$X, "&lt;"&amp;$R$4)&gt;0), "V", "")</f>
        <v/>
      </c>
      <c r="F47" s="201" t="str">
        <f t="shared" si="2"/>
        <v/>
      </c>
      <c r="G47" s="201"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63">
        <f>VLOOKUP(A47,門市主檔!A:V,22,FALSE)</f>
        <v>2</v>
      </c>
      <c r="I47" s="201" t="str">
        <f>VLOOKUP(A47,'0919門市清單主檔'!B:V,21,FALSE)</f>
        <v>三重區</v>
      </c>
      <c r="J47" s="209">
        <v>45670.512499999997</v>
      </c>
      <c r="K47" s="202"/>
      <c r="L47" s="202"/>
      <c r="M47" s="202"/>
      <c r="N47" s="202"/>
      <c r="O47" s="202"/>
      <c r="P47" s="196" t="s">
        <v>51</v>
      </c>
      <c r="Q47" s="206" t="s">
        <v>4109</v>
      </c>
    </row>
    <row r="48" spans="1:17" ht="19.5" customHeight="1">
      <c r="A48" s="201" t="s">
        <v>23</v>
      </c>
      <c r="B48" s="201" t="str">
        <f>VLOOKUP(A48,門市主檔!A:B,2,FALSE)</f>
        <v>三重中興北二</v>
      </c>
      <c r="C48" s="279" t="str">
        <f>IF(COUNTIFS(IM!$F:$F,A48,IM!$AD:$AD,"O",IM!$X:$X,"&gt;="&amp;$R$1, IM!$X:$X,"&lt;"&amp;$R$2)&gt;0,"V","")</f>
        <v/>
      </c>
      <c r="D48" s="279" t="str">
        <f>IF(AND(C48&lt;&gt;"V", COUNTIFS(IM!$F:$F,A48, IM!$AD:$AD, "O", IM!$X:$X, "&gt;="&amp;$R$2, IM!$X:$X, "&lt;"&amp;$R$3)&gt;0), "V", "")</f>
        <v>V</v>
      </c>
      <c r="E48" s="279" t="str">
        <f>IF(AND(C48&lt;&gt;"V",D48&lt;&gt;"V", COUNTIFS(IM!$F:$F, A48, IM!$AD:$AD, "O", IM!$X:$X, "&gt;="&amp;$R$3, IM!$X:$X, "&lt;"&amp;$R$4)&gt;0), "V", "")</f>
        <v/>
      </c>
      <c r="F48" s="201" t="str">
        <f t="shared" si="2"/>
        <v/>
      </c>
      <c r="G48" s="201"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74">
        <f>VLOOKUP(A48,門市主檔!A:V,22,FALSE)</f>
        <v>2</v>
      </c>
      <c r="I48" s="201" t="str">
        <f>VLOOKUP(A48,'0919門市清單主檔'!B:V,21,FALSE)</f>
        <v>三重區</v>
      </c>
      <c r="J48" s="209">
        <v>45695.630555555559</v>
      </c>
      <c r="K48" s="202"/>
      <c r="L48" s="202"/>
      <c r="M48" s="202"/>
      <c r="N48" s="202"/>
      <c r="O48" s="202"/>
      <c r="P48" s="196"/>
      <c r="Q48" s="206" t="s">
        <v>4109</v>
      </c>
    </row>
    <row r="49" spans="1:17" ht="19.5" customHeight="1">
      <c r="A49" s="201">
        <v>4923</v>
      </c>
      <c r="B49" s="201" t="str">
        <f>VLOOKUP(A49,門市主檔!A:B,2,FALSE)</f>
        <v>蘆洲永平店</v>
      </c>
      <c r="C49" s="279" t="str">
        <f>IF(COUNTIFS(IM!$F:$F,A49,IM!$AD:$AD,"O",IM!$X:$X,"&gt;="&amp;$R$1, IM!$X:$X,"&lt;"&amp;$R$2)&gt;0,"V","")</f>
        <v/>
      </c>
      <c r="D49" s="279" t="str">
        <f>IF(AND(C49&lt;&gt;"V", COUNTIFS(IM!$F:$F,A49, IM!$AD:$AD, "O", IM!$X:$X, "&gt;="&amp;$R$2, IM!$X:$X, "&lt;"&amp;$R$3)&gt;0), "V", "")</f>
        <v>V</v>
      </c>
      <c r="E49" s="279" t="str">
        <f>IF(AND(C49&lt;&gt;"V",D49&lt;&gt;"V", COUNTIFS(IM!$F:$F, A49, IM!$AD:$AD, "O", IM!$X:$X, "&gt;="&amp;$R$3, IM!$X:$X, "&lt;"&amp;$R$4)&gt;0), "V", "")</f>
        <v/>
      </c>
      <c r="F49" s="201" t="str">
        <f t="shared" si="2"/>
        <v/>
      </c>
      <c r="G49" s="201"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63">
        <f>VLOOKUP(A49,門市主檔!A:V,22,FALSE)</f>
        <v>1</v>
      </c>
      <c r="I49" s="201" t="str">
        <f>VLOOKUP(A49,'0919門市清單主檔'!B:V,21,FALSE)</f>
        <v>蘆洲區</v>
      </c>
      <c r="J49" s="209">
        <v>45706.719444444447</v>
      </c>
      <c r="K49" s="202"/>
      <c r="L49" s="202"/>
      <c r="M49" s="202"/>
      <c r="N49" s="202"/>
      <c r="O49" s="202"/>
      <c r="P49" s="196"/>
      <c r="Q49" s="206" t="s">
        <v>4109</v>
      </c>
    </row>
    <row r="50" spans="1:17" ht="19.5" customHeight="1">
      <c r="A50" s="201">
        <v>4036</v>
      </c>
      <c r="B50" s="201" t="str">
        <f>VLOOKUP(A50,門市主檔!A:B,2,FALSE)</f>
        <v>蘆洲永樂店</v>
      </c>
      <c r="C50" s="279" t="str">
        <f>IF(COUNTIFS(IM!$F:$F,A50,IM!$AD:$AD,"O",IM!$X:$X,"&gt;="&amp;$R$1, IM!$X:$X,"&lt;"&amp;$R$2)&gt;0,"V","")</f>
        <v/>
      </c>
      <c r="D50" s="279" t="str">
        <f>IF(AND(C50&lt;&gt;"V", COUNTIFS(IM!$F:$F,A50, IM!$AD:$AD, "O", IM!$X:$X, "&gt;="&amp;$R$2, IM!$X:$X, "&lt;"&amp;$R$3)&gt;0), "V", "")</f>
        <v>V</v>
      </c>
      <c r="E50" s="279" t="str">
        <f>IF(AND(C50&lt;&gt;"V",D50&lt;&gt;"V", COUNTIFS(IM!$F:$F, A50, IM!$AD:$AD, "O", IM!$X:$X, "&gt;="&amp;$R$3, IM!$X:$X, "&lt;"&amp;$R$4)&gt;0), "V", "")</f>
        <v/>
      </c>
      <c r="F50" s="201" t="str">
        <f t="shared" si="2"/>
        <v/>
      </c>
      <c r="G50" s="201"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63">
        <f>VLOOKUP(A50,門市主檔!A:V,22,FALSE)</f>
        <v>1</v>
      </c>
      <c r="I50" s="201" t="str">
        <f>VLOOKUP(A50,'0919門市清單主檔'!B:V,21,FALSE)</f>
        <v>蘆洲區</v>
      </c>
      <c r="J50" s="209">
        <v>45663.603472222225</v>
      </c>
      <c r="K50" s="202"/>
      <c r="L50" s="202"/>
      <c r="M50" s="202"/>
      <c r="N50" s="202"/>
      <c r="O50" s="202"/>
      <c r="P50" s="196" t="s">
        <v>51</v>
      </c>
      <c r="Q50" s="206" t="s">
        <v>4109</v>
      </c>
    </row>
    <row r="51" spans="1:17" ht="19.5" customHeight="1">
      <c r="A51" s="201">
        <v>2301</v>
      </c>
      <c r="B51" s="201" t="str">
        <f>VLOOKUP(A51,門市主檔!A:B,2,FALSE)</f>
        <v>蘆洲樂平店</v>
      </c>
      <c r="C51" s="279" t="str">
        <f>IF(COUNTIFS(IM!$F:$F,A51,IM!$AD:$AD,"O",IM!$X:$X,"&gt;="&amp;$R$1, IM!$X:$X,"&lt;"&amp;$R$2)&gt;0,"V","")</f>
        <v/>
      </c>
      <c r="D51" s="279" t="str">
        <f>IF(AND(C51&lt;&gt;"V", COUNTIFS(IM!$F:$F,A51, IM!$AD:$AD, "O", IM!$X:$X, "&gt;="&amp;$R$2, IM!$X:$X, "&lt;"&amp;$R$3)&gt;0), "V", "")</f>
        <v>V</v>
      </c>
      <c r="E51" s="279" t="str">
        <f>IF(AND(C51&lt;&gt;"V",D51&lt;&gt;"V", COUNTIFS(IM!$F:$F, A51, IM!$AD:$AD, "O", IM!$X:$X, "&gt;="&amp;$R$3, IM!$X:$X, "&lt;"&amp;$R$4)&gt;0), "V", "")</f>
        <v/>
      </c>
      <c r="F51" s="201" t="str">
        <f t="shared" si="2"/>
        <v/>
      </c>
      <c r="G51" s="201"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63">
        <f>VLOOKUP(A51,門市主檔!A:V,22,FALSE)</f>
        <v>2</v>
      </c>
      <c r="I51" s="201" t="str">
        <f>VLOOKUP(A51,'0919門市清單主檔'!B:V,21,FALSE)</f>
        <v>蘆洲區</v>
      </c>
      <c r="J51" s="209">
        <v>45664.546527777777</v>
      </c>
      <c r="K51" s="202"/>
      <c r="L51" s="202"/>
      <c r="M51" s="202"/>
      <c r="N51" s="202"/>
      <c r="O51" s="202"/>
      <c r="P51" s="196"/>
      <c r="Q51" s="206" t="s">
        <v>4109</v>
      </c>
    </row>
    <row r="52" spans="1:17" ht="19.5" customHeight="1">
      <c r="A52" s="201">
        <v>2897</v>
      </c>
      <c r="B52" s="201" t="str">
        <f>VLOOKUP(A52,門市主檔!A:B,2,FALSE)</f>
        <v>淡水台電宿舍</v>
      </c>
      <c r="C52" s="279" t="str">
        <f>IF(COUNTIFS(IM!$F:$F,A52,IM!$AD:$AD,"O",IM!$X:$X,"&gt;="&amp;$R$1, IM!$X:$X,"&lt;"&amp;$R$2)&gt;0,"V","")</f>
        <v>V</v>
      </c>
      <c r="D52" s="279" t="str">
        <f>IF(AND(C52&lt;&gt;"V", COUNTIFS(IM!$F:$F,A52, IM!$AD:$AD, "O", IM!$X:$X, "&gt;="&amp;$R$2, IM!$X:$X, "&lt;"&amp;$R$3)&gt;0), "V", "")</f>
        <v/>
      </c>
      <c r="E52" s="279" t="str">
        <f>IF(AND(C52&lt;&gt;"V",D52&lt;&gt;"V", COUNTIFS(IM!$F:$F, A52, IM!$AD:$AD, "O", IM!$X:$X, "&gt;="&amp;$R$3, IM!$X:$X, "&lt;"&amp;$R$4)&gt;0), "V", "")</f>
        <v/>
      </c>
      <c r="F52" s="201" t="str">
        <f t="shared" si="2"/>
        <v/>
      </c>
      <c r="G52" s="201" t="str">
        <f>IF(VLOOKUP(A52,門市主檔!A:O,15,FALSE)="完工已補裝", "完工已補裝",
IF(AND(VLOOKUP(A52,門市主檔!A:Z,26,FALSE)="STAR", VLOOKUP(A52,門市主檔!A:R,18,FALSE)=""),
    IF(OR(C52="V", D52="V", E52="V"), "已PM未更換", "未更換"),
    IF(VLOOKUP(A52,門市主檔!A:Z,26,FALSE)&lt;&gt;"STAR", "無專案", "已更換")
))</f>
        <v>已更換</v>
      </c>
      <c r="H52" s="263">
        <f>VLOOKUP(A52,門市主檔!A:V,22,FALSE)</f>
        <v>2</v>
      </c>
      <c r="I52" s="201" t="str">
        <f>VLOOKUP(A52,'0919門市清單主檔'!B:V,21,FALSE)</f>
        <v>淡水區</v>
      </c>
      <c r="J52" s="209">
        <v>45730.512499999997</v>
      </c>
      <c r="K52" s="202"/>
      <c r="L52" s="202"/>
      <c r="M52" s="202"/>
      <c r="N52" s="202"/>
      <c r="O52" s="202"/>
      <c r="P52" s="196"/>
      <c r="Q52" s="206" t="s">
        <v>4109</v>
      </c>
    </row>
    <row r="53" spans="1:17" ht="19.5" customHeight="1">
      <c r="A53" s="201">
        <v>2318</v>
      </c>
      <c r="B53" s="201" t="str">
        <f>VLOOKUP(A53,門市主檔!A:B,2,FALSE)</f>
        <v>北縣淡俊店</v>
      </c>
      <c r="C53" s="279" t="str">
        <f>IF(COUNTIFS(IM!$F:$F,A53,IM!$AD:$AD,"O",IM!$X:$X,"&gt;="&amp;$R$1, IM!$X:$X,"&lt;"&amp;$R$2)&gt;0,"V","")</f>
        <v>V</v>
      </c>
      <c r="D53" s="279" t="str">
        <f>IF(AND(C53&lt;&gt;"V", COUNTIFS(IM!$F:$F,A53, IM!$AD:$AD, "O", IM!$X:$X, "&gt;="&amp;$R$2, IM!$X:$X, "&lt;"&amp;$R$3)&gt;0), "V", "")</f>
        <v/>
      </c>
      <c r="E53" s="279" t="str">
        <f>IF(AND(C53&lt;&gt;"V",D53&lt;&gt;"V", COUNTIFS(IM!$F:$F, A53, IM!$AD:$AD, "O", IM!$X:$X, "&gt;="&amp;$R$3, IM!$X:$X, "&lt;"&amp;$R$4)&gt;0), "V", "")</f>
        <v/>
      </c>
      <c r="F53" s="201" t="str">
        <f t="shared" si="2"/>
        <v/>
      </c>
      <c r="G53" s="201" t="str">
        <f>IF(VLOOKUP(A53,門市主檔!A:O,15,FALSE)="完工已補裝", "完工已補裝",
IF(AND(VLOOKUP(A53,門市主檔!A:Z,26,FALSE)="STAR", VLOOKUP(A53,門市主檔!A:R,18,FALSE)=""),
    IF(OR(C53="V", D53="V", E53="V"), "已PM未更換", "未更換"),
    IF(VLOOKUP(A53,門市主檔!A:Z,26,FALSE)&lt;&gt;"STAR", "無專案", "已更換")
))</f>
        <v>已更換</v>
      </c>
      <c r="H53" s="263">
        <f>VLOOKUP(A53,門市主檔!A:V,22,FALSE)</f>
        <v>1</v>
      </c>
      <c r="I53" s="201" t="str">
        <f>VLOOKUP(A53,'0919門市清單主檔'!B:V,21,FALSE)</f>
        <v>淡水區</v>
      </c>
      <c r="J53" s="209">
        <v>45700.472916666666</v>
      </c>
      <c r="K53" s="202"/>
      <c r="L53" s="202"/>
      <c r="M53" s="202"/>
      <c r="N53" s="202"/>
      <c r="O53" s="202"/>
      <c r="P53" s="196" t="s">
        <v>51</v>
      </c>
      <c r="Q53" s="206" t="s">
        <v>4109</v>
      </c>
    </row>
    <row r="54" spans="1:17" ht="19.5" customHeight="1">
      <c r="A54" s="201">
        <v>5080</v>
      </c>
      <c r="B54" s="201" t="str">
        <f>VLOOKUP(A54,門市主檔!A:B,2,FALSE)</f>
        <v>三芝楓愛林</v>
      </c>
      <c r="C54" s="279" t="str">
        <f>IF(COUNTIFS(IM!$F:$F,A54,IM!$AD:$AD,"O",IM!$X:$X,"&gt;="&amp;$R$1, IM!$X:$X,"&lt;"&amp;$R$2)&gt;0,"V","")</f>
        <v/>
      </c>
      <c r="D54" s="279" t="str">
        <f>IF(AND(C54&lt;&gt;"V", COUNTIFS(IM!$F:$F,A54, IM!$AD:$AD, "O", IM!$X:$X, "&gt;="&amp;$R$2, IM!$X:$X, "&lt;"&amp;$R$3)&gt;0), "V", "")</f>
        <v>V</v>
      </c>
      <c r="E54" s="279" t="str">
        <f>IF(AND(C54&lt;&gt;"V",D54&lt;&gt;"V", COUNTIFS(IM!$F:$F, A54, IM!$AD:$AD, "O", IM!$X:$X, "&gt;="&amp;$R$3, IM!$X:$X, "&lt;"&amp;$R$4)&gt;0), "V", "")</f>
        <v/>
      </c>
      <c r="F54" s="201" t="str">
        <f t="shared" si="2"/>
        <v/>
      </c>
      <c r="G54" s="201" t="str">
        <f>IF(VLOOKUP(A54,門市主檔!A:O,15,FALSE)="完工已補裝", "完工已補裝",
IF(AND(VLOOKUP(A54,門市主檔!A:Z,26,FALSE)="STAR", VLOOKUP(A54,門市主檔!A:R,18,FALSE)=""),
    IF(OR(C54="V", D54="V", E54="V"), "已PM未更換", "未更換"),
    IF(VLOOKUP(A54,門市主檔!A:Z,26,FALSE)&lt;&gt;"STAR", "無專案", "已更換")
))</f>
        <v>無專案</v>
      </c>
      <c r="H54" s="263">
        <f>VLOOKUP(A54,門市主檔!A:V,22,FALSE)</f>
        <v>0</v>
      </c>
      <c r="I54" s="201" t="str">
        <f>VLOOKUP(A54,'0919門市清單主檔'!B:V,21,FALSE)</f>
        <v>三芝區</v>
      </c>
      <c r="J54" s="209">
        <v>45727.629166666666</v>
      </c>
      <c r="K54" s="202"/>
      <c r="L54" s="202"/>
      <c r="M54" s="202"/>
      <c r="N54" s="202"/>
      <c r="O54" s="202"/>
      <c r="P54" s="196" t="s">
        <v>51</v>
      </c>
      <c r="Q54" s="206" t="s">
        <v>4109</v>
      </c>
    </row>
    <row r="55" spans="1:17" ht="19.5" customHeight="1">
      <c r="A55" s="201">
        <v>2237</v>
      </c>
      <c r="B55" s="201" t="str">
        <f>VLOOKUP(A55,門市主檔!A:B,2,FALSE)</f>
        <v>北縣芝蘭店</v>
      </c>
      <c r="C55" s="279" t="str">
        <f>IF(COUNTIFS(IM!$F:$F,A55,IM!$AD:$AD,"O",IM!$X:$X,"&gt;="&amp;$R$1, IM!$X:$X,"&lt;"&amp;$R$2)&gt;0,"V","")</f>
        <v/>
      </c>
      <c r="D55" s="279" t="str">
        <f>IF(AND(C55&lt;&gt;"V", COUNTIFS(IM!$F:$F,A55, IM!$AD:$AD, "O", IM!$X:$X, "&gt;="&amp;$R$2, IM!$X:$X, "&lt;"&amp;$R$3)&gt;0), "V", "")</f>
        <v>V</v>
      </c>
      <c r="E55" s="279" t="str">
        <f>IF(AND(C55&lt;&gt;"V",D55&lt;&gt;"V", COUNTIFS(IM!$F:$F, A55, IM!$AD:$AD, "O", IM!$X:$X, "&gt;="&amp;$R$3, IM!$X:$X, "&lt;"&amp;$R$4)&gt;0), "V", "")</f>
        <v/>
      </c>
      <c r="F55" s="201" t="str">
        <f t="shared" si="2"/>
        <v/>
      </c>
      <c r="G55" s="201"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63">
        <f>VLOOKUP(A55,門市主檔!A:V,22,FALSE)</f>
        <v>2</v>
      </c>
      <c r="I55" s="201" t="str">
        <f>VLOOKUP(A55,'0919門市清單主檔'!B:V,21,FALSE)</f>
        <v>三芝區</v>
      </c>
      <c r="J55" s="209">
        <v>45692.638194444444</v>
      </c>
      <c r="K55" s="202"/>
      <c r="L55" s="202"/>
      <c r="M55" s="202"/>
      <c r="N55" s="202"/>
      <c r="O55" s="202"/>
      <c r="P55" s="196" t="s">
        <v>51</v>
      </c>
      <c r="Q55" s="206" t="s">
        <v>4109</v>
      </c>
    </row>
    <row r="56" spans="1:17" ht="19.5" customHeight="1">
      <c r="A56" s="201">
        <v>4739</v>
      </c>
      <c r="B56" s="201" t="str">
        <f>VLOOKUP(A56,門市主檔!A:B,2,FALSE)</f>
        <v>淡水櫻花店</v>
      </c>
      <c r="C56" s="279" t="str">
        <f>IF(COUNTIFS(IM!$F:$F,A56,IM!$AD:$AD,"O",IM!$X:$X,"&gt;="&amp;$R$1, IM!$X:$X,"&lt;"&amp;$R$2)&gt;0,"V","")</f>
        <v/>
      </c>
      <c r="D56" s="279" t="str">
        <f>IF(AND(C56&lt;&gt;"V", COUNTIFS(IM!$F:$F,A56, IM!$AD:$AD, "O", IM!$X:$X, "&gt;="&amp;$R$2, IM!$X:$X, "&lt;"&amp;$R$3)&gt;0), "V", "")</f>
        <v>V</v>
      </c>
      <c r="E56" s="279" t="str">
        <f>IF(AND(C56&lt;&gt;"V",D56&lt;&gt;"V", COUNTIFS(IM!$F:$F, A56, IM!$AD:$AD, "O", IM!$X:$X, "&gt;="&amp;$R$3, IM!$X:$X, "&lt;"&amp;$R$4)&gt;0), "V", "")</f>
        <v/>
      </c>
      <c r="F56" s="201" t="str">
        <f t="shared" si="2"/>
        <v/>
      </c>
      <c r="G56" s="201"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63">
        <f>VLOOKUP(A56,門市主檔!A:V,22,FALSE)</f>
        <v>1</v>
      </c>
      <c r="I56" s="201" t="str">
        <f>VLOOKUP(A56,'0919門市清單主檔'!B:V,21,FALSE)</f>
        <v>淡水區</v>
      </c>
      <c r="J56" s="209">
        <v>45727.611111111109</v>
      </c>
      <c r="K56" s="202"/>
      <c r="L56" s="202"/>
      <c r="M56" s="202"/>
      <c r="N56" s="202"/>
      <c r="O56" s="202"/>
      <c r="P56" s="196" t="s">
        <v>51</v>
      </c>
      <c r="Q56" s="206" t="s">
        <v>4109</v>
      </c>
    </row>
    <row r="57" spans="1:17" ht="19.5" customHeight="1">
      <c r="A57" s="201">
        <v>2749</v>
      </c>
      <c r="B57" s="201" t="str">
        <f>VLOOKUP(A57,門市主檔!A:B,2,FALSE)</f>
        <v>淡水灰瑤子</v>
      </c>
      <c r="C57" s="279" t="str">
        <f>IF(COUNTIFS(IM!$F:$F,A57,IM!$AD:$AD,"O",IM!$X:$X,"&gt;="&amp;$R$1, IM!$X:$X,"&lt;"&amp;$R$2)&gt;0,"V","")</f>
        <v/>
      </c>
      <c r="D57" s="279" t="str">
        <f>IF(AND(C57&lt;&gt;"V", COUNTIFS(IM!$F:$F,A57, IM!$AD:$AD, "O", IM!$X:$X, "&gt;="&amp;$R$2, IM!$X:$X, "&lt;"&amp;$R$3)&gt;0), "V", "")</f>
        <v>V</v>
      </c>
      <c r="E57" s="279" t="str">
        <f>IF(AND(C57&lt;&gt;"V",D57&lt;&gt;"V", COUNTIFS(IM!$F:$F, A57, IM!$AD:$AD, "O", IM!$X:$X, "&gt;="&amp;$R$3, IM!$X:$X, "&lt;"&amp;$R$4)&gt;0), "V", "")</f>
        <v/>
      </c>
      <c r="F57" s="201" t="str">
        <f t="shared" si="2"/>
        <v/>
      </c>
      <c r="G57" s="201"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63">
        <f>VLOOKUP(A57,門市主檔!A:V,22,FALSE)</f>
        <v>2</v>
      </c>
      <c r="I57" s="201" t="str">
        <f>VLOOKUP(A57,'0919門市清單主檔'!B:V,21,FALSE)</f>
        <v>淡水區</v>
      </c>
      <c r="J57" s="209">
        <v>45692.55</v>
      </c>
      <c r="K57" s="202"/>
      <c r="L57" s="202"/>
      <c r="M57" s="202"/>
      <c r="N57" s="202"/>
      <c r="O57" s="202"/>
      <c r="P57" s="196" t="s">
        <v>51</v>
      </c>
      <c r="Q57" s="206" t="s">
        <v>4109</v>
      </c>
    </row>
    <row r="58" spans="1:17" ht="19.5" customHeight="1">
      <c r="A58" s="201">
        <v>4511</v>
      </c>
      <c r="B58" s="201" t="str">
        <f>VLOOKUP(A58,門市主檔!A:B,2,FALSE)</f>
        <v>淡水屯山店</v>
      </c>
      <c r="C58" s="279" t="str">
        <f>IF(COUNTIFS(IM!$F:$F,A58,IM!$AD:$AD,"O",IM!$X:$X,"&gt;="&amp;$R$1, IM!$X:$X,"&lt;"&amp;$R$2)&gt;0,"V","")</f>
        <v/>
      </c>
      <c r="D58" s="279" t="str">
        <f>IF(AND(C58&lt;&gt;"V", COUNTIFS(IM!$F:$F,A58, IM!$AD:$AD, "O", IM!$X:$X, "&gt;="&amp;$R$2, IM!$X:$X, "&lt;"&amp;$R$3)&gt;0), "V", "")</f>
        <v>V</v>
      </c>
      <c r="E58" s="279" t="str">
        <f>IF(AND(C58&lt;&gt;"V",D58&lt;&gt;"V", COUNTIFS(IM!$F:$F, A58, IM!$AD:$AD, "O", IM!$X:$X, "&gt;="&amp;$R$3, IM!$X:$X, "&lt;"&amp;$R$4)&gt;0), "V", "")</f>
        <v/>
      </c>
      <c r="F58" s="201" t="str">
        <f t="shared" si="2"/>
        <v/>
      </c>
      <c r="G58" s="201" t="str">
        <f>IF(VLOOKUP(A58,門市主檔!A:O,15,FALSE)="完工已補裝", "完工已補裝",
IF(AND(VLOOKUP(A58,門市主檔!A:Z,26,FALSE)="STAR", VLOOKUP(A58,門市主檔!A:R,18,FALSE)=""),
    IF(OR(C58="V", D58="V", E58="V"), "已PM未更換", "未更換"),
    IF(VLOOKUP(A58,門市主檔!A:Z,26,FALSE)&lt;&gt;"STAR", "無專案", "已更換")
))</f>
        <v>無專案</v>
      </c>
      <c r="H58" s="263">
        <f>VLOOKUP(A58,門市主檔!A:V,22,FALSE)</f>
        <v>0</v>
      </c>
      <c r="I58" s="201" t="str">
        <f>VLOOKUP(A58,'0919門市清單主檔'!B:V,21,FALSE)</f>
        <v>淡水區</v>
      </c>
      <c r="J58" s="209">
        <v>45692.577777777777</v>
      </c>
      <c r="K58" s="202"/>
      <c r="L58" s="202"/>
      <c r="M58" s="202"/>
      <c r="N58" s="202"/>
      <c r="O58" s="202"/>
      <c r="P58" s="196" t="s">
        <v>51</v>
      </c>
      <c r="Q58" s="206" t="s">
        <v>4109</v>
      </c>
    </row>
    <row r="59" spans="1:17" ht="19.5" customHeight="1">
      <c r="A59" s="201" t="s">
        <v>26</v>
      </c>
      <c r="B59" s="201" t="str">
        <f>VLOOKUP(A59,門市主檔!A:B,2,FALSE)</f>
        <v>北縣五華三店</v>
      </c>
      <c r="C59" s="279" t="str">
        <f>IF(COUNTIFS(IM!$F:$F,A59,IM!$AD:$AD,"O",IM!$X:$X,"&gt;="&amp;$R$1, IM!$X:$X,"&lt;"&amp;$R$2)&gt;0,"V","")</f>
        <v/>
      </c>
      <c r="D59" s="279" t="str">
        <f>IF(AND(C59&lt;&gt;"V", COUNTIFS(IM!$F:$F,A59, IM!$AD:$AD, "O", IM!$X:$X, "&gt;="&amp;$R$2, IM!$X:$X, "&lt;"&amp;$R$3)&gt;0), "V", "")</f>
        <v>V</v>
      </c>
      <c r="E59" s="279" t="str">
        <f>IF(AND(C59&lt;&gt;"V",D59&lt;&gt;"V", COUNTIFS(IM!$F:$F, A59, IM!$AD:$AD, "O", IM!$X:$X, "&gt;="&amp;$R$3, IM!$X:$X, "&lt;"&amp;$R$4)&gt;0), "V", "")</f>
        <v/>
      </c>
      <c r="F59" s="201" t="str">
        <f t="shared" si="2"/>
        <v/>
      </c>
      <c r="G59" s="201"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63">
        <f>VLOOKUP(A59,門市主檔!A:V,22,FALSE)</f>
        <v>2</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79" t="str">
        <f>IF(COUNTIFS(IM!$F:$F,A60,IM!$AD:$AD,"O",IM!$X:$X,"&gt;="&amp;$R$1, IM!$X:$X,"&lt;"&amp;$R$2)&gt;0,"V","")</f>
        <v/>
      </c>
      <c r="D60" s="279" t="str">
        <f>IF(AND(C60&lt;&gt;"V", COUNTIFS(IM!$F:$F,A60, IM!$AD:$AD, "O", IM!$X:$X, "&gt;="&amp;$R$2, IM!$X:$X, "&lt;"&amp;$R$3)&gt;0), "V", "")</f>
        <v>V</v>
      </c>
      <c r="E60" s="279" t="str">
        <f>IF(AND(C60&lt;&gt;"V",D60&lt;&gt;"V", COUNTIFS(IM!$F:$F, A60, IM!$AD:$AD, "O", IM!$X:$X, "&gt;="&amp;$R$3, IM!$X:$X, "&lt;"&amp;$R$4)&gt;0), "V", "")</f>
        <v/>
      </c>
      <c r="F60" s="201" t="str">
        <f t="shared" si="2"/>
        <v/>
      </c>
      <c r="G60" s="201"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63">
        <f>VLOOKUP(A60,門市主檔!A:V,22,FALSE)</f>
        <v>2</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79" t="str">
        <f>IF(COUNTIFS(IM!$F:$F,A61,IM!$AD:$AD,"O",IM!$X:$X,"&gt;="&amp;$R$1, IM!$X:$X,"&lt;"&amp;$R$2)&gt;0,"V","")</f>
        <v/>
      </c>
      <c r="D61" s="279" t="str">
        <f>IF(AND(C61&lt;&gt;"V", COUNTIFS(IM!$F:$F,A61, IM!$AD:$AD, "O", IM!$X:$X, "&gt;="&amp;$R$2, IM!$X:$X, "&lt;"&amp;$R$3)&gt;0), "V", "")</f>
        <v>V</v>
      </c>
      <c r="E61" s="279" t="str">
        <f>IF(AND(C61&lt;&gt;"V",D61&lt;&gt;"V", COUNTIFS(IM!$F:$F, A61, IM!$AD:$AD, "O", IM!$X:$X, "&gt;="&amp;$R$3, IM!$X:$X, "&lt;"&amp;$R$4)&gt;0), "V", "")</f>
        <v/>
      </c>
      <c r="F61" s="201" t="str">
        <f t="shared" si="2"/>
        <v/>
      </c>
      <c r="G61" s="201"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63">
        <f>VLOOKUP(A61,門市主檔!A:V,22,FALSE)</f>
        <v>2</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79" t="str">
        <f>IF(COUNTIFS(IM!$F:$F,A62,IM!$AD:$AD,"O",IM!$X:$X,"&gt;="&amp;$R$1, IM!$X:$X,"&lt;"&amp;$R$2)&gt;0,"V","")</f>
        <v/>
      </c>
      <c r="D62" s="279" t="str">
        <f>IF(AND(C62&lt;&gt;"V", COUNTIFS(IM!$F:$F,A62, IM!$AD:$AD, "O", IM!$X:$X, "&gt;="&amp;$R$2, IM!$X:$X, "&lt;"&amp;$R$3)&gt;0), "V", "")</f>
        <v>V</v>
      </c>
      <c r="E62" s="279" t="str">
        <f>IF(AND(C62&lt;&gt;"V",D62&lt;&gt;"V", COUNTIFS(IM!$F:$F, A62, IM!$AD:$AD, "O", IM!$X:$X, "&gt;="&amp;$R$3, IM!$X:$X, "&lt;"&amp;$R$4)&gt;0), "V", "")</f>
        <v/>
      </c>
      <c r="F62" s="201" t="str">
        <f t="shared" si="2"/>
        <v/>
      </c>
      <c r="G62" s="201"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63">
        <f>VLOOKUP(A62,門市主檔!A:V,22,FALSE)</f>
        <v>2</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79" t="str">
        <f>IF(COUNTIFS(IM!$F:$F,A63,IM!$AD:$AD,"O",IM!$X:$X,"&gt;="&amp;$R$1, IM!$X:$X,"&lt;"&amp;$R$2)&gt;0,"V","")</f>
        <v/>
      </c>
      <c r="D63" s="279" t="str">
        <f>IF(AND(C63&lt;&gt;"V", COUNTIFS(IM!$F:$F,A63, IM!$AD:$AD, "O", IM!$X:$X, "&gt;="&amp;$R$2, IM!$X:$X, "&lt;"&amp;$R$3)&gt;0), "V", "")</f>
        <v>V</v>
      </c>
      <c r="E63" s="279" t="str">
        <f>IF(AND(C63&lt;&gt;"V",D63&lt;&gt;"V", COUNTIFS(IM!$F:$F, A63, IM!$AD:$AD, "O", IM!$X:$X, "&gt;="&amp;$R$3, IM!$X:$X, "&lt;"&amp;$R$4)&gt;0), "V", "")</f>
        <v/>
      </c>
      <c r="F63" s="201" t="str">
        <f t="shared" si="2"/>
        <v/>
      </c>
      <c r="G63" s="201"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63">
        <f>VLOOKUP(A63,門市主檔!A:V,22,FALSE)</f>
        <v>2</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79" t="str">
        <f>IF(COUNTIFS(IM!$F:$F,A64,IM!$AD:$AD,"O",IM!$X:$X,"&gt;="&amp;$R$1, IM!$X:$X,"&lt;"&amp;$R$2)&gt;0,"V","")</f>
        <v/>
      </c>
      <c r="D64" s="279" t="str">
        <f>IF(AND(C64&lt;&gt;"V", COUNTIFS(IM!$F:$F,A64, IM!$AD:$AD, "O", IM!$X:$X, "&gt;="&amp;$R$2, IM!$X:$X, "&lt;"&amp;$R$3)&gt;0), "V", "")</f>
        <v>V</v>
      </c>
      <c r="E64" s="279" t="str">
        <f>IF(AND(C64&lt;&gt;"V",D64&lt;&gt;"V", COUNTIFS(IM!$F:$F, A64, IM!$AD:$AD, "O", IM!$X:$X, "&gt;="&amp;$R$3, IM!$X:$X, "&lt;"&amp;$R$4)&gt;0), "V", "")</f>
        <v/>
      </c>
      <c r="F64" s="201" t="str">
        <f t="shared" si="2"/>
        <v/>
      </c>
      <c r="G64" s="201"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63">
        <f>VLOOKUP(A64,門市主檔!A:V,22,FALSE)</f>
        <v>2</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79" t="str">
        <f>IF(COUNTIFS(IM!$F:$F,A65,IM!$AD:$AD,"O",IM!$X:$X,"&gt;="&amp;$R$1, IM!$X:$X,"&lt;"&amp;$R$2)&gt;0,"V","")</f>
        <v/>
      </c>
      <c r="D65" s="279" t="str">
        <f>IF(AND(C65&lt;&gt;"V", COUNTIFS(IM!$F:$F,A65, IM!$AD:$AD, "O", IM!$X:$X, "&gt;="&amp;$R$2, IM!$X:$X, "&lt;"&amp;$R$3)&gt;0), "V", "")</f>
        <v>V</v>
      </c>
      <c r="E65" s="279" t="str">
        <f>IF(AND(C65&lt;&gt;"V",D65&lt;&gt;"V", COUNTIFS(IM!$F:$F, A65, IM!$AD:$AD, "O", IM!$X:$X, "&gt;="&amp;$R$3, IM!$X:$X, "&lt;"&amp;$R$4)&gt;0), "V", "")</f>
        <v/>
      </c>
      <c r="F65" s="201" t="str">
        <f t="shared" si="2"/>
        <v/>
      </c>
      <c r="G65" s="201"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63">
        <f>VLOOKUP(A65,門市主檔!A:V,22,FALSE)</f>
        <v>2</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79" t="str">
        <f>IF(COUNTIFS(IM!$F:$F,A66,IM!$AD:$AD,"O",IM!$X:$X,"&gt;="&amp;$R$1, IM!$X:$X,"&lt;"&amp;$R$2)&gt;0,"V","")</f>
        <v/>
      </c>
      <c r="D66" s="279" t="str">
        <f>IF(AND(C66&lt;&gt;"V", COUNTIFS(IM!$F:$F,A66, IM!$AD:$AD, "O", IM!$X:$X, "&gt;="&amp;$R$2, IM!$X:$X, "&lt;"&amp;$R$3)&gt;0), "V", "")</f>
        <v>V</v>
      </c>
      <c r="E66" s="279" t="str">
        <f>IF(AND(C66&lt;&gt;"V",D66&lt;&gt;"V", COUNTIFS(IM!$F:$F, A66, IM!$AD:$AD, "O", IM!$X:$X, "&gt;="&amp;$R$3, IM!$X:$X, "&lt;"&amp;$R$4)&gt;0), "V", "")</f>
        <v/>
      </c>
      <c r="F66" s="201" t="str">
        <f t="shared" si="2"/>
        <v/>
      </c>
      <c r="G66" s="201"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63">
        <f>VLOOKUP(A66,門市主檔!A:V,22,FALSE)</f>
        <v>1</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79" t="str">
        <f>IF(COUNTIFS(IM!$F:$F,A67,IM!$AD:$AD,"O",IM!$X:$X,"&gt;="&amp;$R$1, IM!$X:$X,"&lt;"&amp;$R$2)&gt;0,"V","")</f>
        <v/>
      </c>
      <c r="D67" s="279" t="str">
        <f>IF(AND(C67&lt;&gt;"V", COUNTIFS(IM!$F:$F,A67, IM!$AD:$AD, "O", IM!$X:$X, "&gt;="&amp;$R$2, IM!$X:$X, "&lt;"&amp;$R$3)&gt;0), "V", "")</f>
        <v>V</v>
      </c>
      <c r="E67" s="279" t="str">
        <f>IF(AND(C67&lt;&gt;"V",D67&lt;&gt;"V", COUNTIFS(IM!$F:$F, A67, IM!$AD:$AD, "O", IM!$X:$X, "&gt;="&amp;$R$3, IM!$X:$X, "&lt;"&amp;$R$4)&gt;0), "V", "")</f>
        <v/>
      </c>
      <c r="F67" s="201" t="str">
        <f t="shared" si="2"/>
        <v/>
      </c>
      <c r="G67" s="201"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63">
        <f>VLOOKUP(A67,門市主檔!A:V,22,FALSE)</f>
        <v>1</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79" t="str">
        <f>IF(COUNTIFS(IM!$F:$F,A68,IM!$AD:$AD,"O",IM!$X:$X,"&gt;="&amp;$R$1, IM!$X:$X,"&lt;"&amp;$R$2)&gt;0,"V","")</f>
        <v/>
      </c>
      <c r="D68" s="279" t="str">
        <f>IF(AND(C68&lt;&gt;"V", COUNTIFS(IM!$F:$F,A68, IM!$AD:$AD, "O", IM!$X:$X, "&gt;="&amp;$R$2, IM!$X:$X, "&lt;"&amp;$R$3)&gt;0), "V", "")</f>
        <v>V</v>
      </c>
      <c r="E68" s="279" t="str">
        <f>IF(AND(C68&lt;&gt;"V",D68&lt;&gt;"V", COUNTIFS(IM!$F:$F, A68, IM!$AD:$AD, "O", IM!$X:$X, "&gt;="&amp;$R$3, IM!$X:$X, "&lt;"&amp;$R$4)&gt;0), "V", "")</f>
        <v/>
      </c>
      <c r="F68" s="201" t="str">
        <f t="shared" si="2"/>
        <v/>
      </c>
      <c r="G68" s="201" t="str">
        <f>IF(VLOOKUP(A68,門市主檔!A:O,15,FALSE)="完工已補裝", "完工已補裝",
IF(AND(VLOOKUP(A68,門市主檔!A:Z,26,FALSE)="STAR", VLOOKUP(A68,門市主檔!A:R,18,FALSE)=""),
    IF(OR(C68="V", D68="V", E68="V"), "已PM未更換", "未更換"),
    IF(VLOOKUP(A68,門市主檔!A:Z,26,FALSE)&lt;&gt;"STAR", "無專案", "已更換")
))</f>
        <v>無專案</v>
      </c>
      <c r="H68" s="263">
        <f>VLOOKUP(A68,門市主檔!A:V,22,FALSE)</f>
        <v>0</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79" t="str">
        <f>IF(COUNTIFS(IM!$F:$F,A69,IM!$AD:$AD,"O",IM!$X:$X,"&gt;="&amp;$R$1, IM!$X:$X,"&lt;"&amp;$R$2)&gt;0,"V","")</f>
        <v/>
      </c>
      <c r="D69" s="279" t="str">
        <f>IF(AND(C69&lt;&gt;"V", COUNTIFS(IM!$F:$F,A69, IM!$AD:$AD, "O", IM!$X:$X, "&gt;="&amp;$R$2, IM!$X:$X, "&lt;"&amp;$R$3)&gt;0), "V", "")</f>
        <v>V</v>
      </c>
      <c r="E69" s="279" t="str">
        <f>IF(AND(C69&lt;&gt;"V",D69&lt;&gt;"V", COUNTIFS(IM!$F:$F, A69, IM!$AD:$AD, "O", IM!$X:$X, "&gt;="&amp;$R$3, IM!$X:$X, "&lt;"&amp;$R$4)&gt;0), "V", "")</f>
        <v/>
      </c>
      <c r="F69" s="201" t="str">
        <f t="shared" si="2"/>
        <v/>
      </c>
      <c r="G69" s="201" t="str">
        <f>IF(VLOOKUP(A69,門市主檔!A:O,15,FALSE)="完工已補裝", "完工已補裝",
IF(AND(VLOOKUP(A69,門市主檔!A:Z,26,FALSE)="STAR", VLOOKUP(A69,門市主檔!A:R,18,FALSE)=""),
    IF(OR(C69="V", D69="V", E69="V"), "已PM未更換", "未更換"),
    IF(VLOOKUP(A69,門市主檔!A:Z,26,FALSE)&lt;&gt;"STAR", "無專案", "已更換")
))</f>
        <v>無專案</v>
      </c>
      <c r="H69" s="263">
        <f>VLOOKUP(A69,門市主檔!A:V,22,FALSE)</f>
        <v>0</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79" t="str">
        <f>IF(COUNTIFS(IM!$F:$F,A70,IM!$AD:$AD,"O",IM!$X:$X,"&gt;="&amp;$R$1, IM!$X:$X,"&lt;"&amp;$R$2)&gt;0,"V","")</f>
        <v/>
      </c>
      <c r="D70" s="279" t="str">
        <f>IF(AND(C70&lt;&gt;"V", COUNTIFS(IM!$F:$F,A70, IM!$AD:$AD, "O", IM!$X:$X, "&gt;="&amp;$R$2, IM!$X:$X, "&lt;"&amp;$R$3)&gt;0), "V", "")</f>
        <v>V</v>
      </c>
      <c r="E70" s="279" t="str">
        <f>IF(AND(C70&lt;&gt;"V",D70&lt;&gt;"V", COUNTIFS(IM!$F:$F, A70, IM!$AD:$AD, "O", IM!$X:$X, "&gt;="&amp;$R$3, IM!$X:$X, "&lt;"&amp;$R$4)&gt;0), "V", "")</f>
        <v/>
      </c>
      <c r="F70" s="201" t="str">
        <f t="shared" si="2"/>
        <v/>
      </c>
      <c r="G70" s="201" t="str">
        <f>IF(VLOOKUP(A70,門市主檔!A:O,15,FALSE)="完工已補裝", "完工已補裝",
IF(AND(VLOOKUP(A70,門市主檔!A:Z,26,FALSE)="STAR", VLOOKUP(A70,門市主檔!A:R,18,FALSE)=""),
    IF(OR(C70="V", D70="V", E70="V"), "已PM未更換", "未更換"),
    IF(VLOOKUP(A70,門市主檔!A:Z,26,FALSE)&lt;&gt;"STAR", "無專案", "已更換")
))</f>
        <v>無專案</v>
      </c>
      <c r="H70" s="263">
        <f>VLOOKUP(A70,門市主檔!A:V,22,FALSE)</f>
        <v>0</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79" t="str">
        <f>IF(COUNTIFS(IM!$F:$F,A71,IM!$AD:$AD,"O",IM!$X:$X,"&gt;="&amp;$R$1, IM!$X:$X,"&lt;"&amp;$R$2)&gt;0,"V","")</f>
        <v/>
      </c>
      <c r="D71" s="279" t="str">
        <f>IF(AND(C71&lt;&gt;"V", COUNTIFS(IM!$F:$F,A71, IM!$AD:$AD, "O", IM!$X:$X, "&gt;="&amp;$R$2, IM!$X:$X, "&lt;"&amp;$R$3)&gt;0), "V", "")</f>
        <v>V</v>
      </c>
      <c r="E71" s="279" t="str">
        <f>IF(AND(C71&lt;&gt;"V",D71&lt;&gt;"V", COUNTIFS(IM!$F:$F, A71, IM!$AD:$AD, "O", IM!$X:$X, "&gt;="&amp;$R$3, IM!$X:$X, "&lt;"&amp;$R$4)&gt;0), "V", "")</f>
        <v/>
      </c>
      <c r="F71" s="201" t="str">
        <f t="shared" ref="F71:F102" si="3">IF(COUNTBLANK(C71:E71)=3,"未保養","")</f>
        <v/>
      </c>
      <c r="G71" s="201" t="str">
        <f>IF(VLOOKUP(A71,門市主檔!A:O,15,FALSE)="完工已補裝", "完工已補裝",
IF(AND(VLOOKUP(A71,門市主檔!A:Z,26,FALSE)="STAR", VLOOKUP(A71,門市主檔!A:R,18,FALSE)=""),
    IF(OR(C71="V", D71="V", E71="V"), "已PM未更換", "未更換"),
    IF(VLOOKUP(A71,門市主檔!A:Z,26,FALSE)&lt;&gt;"STAR", "無專案", "已更換")
))</f>
        <v>無專案</v>
      </c>
      <c r="H71" s="263">
        <f>VLOOKUP(A71,門市主檔!A:V,22,FALSE)</f>
        <v>0</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79" t="str">
        <f>IF(COUNTIFS(IM!$F:$F,A72,IM!$AD:$AD,"O",IM!$X:$X,"&gt;="&amp;$R$1, IM!$X:$X,"&lt;"&amp;$R$2)&gt;0,"V","")</f>
        <v/>
      </c>
      <c r="D72" s="279" t="str">
        <f>IF(AND(C72&lt;&gt;"V", COUNTIFS(IM!$F:$F,A72, IM!$AD:$AD, "O", IM!$X:$X, "&gt;="&amp;$R$2, IM!$X:$X, "&lt;"&amp;$R$3)&gt;0), "V", "")</f>
        <v>V</v>
      </c>
      <c r="E72" s="279" t="str">
        <f>IF(AND(C72&lt;&gt;"V",D72&lt;&gt;"V", COUNTIFS(IM!$F:$F, A72, IM!$AD:$AD, "O", IM!$X:$X, "&gt;="&amp;$R$3, IM!$X:$X, "&lt;"&amp;$R$4)&gt;0), "V", "")</f>
        <v/>
      </c>
      <c r="F72" s="201" t="str">
        <f t="shared" si="3"/>
        <v/>
      </c>
      <c r="G72" s="201" t="str">
        <f>IF(VLOOKUP(A72,門市主檔!A:O,15,FALSE)="完工已補裝", "完工已補裝",
IF(AND(VLOOKUP(A72,門市主檔!A:Z,26,FALSE)="STAR", VLOOKUP(A72,門市主檔!A:R,18,FALSE)=""),
    IF(OR(C72="V", D72="V", E72="V"), "已PM未更換", "未更換"),
    IF(VLOOKUP(A72,門市主檔!A:Z,26,FALSE)&lt;&gt;"STAR", "無專案", "已更換")
))</f>
        <v>無專案</v>
      </c>
      <c r="H72" s="263">
        <f>VLOOKUP(A72,門市主檔!A:V,22,FALSE)</f>
        <v>0</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79" t="str">
        <f>IF(COUNTIFS(IM!$F:$F,A73,IM!$AD:$AD,"O",IM!$X:$X,"&gt;="&amp;$R$1, IM!$X:$X,"&lt;"&amp;$R$2)&gt;0,"V","")</f>
        <v/>
      </c>
      <c r="D73" s="279" t="str">
        <f>IF(AND(C73&lt;&gt;"V", COUNTIFS(IM!$F:$F,A73, IM!$AD:$AD, "O", IM!$X:$X, "&gt;="&amp;$R$2, IM!$X:$X, "&lt;"&amp;$R$3)&gt;0), "V", "")</f>
        <v>V</v>
      </c>
      <c r="E73" s="279" t="str">
        <f>IF(AND(C73&lt;&gt;"V",D73&lt;&gt;"V", COUNTIFS(IM!$F:$F, A73, IM!$AD:$AD, "O", IM!$X:$X, "&gt;="&amp;$R$3, IM!$X:$X, "&lt;"&amp;$R$4)&gt;0), "V", "")</f>
        <v/>
      </c>
      <c r="F73" s="201" t="str">
        <f t="shared" si="3"/>
        <v/>
      </c>
      <c r="G73" s="201"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63">
        <f>VLOOKUP(A73,門市主檔!A:V,22,FALSE)</f>
        <v>1</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79" t="str">
        <f>IF(COUNTIFS(IM!$F:$F,A74,IM!$AD:$AD,"O",IM!$X:$X,"&gt;="&amp;$R$1, IM!$X:$X,"&lt;"&amp;$R$2)&gt;0,"V","")</f>
        <v/>
      </c>
      <c r="D74" s="279" t="str">
        <f>IF(AND(C74&lt;&gt;"V", COUNTIFS(IM!$F:$F,A74, IM!$AD:$AD, "O", IM!$X:$X, "&gt;="&amp;$R$2, IM!$X:$X, "&lt;"&amp;$R$3)&gt;0), "V", "")</f>
        <v>V</v>
      </c>
      <c r="E74" s="279" t="str">
        <f>IF(AND(C74&lt;&gt;"V",D74&lt;&gt;"V", COUNTIFS(IM!$F:$F, A74, IM!$AD:$AD, "O", IM!$X:$X, "&gt;="&amp;$R$3, IM!$X:$X, "&lt;"&amp;$R$4)&gt;0), "V", "")</f>
        <v/>
      </c>
      <c r="F74" s="201" t="str">
        <f t="shared" si="3"/>
        <v/>
      </c>
      <c r="G74" s="201" t="str">
        <f>IF(VLOOKUP(A74,門市主檔!A:O,15,FALSE)="完工已補裝", "完工已補裝",
IF(AND(VLOOKUP(A74,門市主檔!A:Z,26,FALSE)="STAR", VLOOKUP(A74,門市主檔!A:R,18,FALSE)=""),
    IF(OR(C74="V", D74="V", E74="V"), "已PM未更換", "未更換"),
    IF(VLOOKUP(A74,門市主檔!A:Z,26,FALSE)&lt;&gt;"STAR", "無專案", "已更換")
))</f>
        <v>無專案</v>
      </c>
      <c r="H74" s="263">
        <f>VLOOKUP(A74,門市主檔!A:V,22,FALSE)</f>
        <v>0</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79" t="str">
        <f>IF(COUNTIFS(IM!$F:$F,A75,IM!$AD:$AD,"O",IM!$X:$X,"&gt;="&amp;$R$1, IM!$X:$X,"&lt;"&amp;$R$2)&gt;0,"V","")</f>
        <v/>
      </c>
      <c r="D75" s="279" t="str">
        <f>IF(AND(C75&lt;&gt;"V", COUNTIFS(IM!$F:$F,A75, IM!$AD:$AD, "O", IM!$X:$X, "&gt;="&amp;$R$2, IM!$X:$X, "&lt;"&amp;$R$3)&gt;0), "V", "")</f>
        <v>V</v>
      </c>
      <c r="E75" s="279" t="str">
        <f>IF(AND(C75&lt;&gt;"V",D75&lt;&gt;"V", COUNTIFS(IM!$F:$F, A75, IM!$AD:$AD, "O", IM!$X:$X, "&gt;="&amp;$R$3, IM!$X:$X, "&lt;"&amp;$R$4)&gt;0), "V", "")</f>
        <v/>
      </c>
      <c r="F75" s="201" t="str">
        <f t="shared" si="3"/>
        <v/>
      </c>
      <c r="G75" s="201" t="str">
        <f>IF(VLOOKUP(A75,門市主檔!A:O,15,FALSE)="完工已補裝", "完工已補裝",
IF(AND(VLOOKUP(A75,門市主檔!A:Z,26,FALSE)="STAR", VLOOKUP(A75,門市主檔!A:R,18,FALSE)=""),
    IF(OR(C75="V", D75="V", E75="V"), "已PM未更換", "未更換"),
    IF(VLOOKUP(A75,門市主檔!A:Z,26,FALSE)&lt;&gt;"STAR", "無專案", "已更換")
))</f>
        <v>無專案</v>
      </c>
      <c r="H75" s="263">
        <f>VLOOKUP(A75,門市主檔!A:V,22,FALSE)</f>
        <v>0</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79" t="str">
        <f>IF(COUNTIFS(IM!$F:$F,A76,IM!$AD:$AD,"O",IM!$X:$X,"&gt;="&amp;$R$1, IM!$X:$X,"&lt;"&amp;$R$2)&gt;0,"V","")</f>
        <v/>
      </c>
      <c r="D76" s="279" t="str">
        <f>IF(AND(C76&lt;&gt;"V", COUNTIFS(IM!$F:$F,A76, IM!$AD:$AD, "O", IM!$X:$X, "&gt;="&amp;$R$2, IM!$X:$X, "&lt;"&amp;$R$3)&gt;0), "V", "")</f>
        <v>V</v>
      </c>
      <c r="E76" s="279" t="str">
        <f>IF(AND(C76&lt;&gt;"V",D76&lt;&gt;"V", COUNTIFS(IM!$F:$F, A76, IM!$AD:$AD, "O", IM!$X:$X, "&gt;="&amp;$R$3, IM!$X:$X, "&lt;"&amp;$R$4)&gt;0), "V", "")</f>
        <v/>
      </c>
      <c r="F76" s="201" t="str">
        <f t="shared" si="3"/>
        <v/>
      </c>
      <c r="G76" s="201" t="str">
        <f>IF(VLOOKUP(A76,門市主檔!A:O,15,FALSE)="完工已補裝", "完工已補裝",
IF(AND(VLOOKUP(A76,門市主檔!A:Z,26,FALSE)="STAR", VLOOKUP(A76,門市主檔!A:R,18,FALSE)=""),
    IF(OR(C76="V", D76="V", E76="V"), "已PM未更換", "未更換"),
    IF(VLOOKUP(A76,門市主檔!A:Z,26,FALSE)&lt;&gt;"STAR", "無專案", "已更換")
))</f>
        <v>無專案</v>
      </c>
      <c r="H76" s="263">
        <f>VLOOKUP(A76,門市主檔!A:V,22,FALSE)</f>
        <v>0</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79" t="str">
        <f>IF(COUNTIFS(IM!$F:$F,A77,IM!$AD:$AD,"O",IM!$X:$X,"&gt;="&amp;$R$1, IM!$X:$X,"&lt;"&amp;$R$2)&gt;0,"V","")</f>
        <v/>
      </c>
      <c r="D77" s="279" t="str">
        <f>IF(AND(C77&lt;&gt;"V", COUNTIFS(IM!$F:$F,A77, IM!$AD:$AD, "O", IM!$X:$X, "&gt;="&amp;$R$2, IM!$X:$X, "&lt;"&amp;$R$3)&gt;0), "V", "")</f>
        <v>V</v>
      </c>
      <c r="E77" s="279" t="str">
        <f>IF(AND(C77&lt;&gt;"V",D77&lt;&gt;"V", COUNTIFS(IM!$F:$F, A77, IM!$AD:$AD, "O", IM!$X:$X, "&gt;="&amp;$R$3, IM!$X:$X, "&lt;"&amp;$R$4)&gt;0), "V", "")</f>
        <v/>
      </c>
      <c r="F77" s="201" t="str">
        <f t="shared" si="3"/>
        <v/>
      </c>
      <c r="G77" s="201"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63">
        <f>VLOOKUP(A77,門市主檔!A:V,22,FALSE)</f>
        <v>2</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79" t="str">
        <f>IF(COUNTIFS(IM!$F:$F,A78,IM!$AD:$AD,"O",IM!$X:$X,"&gt;="&amp;$R$1, IM!$X:$X,"&lt;"&amp;$R$2)&gt;0,"V","")</f>
        <v>V</v>
      </c>
      <c r="D78" s="279" t="str">
        <f>IF(AND(C78&lt;&gt;"V", COUNTIFS(IM!$F:$F,A78, IM!$AD:$AD, "O", IM!$X:$X, "&gt;="&amp;$R$2, IM!$X:$X, "&lt;"&amp;$R$3)&gt;0), "V", "")</f>
        <v/>
      </c>
      <c r="E78" s="279" t="str">
        <f>IF(AND(C78&lt;&gt;"V",D78&lt;&gt;"V", COUNTIFS(IM!$F:$F, A78, IM!$AD:$AD, "O", IM!$X:$X, "&gt;="&amp;$R$3, IM!$X:$X, "&lt;"&amp;$R$4)&gt;0), "V", "")</f>
        <v/>
      </c>
      <c r="F78" s="201" t="str">
        <f t="shared" si="3"/>
        <v/>
      </c>
      <c r="G78" s="201" t="str">
        <f>IF(VLOOKUP(A78,門市主檔!A:O,15,FALSE)="完工已補裝", "完工已補裝",
IF(AND(VLOOKUP(A78,門市主檔!A:Z,26,FALSE)="STAR", VLOOKUP(A78,門市主檔!A:R,18,FALSE)=""),
    IF(OR(C78="V", D78="V", E78="V"), "已PM未更換", "未更換"),
    IF(VLOOKUP(A78,門市主檔!A:Z,26,FALSE)&lt;&gt;"STAR", "無專案", "已更換")
))</f>
        <v>已更換</v>
      </c>
      <c r="H78" s="263">
        <f>VLOOKUP(A78,門市主檔!A:V,22,FALSE)</f>
        <v>2</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79" t="str">
        <f>IF(COUNTIFS(IM!$F:$F,A79,IM!$AD:$AD,"O",IM!$X:$X,"&gt;="&amp;$R$1, IM!$X:$X,"&lt;"&amp;$R$2)&gt;0,"V","")</f>
        <v/>
      </c>
      <c r="D79" s="279" t="str">
        <f>IF(AND(C79&lt;&gt;"V", COUNTIFS(IM!$F:$F,A79, IM!$AD:$AD, "O", IM!$X:$X, "&gt;="&amp;$R$2, IM!$X:$X, "&lt;"&amp;$R$3)&gt;0), "V", "")</f>
        <v>V</v>
      </c>
      <c r="E79" s="279" t="str">
        <f>IF(AND(C79&lt;&gt;"V",D79&lt;&gt;"V", COUNTIFS(IM!$F:$F, A79, IM!$AD:$AD, "O", IM!$X:$X, "&gt;="&amp;$R$3, IM!$X:$X, "&lt;"&amp;$R$4)&gt;0), "V", "")</f>
        <v/>
      </c>
      <c r="F79" s="201" t="str">
        <f t="shared" si="3"/>
        <v/>
      </c>
      <c r="G79" s="201"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63">
        <f>VLOOKUP(A79,門市主檔!A:V,22,FALSE)</f>
        <v>2</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79" t="str">
        <f>IF(COUNTIFS(IM!$F:$F,A80,IM!$AD:$AD,"O",IM!$X:$X,"&gt;="&amp;$R$1, IM!$X:$X,"&lt;"&amp;$R$2)&gt;0,"V","")</f>
        <v/>
      </c>
      <c r="D80" s="279" t="str">
        <f>IF(AND(C80&lt;&gt;"V", COUNTIFS(IM!$F:$F,A80, IM!$AD:$AD, "O", IM!$X:$X, "&gt;="&amp;$R$2, IM!$X:$X, "&lt;"&amp;$R$3)&gt;0), "V", "")</f>
        <v>V</v>
      </c>
      <c r="E80" s="279" t="str">
        <f>IF(AND(C80&lt;&gt;"V",D80&lt;&gt;"V", COUNTIFS(IM!$F:$F, A80, IM!$AD:$AD, "O", IM!$X:$X, "&gt;="&amp;$R$3, IM!$X:$X, "&lt;"&amp;$R$4)&gt;0), "V", "")</f>
        <v/>
      </c>
      <c r="F80" s="201" t="str">
        <f t="shared" si="3"/>
        <v/>
      </c>
      <c r="G80" s="201" t="str">
        <f>IF(VLOOKUP(A80,門市主檔!A:O,15,FALSE)="完工已補裝", "完工已補裝",
IF(AND(VLOOKUP(A80,門市主檔!A:Z,26,FALSE)="STAR", VLOOKUP(A80,門市主檔!A:R,18,FALSE)=""),
    IF(OR(C80="V", D80="V", E80="V"), "已PM未更換", "未更換"),
    IF(VLOOKUP(A80,門市主檔!A:Z,26,FALSE)&lt;&gt;"STAR", "無專案", "已更換")
))</f>
        <v>無專案</v>
      </c>
      <c r="H80" s="263">
        <f>VLOOKUP(A80,門市主檔!A:V,22,FALSE)</f>
        <v>0</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79" t="str">
        <f>IF(COUNTIFS(IM!$F:$F,A81,IM!$AD:$AD,"O",IM!$X:$X,"&gt;="&amp;$R$1, IM!$X:$X,"&lt;"&amp;$R$2)&gt;0,"V","")</f>
        <v/>
      </c>
      <c r="D81" s="279" t="str">
        <f>IF(AND(C81&lt;&gt;"V", COUNTIFS(IM!$F:$F,A81, IM!$AD:$AD, "O", IM!$X:$X, "&gt;="&amp;$R$2, IM!$X:$X, "&lt;"&amp;$R$3)&gt;0), "V", "")</f>
        <v>V</v>
      </c>
      <c r="E81" s="279" t="str">
        <f>IF(AND(C81&lt;&gt;"V",D81&lt;&gt;"V", COUNTIFS(IM!$F:$F, A81, IM!$AD:$AD, "O", IM!$X:$X, "&gt;="&amp;$R$3, IM!$X:$X, "&lt;"&amp;$R$4)&gt;0), "V", "")</f>
        <v/>
      </c>
      <c r="F81" s="201" t="str">
        <f t="shared" si="3"/>
        <v/>
      </c>
      <c r="G81" s="201" t="str">
        <f>IF(VLOOKUP(A81,門市主檔!A:O,15,FALSE)="完工已補裝", "完工已補裝",
IF(AND(VLOOKUP(A81,門市主檔!A:Z,26,FALSE)="STAR", VLOOKUP(A81,門市主檔!A:R,18,FALSE)=""),
    IF(OR(C81="V", D81="V", E81="V"), "已PM未更換", "未更換"),
    IF(VLOOKUP(A81,門市主檔!A:Z,26,FALSE)&lt;&gt;"STAR", "無專案", "已更換")
))</f>
        <v>無專案</v>
      </c>
      <c r="H81" s="263">
        <f>VLOOKUP(A81,門市主檔!A:V,22,FALSE)</f>
        <v>0</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79" t="str">
        <f>IF(COUNTIFS(IM!$F:$F,A82,IM!$AD:$AD,"O",IM!$X:$X,"&gt;="&amp;$R$1, IM!$X:$X,"&lt;"&amp;$R$2)&gt;0,"V","")</f>
        <v>V</v>
      </c>
      <c r="D82" s="279" t="str">
        <f>IF(AND(C82&lt;&gt;"V", COUNTIFS(IM!$F:$F,A82, IM!$AD:$AD, "O", IM!$X:$X, "&gt;="&amp;$R$2, IM!$X:$X, "&lt;"&amp;$R$3)&gt;0), "V", "")</f>
        <v/>
      </c>
      <c r="E82" s="279" t="str">
        <f>IF(AND(C82&lt;&gt;"V",D82&lt;&gt;"V", COUNTIFS(IM!$F:$F, A82, IM!$AD:$AD, "O", IM!$X:$X, "&gt;="&amp;$R$3, IM!$X:$X, "&lt;"&amp;$R$4)&gt;0), "V", "")</f>
        <v/>
      </c>
      <c r="F82" s="201" t="str">
        <f t="shared" si="3"/>
        <v/>
      </c>
      <c r="G82" s="201" t="str">
        <f>IF(VLOOKUP(A82,門市主檔!A:O,15,FALSE)="完工已補裝", "完工已補裝",
IF(AND(VLOOKUP(A82,門市主檔!A:Z,26,FALSE)="STAR", VLOOKUP(A82,門市主檔!A:R,18,FALSE)=""),
    IF(OR(C82="V", D82="V", E82="V"), "已PM未更換", "未更換"),
    IF(VLOOKUP(A82,門市主檔!A:Z,26,FALSE)&lt;&gt;"STAR", "無專案", "已更換")
))</f>
        <v>已更換</v>
      </c>
      <c r="H82" s="263">
        <f>VLOOKUP(A82,門市主檔!A:V,22,FALSE)</f>
        <v>2</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79" t="str">
        <f>IF(COUNTIFS(IM!$F:$F,A83,IM!$AD:$AD,"O",IM!$X:$X,"&gt;="&amp;$R$1, IM!$X:$X,"&lt;"&amp;$R$2)&gt;0,"V","")</f>
        <v>V</v>
      </c>
      <c r="D83" s="279" t="str">
        <f>IF(AND(C83&lt;&gt;"V", COUNTIFS(IM!$F:$F,A83, IM!$AD:$AD, "O", IM!$X:$X, "&gt;="&amp;$R$2, IM!$X:$X, "&lt;"&amp;$R$3)&gt;0), "V", "")</f>
        <v/>
      </c>
      <c r="E83" s="279" t="str">
        <f>IF(AND(C83&lt;&gt;"V",D83&lt;&gt;"V", COUNTIFS(IM!$F:$F, A83, IM!$AD:$AD, "O", IM!$X:$X, "&gt;="&amp;$R$3, IM!$X:$X, "&lt;"&amp;$R$4)&gt;0), "V", "")</f>
        <v/>
      </c>
      <c r="F83" s="201" t="str">
        <f t="shared" si="3"/>
        <v/>
      </c>
      <c r="G83" s="201" t="str">
        <f>IF(VLOOKUP(A83,門市主檔!A:O,15,FALSE)="完工已補裝", "完工已補裝",
IF(AND(VLOOKUP(A83,門市主檔!A:Z,26,FALSE)="STAR", VLOOKUP(A83,門市主檔!A:R,18,FALSE)=""),
    IF(OR(C83="V", D83="V", E83="V"), "已PM未更換", "未更換"),
    IF(VLOOKUP(A83,門市主檔!A:Z,26,FALSE)&lt;&gt;"STAR", "無專案", "已更換")
))</f>
        <v>已更換</v>
      </c>
      <c r="H83" s="263">
        <f>VLOOKUP(A83,門市主檔!A:V,22,FALSE)</f>
        <v>2</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79" t="str">
        <f>IF(COUNTIFS(IM!$F:$F,A84,IM!$AD:$AD,"O",IM!$X:$X,"&gt;="&amp;$R$1, IM!$X:$X,"&lt;"&amp;$R$2)&gt;0,"V","")</f>
        <v>V</v>
      </c>
      <c r="D84" s="279" t="str">
        <f>IF(AND(C84&lt;&gt;"V", COUNTIFS(IM!$F:$F,A84, IM!$AD:$AD, "O", IM!$X:$X, "&gt;="&amp;$R$2, IM!$X:$X, "&lt;"&amp;$R$3)&gt;0), "V", "")</f>
        <v/>
      </c>
      <c r="E84" s="279" t="str">
        <f>IF(AND(C84&lt;&gt;"V",D84&lt;&gt;"V", COUNTIFS(IM!$F:$F, A84, IM!$AD:$AD, "O", IM!$X:$X, "&gt;="&amp;$R$3, IM!$X:$X, "&lt;"&amp;$R$4)&gt;0), "V", "")</f>
        <v/>
      </c>
      <c r="F84" s="201" t="str">
        <f t="shared" si="3"/>
        <v/>
      </c>
      <c r="G84" s="201" t="str">
        <f>IF(VLOOKUP(A84,門市主檔!A:O,15,FALSE)="完工已補裝", "完工已補裝",
IF(AND(VLOOKUP(A84,門市主檔!A:Z,26,FALSE)="STAR", VLOOKUP(A84,門市主檔!A:R,18,FALSE)=""),
    IF(OR(C84="V", D84="V", E84="V"), "已PM未更換", "未更換"),
    IF(VLOOKUP(A84,門市主檔!A:Z,26,FALSE)&lt;&gt;"STAR", "無專案", "已更換")
))</f>
        <v>已更換</v>
      </c>
      <c r="H84" s="263">
        <f>VLOOKUP(A84,門市主檔!A:V,22,FALSE)</f>
        <v>2</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79" t="str">
        <f>IF(COUNTIFS(IM!$F:$F,A85,IM!$AD:$AD,"O",IM!$X:$X,"&gt;="&amp;$R$1, IM!$X:$X,"&lt;"&amp;$R$2)&gt;0,"V","")</f>
        <v>V</v>
      </c>
      <c r="D85" s="279" t="str">
        <f>IF(AND(C85&lt;&gt;"V", COUNTIFS(IM!$F:$F,A85, IM!$AD:$AD, "O", IM!$X:$X, "&gt;="&amp;$R$2, IM!$X:$X, "&lt;"&amp;$R$3)&gt;0), "V", "")</f>
        <v/>
      </c>
      <c r="E85" s="279" t="str">
        <f>IF(AND(C85&lt;&gt;"V",D85&lt;&gt;"V", COUNTIFS(IM!$F:$F, A85, IM!$AD:$AD, "O", IM!$X:$X, "&gt;="&amp;$R$3, IM!$X:$X, "&lt;"&amp;$R$4)&gt;0), "V", "")</f>
        <v/>
      </c>
      <c r="F85" s="201" t="str">
        <f t="shared" si="3"/>
        <v/>
      </c>
      <c r="G85" s="201" t="str">
        <f>IF(VLOOKUP(A85,門市主檔!A:O,15,FALSE)="完工已補裝", "完工已補裝",
IF(AND(VLOOKUP(A85,門市主檔!A:Z,26,FALSE)="STAR", VLOOKUP(A85,門市主檔!A:R,18,FALSE)=""),
    IF(OR(C85="V", D85="V", E85="V"), "已PM未更換", "未更換"),
    IF(VLOOKUP(A85,門市主檔!A:Z,26,FALSE)&lt;&gt;"STAR", "無專案", "已更換")
))</f>
        <v>無專案</v>
      </c>
      <c r="H85" s="263">
        <f>VLOOKUP(A85,門市主檔!A:V,22,FALSE)</f>
        <v>0</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79" t="str">
        <f>IF(COUNTIFS(IM!$F:$F,A86,IM!$AD:$AD,"O",IM!$X:$X,"&gt;="&amp;$R$1, IM!$X:$X,"&lt;"&amp;$R$2)&gt;0,"V","")</f>
        <v>V</v>
      </c>
      <c r="D86" s="279" t="str">
        <f>IF(AND(C86&lt;&gt;"V", COUNTIFS(IM!$F:$F,A86, IM!$AD:$AD, "O", IM!$X:$X, "&gt;="&amp;$R$2, IM!$X:$X, "&lt;"&amp;$R$3)&gt;0), "V", "")</f>
        <v/>
      </c>
      <c r="E86" s="279" t="str">
        <f>IF(AND(C86&lt;&gt;"V",D86&lt;&gt;"V", COUNTIFS(IM!$F:$F, A86, IM!$AD:$AD, "O", IM!$X:$X, "&gt;="&amp;$R$3, IM!$X:$X, "&lt;"&amp;$R$4)&gt;0), "V", "")</f>
        <v/>
      </c>
      <c r="F86" s="201" t="str">
        <f t="shared" si="3"/>
        <v/>
      </c>
      <c r="G86" s="201" t="str">
        <f>IF(VLOOKUP(A86,門市主檔!A:O,15,FALSE)="完工已補裝", "完工已補裝",
IF(AND(VLOOKUP(A86,門市主檔!A:Z,26,FALSE)="STAR", VLOOKUP(A86,門市主檔!A:R,18,FALSE)=""),
    IF(OR(C86="V", D86="V", E86="V"), "已PM未更換", "未更換"),
    IF(VLOOKUP(A86,門市主檔!A:Z,26,FALSE)&lt;&gt;"STAR", "無專案", "已更換")
))</f>
        <v>已更換</v>
      </c>
      <c r="H86" s="263">
        <f>VLOOKUP(A86,門市主檔!A:V,22,FALSE)</f>
        <v>2</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79" t="str">
        <f>IF(COUNTIFS(IM!$F:$F,A87,IM!$AD:$AD,"O",IM!$X:$X,"&gt;="&amp;$R$1, IM!$X:$X,"&lt;"&amp;$R$2)&gt;0,"V","")</f>
        <v>V</v>
      </c>
      <c r="D87" s="279" t="str">
        <f>IF(AND(C87&lt;&gt;"V", COUNTIFS(IM!$F:$F,A87, IM!$AD:$AD, "O", IM!$X:$X, "&gt;="&amp;$R$2, IM!$X:$X, "&lt;"&amp;$R$3)&gt;0), "V", "")</f>
        <v/>
      </c>
      <c r="E87" s="279" t="str">
        <f>IF(AND(C87&lt;&gt;"V",D87&lt;&gt;"V", COUNTIFS(IM!$F:$F, A87, IM!$AD:$AD, "O", IM!$X:$X, "&gt;="&amp;$R$3, IM!$X:$X, "&lt;"&amp;$R$4)&gt;0), "V", "")</f>
        <v/>
      </c>
      <c r="F87" s="201" t="str">
        <f t="shared" si="3"/>
        <v/>
      </c>
      <c r="G87" s="201" t="str">
        <f>IF(VLOOKUP(A87,門市主檔!A:O,15,FALSE)="完工已補裝", "完工已補裝",
IF(AND(VLOOKUP(A87,門市主檔!A:Z,26,FALSE)="STAR", VLOOKUP(A87,門市主檔!A:R,18,FALSE)=""),
    IF(OR(C87="V", D87="V", E87="V"), "已PM未更換", "未更換"),
    IF(VLOOKUP(A87,門市主檔!A:Z,26,FALSE)&lt;&gt;"STAR", "無專案", "已更換")
))</f>
        <v>已更換</v>
      </c>
      <c r="H87" s="263">
        <f>VLOOKUP(A87,門市主檔!A:V,22,FALSE)</f>
        <v>2</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79" t="str">
        <f>IF(COUNTIFS(IM!$F:$F,A88,IM!$AD:$AD,"O",IM!$X:$X,"&gt;="&amp;$R$1, IM!$X:$X,"&lt;"&amp;$R$2)&gt;0,"V","")</f>
        <v>V</v>
      </c>
      <c r="D88" s="279" t="str">
        <f>IF(AND(C88&lt;&gt;"V", COUNTIFS(IM!$F:$F,A88, IM!$AD:$AD, "O", IM!$X:$X, "&gt;="&amp;$R$2, IM!$X:$X, "&lt;"&amp;$R$3)&gt;0), "V", "")</f>
        <v/>
      </c>
      <c r="E88" s="279" t="str">
        <f>IF(AND(C88&lt;&gt;"V",D88&lt;&gt;"V", COUNTIFS(IM!$F:$F, A88, IM!$AD:$AD, "O", IM!$X:$X, "&gt;="&amp;$R$3, IM!$X:$X, "&lt;"&amp;$R$4)&gt;0), "V", "")</f>
        <v/>
      </c>
      <c r="F88" s="201" t="str">
        <f t="shared" si="3"/>
        <v/>
      </c>
      <c r="G88" s="201" t="str">
        <f>IF(VLOOKUP(A88,門市主檔!A:O,15,FALSE)="完工已補裝", "完工已補裝",
IF(AND(VLOOKUP(A88,門市主檔!A:Z,26,FALSE)="STAR", VLOOKUP(A88,門市主檔!A:R,18,FALSE)=""),
    IF(OR(C88="V", D88="V", E88="V"), "已PM未更換", "未更換"),
    IF(VLOOKUP(A88,門市主檔!A:Z,26,FALSE)&lt;&gt;"STAR", "無專案", "已更換")
))</f>
        <v>已更換</v>
      </c>
      <c r="H88" s="263">
        <f>VLOOKUP(A88,門市主檔!A:V,22,FALSE)</f>
        <v>2</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79" t="str">
        <f>IF(COUNTIFS(IM!$F:$F,A89,IM!$AD:$AD,"O",IM!$X:$X,"&gt;="&amp;$R$1, IM!$X:$X,"&lt;"&amp;$R$2)&gt;0,"V","")</f>
        <v>V</v>
      </c>
      <c r="D89" s="279" t="str">
        <f>IF(AND(C89&lt;&gt;"V", COUNTIFS(IM!$F:$F,A89, IM!$AD:$AD, "O", IM!$X:$X, "&gt;="&amp;$R$2, IM!$X:$X, "&lt;"&amp;$R$3)&gt;0), "V", "")</f>
        <v/>
      </c>
      <c r="E89" s="279" t="str">
        <f>IF(AND(C89&lt;&gt;"V",D89&lt;&gt;"V", COUNTIFS(IM!$F:$F, A89, IM!$AD:$AD, "O", IM!$X:$X, "&gt;="&amp;$R$3, IM!$X:$X, "&lt;"&amp;$R$4)&gt;0), "V", "")</f>
        <v/>
      </c>
      <c r="F89" s="201" t="str">
        <f t="shared" si="3"/>
        <v/>
      </c>
      <c r="G89" s="201" t="str">
        <f>IF(VLOOKUP(A89,門市主檔!A:O,15,FALSE)="完工已補裝", "完工已補裝",
IF(AND(VLOOKUP(A89,門市主檔!A:Z,26,FALSE)="STAR", VLOOKUP(A89,門市主檔!A:R,18,FALSE)=""),
    IF(OR(C89="V", D89="V", E89="V"), "已PM未更換", "未更換"),
    IF(VLOOKUP(A89,門市主檔!A:Z,26,FALSE)&lt;&gt;"STAR", "無專案", "已更換")
))</f>
        <v>已更換</v>
      </c>
      <c r="H89" s="263">
        <f>VLOOKUP(A89,門市主檔!A:V,22,FALSE)</f>
        <v>2</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79" t="str">
        <f>IF(COUNTIFS(IM!$F:$F,A90,IM!$AD:$AD,"O",IM!$X:$X,"&gt;="&amp;$R$1, IM!$X:$X,"&lt;"&amp;$R$2)&gt;0,"V","")</f>
        <v>V</v>
      </c>
      <c r="D90" s="279" t="str">
        <f>IF(AND(C90&lt;&gt;"V", COUNTIFS(IM!$F:$F,A90, IM!$AD:$AD, "O", IM!$X:$X, "&gt;="&amp;$R$2, IM!$X:$X, "&lt;"&amp;$R$3)&gt;0), "V", "")</f>
        <v/>
      </c>
      <c r="E90" s="279" t="str">
        <f>IF(AND(C90&lt;&gt;"V",D90&lt;&gt;"V", COUNTIFS(IM!$F:$F, A90, IM!$AD:$AD, "O", IM!$X:$X, "&gt;="&amp;$R$3, IM!$X:$X, "&lt;"&amp;$R$4)&gt;0), "V", "")</f>
        <v/>
      </c>
      <c r="F90" s="201" t="str">
        <f t="shared" si="3"/>
        <v/>
      </c>
      <c r="G90" s="201" t="str">
        <f>IF(VLOOKUP(A90,門市主檔!A:O,15,FALSE)="完工已補裝", "完工已補裝",
IF(AND(VLOOKUP(A90,門市主檔!A:Z,26,FALSE)="STAR", VLOOKUP(A90,門市主檔!A:R,18,FALSE)=""),
    IF(OR(C90="V", D90="V", E90="V"), "已PM未更換", "未更換"),
    IF(VLOOKUP(A90,門市主檔!A:Z,26,FALSE)&lt;&gt;"STAR", "無專案", "已更換")
))</f>
        <v>已更換</v>
      </c>
      <c r="H90" s="263">
        <f>VLOOKUP(A90,門市主檔!A:V,22,FALSE)</f>
        <v>2</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79" t="str">
        <f>IF(COUNTIFS(IM!$F:$F,A91,IM!$AD:$AD,"O",IM!$X:$X,"&gt;="&amp;$R$1, IM!$X:$X,"&lt;"&amp;$R$2)&gt;0,"V","")</f>
        <v>V</v>
      </c>
      <c r="D91" s="279" t="str">
        <f>IF(AND(C91&lt;&gt;"V", COUNTIFS(IM!$F:$F,A91, IM!$AD:$AD, "O", IM!$X:$X, "&gt;="&amp;$R$2, IM!$X:$X, "&lt;"&amp;$R$3)&gt;0), "V", "")</f>
        <v/>
      </c>
      <c r="E91" s="279" t="str">
        <f>IF(AND(C91&lt;&gt;"V",D91&lt;&gt;"V", COUNTIFS(IM!$F:$F, A91, IM!$AD:$AD, "O", IM!$X:$X, "&gt;="&amp;$R$3, IM!$X:$X, "&lt;"&amp;$R$4)&gt;0), "V", "")</f>
        <v/>
      </c>
      <c r="F91" s="201" t="str">
        <f t="shared" si="3"/>
        <v/>
      </c>
      <c r="G91" s="201" t="str">
        <f>IF(VLOOKUP(A91,門市主檔!A:O,15,FALSE)="完工已補裝", "完工已補裝",
IF(AND(VLOOKUP(A91,門市主檔!A:Z,26,FALSE)="STAR", VLOOKUP(A91,門市主檔!A:R,18,FALSE)=""),
    IF(OR(C91="V", D91="V", E91="V"), "已PM未更換", "未更換"),
    IF(VLOOKUP(A91,門市主檔!A:Z,26,FALSE)&lt;&gt;"STAR", "無專案", "已更換")
))</f>
        <v>已更換</v>
      </c>
      <c r="H91" s="263">
        <f>VLOOKUP(A91,門市主檔!A:V,22,FALSE)</f>
        <v>2</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79" t="str">
        <f>IF(COUNTIFS(IM!$F:$F,A92,IM!$AD:$AD,"O",IM!$X:$X,"&gt;="&amp;$R$1, IM!$X:$X,"&lt;"&amp;$R$2)&gt;0,"V","")</f>
        <v>V</v>
      </c>
      <c r="D92" s="279" t="str">
        <f>IF(AND(C92&lt;&gt;"V", COUNTIFS(IM!$F:$F,A92, IM!$AD:$AD, "O", IM!$X:$X, "&gt;="&amp;$R$2, IM!$X:$X, "&lt;"&amp;$R$3)&gt;0), "V", "")</f>
        <v/>
      </c>
      <c r="E92" s="279" t="str">
        <f>IF(AND(C92&lt;&gt;"V",D92&lt;&gt;"V", COUNTIFS(IM!$F:$F, A92, IM!$AD:$AD, "O", IM!$X:$X, "&gt;="&amp;$R$3, IM!$X:$X, "&lt;"&amp;$R$4)&gt;0), "V", "")</f>
        <v/>
      </c>
      <c r="F92" s="201" t="str">
        <f t="shared" si="3"/>
        <v/>
      </c>
      <c r="G92" s="201" t="str">
        <f>IF(VLOOKUP(A92,門市主檔!A:O,15,FALSE)="完工已補裝", "完工已補裝",
IF(AND(VLOOKUP(A92,門市主檔!A:Z,26,FALSE)="STAR", VLOOKUP(A92,門市主檔!A:R,18,FALSE)=""),
    IF(OR(C92="V", D92="V", E92="V"), "已PM未更換", "未更換"),
    IF(VLOOKUP(A92,門市主檔!A:Z,26,FALSE)&lt;&gt;"STAR", "無專案", "已更換")
))</f>
        <v>已更換</v>
      </c>
      <c r="H92" s="263">
        <f>VLOOKUP(A92,門市主檔!A:V,22,FALSE)</f>
        <v>1</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79" t="str">
        <f>IF(COUNTIFS(IM!$F:$F,A93,IM!$AD:$AD,"O",IM!$X:$X,"&gt;="&amp;$R$1, IM!$X:$X,"&lt;"&amp;$R$2)&gt;0,"V","")</f>
        <v>V</v>
      </c>
      <c r="D93" s="279" t="str">
        <f>IF(AND(C93&lt;&gt;"V", COUNTIFS(IM!$F:$F,A93, IM!$AD:$AD, "O", IM!$X:$X, "&gt;="&amp;$R$2, IM!$X:$X, "&lt;"&amp;$R$3)&gt;0), "V", "")</f>
        <v/>
      </c>
      <c r="E93" s="279" t="str">
        <f>IF(AND(C93&lt;&gt;"V",D93&lt;&gt;"V", COUNTIFS(IM!$F:$F, A93, IM!$AD:$AD, "O", IM!$X:$X, "&gt;="&amp;$R$3, IM!$X:$X, "&lt;"&amp;$R$4)&gt;0), "V", "")</f>
        <v/>
      </c>
      <c r="F93" s="201" t="str">
        <f t="shared" si="3"/>
        <v/>
      </c>
      <c r="G93" s="201" t="str">
        <f>IF(VLOOKUP(A93,門市主檔!A:O,15,FALSE)="完工已補裝", "完工已補裝",
IF(AND(VLOOKUP(A93,門市主檔!A:Z,26,FALSE)="STAR", VLOOKUP(A93,門市主檔!A:R,18,FALSE)=""),
    IF(OR(C93="V", D93="V", E93="V"), "已PM未更換", "未更換"),
    IF(VLOOKUP(A93,門市主檔!A:Z,26,FALSE)&lt;&gt;"STAR", "無專案", "已更換")
))</f>
        <v>已更換</v>
      </c>
      <c r="H93" s="263">
        <f>VLOOKUP(A93,門市主檔!A:V,22,FALSE)</f>
        <v>1</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79" t="str">
        <f>IF(COUNTIFS(IM!$F:$F,A94,IM!$AD:$AD,"O",IM!$X:$X,"&gt;="&amp;$R$1, IM!$X:$X,"&lt;"&amp;$R$2)&gt;0,"V","")</f>
        <v>V</v>
      </c>
      <c r="D94" s="279" t="str">
        <f>IF(AND(C94&lt;&gt;"V", COUNTIFS(IM!$F:$F,A94, IM!$AD:$AD, "O", IM!$X:$X, "&gt;="&amp;$R$2, IM!$X:$X, "&lt;"&amp;$R$3)&gt;0), "V", "")</f>
        <v/>
      </c>
      <c r="E94" s="279" t="str">
        <f>IF(AND(C94&lt;&gt;"V",D94&lt;&gt;"V", COUNTIFS(IM!$F:$F, A94, IM!$AD:$AD, "O", IM!$X:$X, "&gt;="&amp;$R$3, IM!$X:$X, "&lt;"&amp;$R$4)&gt;0), "V", "")</f>
        <v/>
      </c>
      <c r="F94" s="201" t="str">
        <f t="shared" si="3"/>
        <v/>
      </c>
      <c r="G94" s="201" t="str">
        <f>IF(VLOOKUP(A94,門市主檔!A:O,15,FALSE)="完工已補裝", "完工已補裝",
IF(AND(VLOOKUP(A94,門市主檔!A:Z,26,FALSE)="STAR", VLOOKUP(A94,門市主檔!A:R,18,FALSE)=""),
    IF(OR(C94="V", D94="V", E94="V"), "已PM未更換", "未更換"),
    IF(VLOOKUP(A94,門市主檔!A:Z,26,FALSE)&lt;&gt;"STAR", "無專案", "已更換")
))</f>
        <v>已更換</v>
      </c>
      <c r="H94" s="263">
        <f>VLOOKUP(A94,門市主檔!A:V,22,FALSE)</f>
        <v>2</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79" t="str">
        <f>IF(COUNTIFS(IM!$F:$F,A95,IM!$AD:$AD,"O",IM!$X:$X,"&gt;="&amp;$R$1, IM!$X:$X,"&lt;"&amp;$R$2)&gt;0,"V","")</f>
        <v>V</v>
      </c>
      <c r="D95" s="279" t="str">
        <f>IF(AND(C95&lt;&gt;"V", COUNTIFS(IM!$F:$F,A95, IM!$AD:$AD, "O", IM!$X:$X, "&gt;="&amp;$R$2, IM!$X:$X, "&lt;"&amp;$R$3)&gt;0), "V", "")</f>
        <v/>
      </c>
      <c r="E95" s="279" t="str">
        <f>IF(AND(C95&lt;&gt;"V",D95&lt;&gt;"V", COUNTIFS(IM!$F:$F, A95, IM!$AD:$AD, "O", IM!$X:$X, "&gt;="&amp;$R$3, IM!$X:$X, "&lt;"&amp;$R$4)&gt;0), "V", "")</f>
        <v/>
      </c>
      <c r="F95" s="201" t="str">
        <f t="shared" si="3"/>
        <v/>
      </c>
      <c r="G95" s="201" t="str">
        <f>IF(VLOOKUP(A95,門市主檔!A:O,15,FALSE)="完工已補裝", "完工已補裝",
IF(AND(VLOOKUP(A95,門市主檔!A:Z,26,FALSE)="STAR", VLOOKUP(A95,門市主檔!A:R,18,FALSE)=""),
    IF(OR(C95="V", D95="V", E95="V"), "已PM未更換", "未更換"),
    IF(VLOOKUP(A95,門市主檔!A:Z,26,FALSE)&lt;&gt;"STAR", "無專案", "已更換")
))</f>
        <v>已更換</v>
      </c>
      <c r="H95" s="263">
        <f>VLOOKUP(A95,門市主檔!A:V,22,FALSE)</f>
        <v>2</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79" t="str">
        <f>IF(COUNTIFS(IM!$F:$F,A96,IM!$AD:$AD,"O",IM!$X:$X,"&gt;="&amp;$R$1, IM!$X:$X,"&lt;"&amp;$R$2)&gt;0,"V","")</f>
        <v>V</v>
      </c>
      <c r="D96" s="279" t="str">
        <f>IF(AND(C96&lt;&gt;"V", COUNTIFS(IM!$F:$F,A96, IM!$AD:$AD, "O", IM!$X:$X, "&gt;="&amp;$R$2, IM!$X:$X, "&lt;"&amp;$R$3)&gt;0), "V", "")</f>
        <v/>
      </c>
      <c r="E96" s="279" t="str">
        <f>IF(AND(C96&lt;&gt;"V",D96&lt;&gt;"V", COUNTIFS(IM!$F:$F, A96, IM!$AD:$AD, "O", IM!$X:$X, "&gt;="&amp;$R$3, IM!$X:$X, "&lt;"&amp;$R$4)&gt;0), "V", "")</f>
        <v/>
      </c>
      <c r="F96" s="201" t="str">
        <f t="shared" si="3"/>
        <v/>
      </c>
      <c r="G96" s="201" t="str">
        <f>IF(VLOOKUP(A96,門市主檔!A:O,15,FALSE)="完工已補裝", "完工已補裝",
IF(AND(VLOOKUP(A96,門市主檔!A:Z,26,FALSE)="STAR", VLOOKUP(A96,門市主檔!A:R,18,FALSE)=""),
    IF(OR(C96="V", D96="V", E96="V"), "已PM未更換", "未更換"),
    IF(VLOOKUP(A96,門市主檔!A:Z,26,FALSE)&lt;&gt;"STAR", "無專案", "已更換")
))</f>
        <v>已更換</v>
      </c>
      <c r="H96" s="263">
        <f>VLOOKUP(A96,門市主檔!A:V,22,FALSE)</f>
        <v>2</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79" t="str">
        <f>IF(COUNTIFS(IM!$F:$F,A97,IM!$AD:$AD,"O",IM!$X:$X,"&gt;="&amp;$R$1, IM!$X:$X,"&lt;"&amp;$R$2)&gt;0,"V","")</f>
        <v>V</v>
      </c>
      <c r="D97" s="279" t="str">
        <f>IF(AND(C97&lt;&gt;"V", COUNTIFS(IM!$F:$F,A97, IM!$AD:$AD, "O", IM!$X:$X, "&gt;="&amp;$R$2, IM!$X:$X, "&lt;"&amp;$R$3)&gt;0), "V", "")</f>
        <v/>
      </c>
      <c r="E97" s="279" t="str">
        <f>IF(AND(C97&lt;&gt;"V",D97&lt;&gt;"V", COUNTIFS(IM!$F:$F, A97, IM!$AD:$AD, "O", IM!$X:$X, "&gt;="&amp;$R$3, IM!$X:$X, "&lt;"&amp;$R$4)&gt;0), "V", "")</f>
        <v/>
      </c>
      <c r="F97" s="201" t="str">
        <f t="shared" si="3"/>
        <v/>
      </c>
      <c r="G97" s="201" t="str">
        <f>IF(VLOOKUP(A97,門市主檔!A:O,15,FALSE)="完工已補裝", "完工已補裝",
IF(AND(VLOOKUP(A97,門市主檔!A:Z,26,FALSE)="STAR", VLOOKUP(A97,門市主檔!A:R,18,FALSE)=""),
    IF(OR(C97="V", D97="V", E97="V"), "已PM未更換", "未更換"),
    IF(VLOOKUP(A97,門市主檔!A:Z,26,FALSE)&lt;&gt;"STAR", "無專案", "已更換")
))</f>
        <v>已更換</v>
      </c>
      <c r="H97" s="263">
        <f>VLOOKUP(A97,門市主檔!A:V,22,FALSE)</f>
        <v>2</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79" t="str">
        <f>IF(COUNTIFS(IM!$F:$F,A98,IM!$AD:$AD,"O",IM!$X:$X,"&gt;="&amp;$R$1, IM!$X:$X,"&lt;"&amp;$R$2)&gt;0,"V","")</f>
        <v>V</v>
      </c>
      <c r="D98" s="279" t="str">
        <f>IF(AND(C98&lt;&gt;"V", COUNTIFS(IM!$F:$F,A98, IM!$AD:$AD, "O", IM!$X:$X, "&gt;="&amp;$R$2, IM!$X:$X, "&lt;"&amp;$R$3)&gt;0), "V", "")</f>
        <v/>
      </c>
      <c r="E98" s="279" t="str">
        <f>IF(AND(C98&lt;&gt;"V",D98&lt;&gt;"V", COUNTIFS(IM!$F:$F, A98, IM!$AD:$AD, "O", IM!$X:$X, "&gt;="&amp;$R$3, IM!$X:$X, "&lt;"&amp;$R$4)&gt;0), "V", "")</f>
        <v/>
      </c>
      <c r="F98" s="201" t="str">
        <f t="shared" si="3"/>
        <v/>
      </c>
      <c r="G98" s="201" t="str">
        <f>IF(VLOOKUP(A98,門市主檔!A:O,15,FALSE)="完工已補裝", "完工已補裝",
IF(AND(VLOOKUP(A98,門市主檔!A:Z,26,FALSE)="STAR", VLOOKUP(A98,門市主檔!A:R,18,FALSE)=""),
    IF(OR(C98="V", D98="V", E98="V"), "已PM未更換", "未更換"),
    IF(VLOOKUP(A98,門市主檔!A:Z,26,FALSE)&lt;&gt;"STAR", "無專案", "已更換")
))</f>
        <v>已更換</v>
      </c>
      <c r="H98" s="263">
        <f>VLOOKUP(A98,門市主檔!A:V,22,FALSE)</f>
        <v>2</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79" t="str">
        <f>IF(COUNTIFS(IM!$F:$F,A99,IM!$AD:$AD,"O",IM!$X:$X,"&gt;="&amp;$R$1, IM!$X:$X,"&lt;"&amp;$R$2)&gt;0,"V","")</f>
        <v>V</v>
      </c>
      <c r="D99" s="279" t="str">
        <f>IF(AND(C99&lt;&gt;"V", COUNTIFS(IM!$F:$F,A99, IM!$AD:$AD, "O", IM!$X:$X, "&gt;="&amp;$R$2, IM!$X:$X, "&lt;"&amp;$R$3)&gt;0), "V", "")</f>
        <v/>
      </c>
      <c r="E99" s="279" t="str">
        <f>IF(AND(C99&lt;&gt;"V",D99&lt;&gt;"V", COUNTIFS(IM!$F:$F, A99, IM!$AD:$AD, "O", IM!$X:$X, "&gt;="&amp;$R$3, IM!$X:$X, "&lt;"&amp;$R$4)&gt;0), "V", "")</f>
        <v/>
      </c>
      <c r="F99" s="201" t="str">
        <f t="shared" si="3"/>
        <v/>
      </c>
      <c r="G99" s="201" t="str">
        <f>IF(VLOOKUP(A99,門市主檔!A:O,15,FALSE)="完工已補裝", "完工已補裝",
IF(AND(VLOOKUP(A99,門市主檔!A:Z,26,FALSE)="STAR", VLOOKUP(A99,門市主檔!A:R,18,FALSE)=""),
    IF(OR(C99="V", D99="V", E99="V"), "已PM未更換", "未更換"),
    IF(VLOOKUP(A99,門市主檔!A:Z,26,FALSE)&lt;&gt;"STAR", "無專案", "已更換")
))</f>
        <v>已更換</v>
      </c>
      <c r="H99" s="263">
        <f>VLOOKUP(A99,門市主檔!A:V,22,FALSE)</f>
        <v>2</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79" t="str">
        <f>IF(COUNTIFS(IM!$F:$F,A100,IM!$AD:$AD,"O",IM!$X:$X,"&gt;="&amp;$R$1, IM!$X:$X,"&lt;"&amp;$R$2)&gt;0,"V","")</f>
        <v>V</v>
      </c>
      <c r="D100" s="279" t="str">
        <f>IF(AND(C100&lt;&gt;"V", COUNTIFS(IM!$F:$F,A100, IM!$AD:$AD, "O", IM!$X:$X, "&gt;="&amp;$R$2, IM!$X:$X, "&lt;"&amp;$R$3)&gt;0), "V", "")</f>
        <v/>
      </c>
      <c r="E100" s="279" t="str">
        <f>IF(AND(C100&lt;&gt;"V",D100&lt;&gt;"V", COUNTIFS(IM!$F:$F, A100, IM!$AD:$AD, "O", IM!$X:$X, "&gt;="&amp;$R$3, IM!$X:$X, "&lt;"&amp;$R$4)&gt;0), "V", "")</f>
        <v/>
      </c>
      <c r="F100" s="201" t="str">
        <f t="shared" si="3"/>
        <v/>
      </c>
      <c r="G100" s="201"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63">
        <f>VLOOKUP(A100,門市主檔!A:V,22,FALSE)</f>
        <v>1</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79" t="str">
        <f>IF(COUNTIFS(IM!$F:$F,A101,IM!$AD:$AD,"O",IM!$X:$X,"&gt;="&amp;$R$1, IM!$X:$X,"&lt;"&amp;$R$2)&gt;0,"V","")</f>
        <v>V</v>
      </c>
      <c r="D101" s="279" t="str">
        <f>IF(AND(C101&lt;&gt;"V", COUNTIFS(IM!$F:$F,A101, IM!$AD:$AD, "O", IM!$X:$X, "&gt;="&amp;$R$2, IM!$X:$X, "&lt;"&amp;$R$3)&gt;0), "V", "")</f>
        <v/>
      </c>
      <c r="E101" s="279" t="str">
        <f>IF(AND(C101&lt;&gt;"V",D101&lt;&gt;"V", COUNTIFS(IM!$F:$F, A101, IM!$AD:$AD, "O", IM!$X:$X, "&gt;="&amp;$R$3, IM!$X:$X, "&lt;"&amp;$R$4)&gt;0), "V", "")</f>
        <v/>
      </c>
      <c r="F101" s="201" t="str">
        <f t="shared" si="3"/>
        <v/>
      </c>
      <c r="G101" s="201"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63">
        <f>VLOOKUP(A101,門市主檔!A:V,22,FALSE)</f>
        <v>2</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79" t="str">
        <f>IF(COUNTIFS(IM!$F:$F,A102,IM!$AD:$AD,"O",IM!$X:$X,"&gt;="&amp;$R$1, IM!$X:$X,"&lt;"&amp;$R$2)&gt;0,"V","")</f>
        <v>V</v>
      </c>
      <c r="D102" s="279" t="str">
        <f>IF(AND(C102&lt;&gt;"V", COUNTIFS(IM!$F:$F,A102, IM!$AD:$AD, "O", IM!$X:$X, "&gt;="&amp;$R$2, IM!$X:$X, "&lt;"&amp;$R$3)&gt;0), "V", "")</f>
        <v/>
      </c>
      <c r="E102" s="279" t="str">
        <f>IF(AND(C102&lt;&gt;"V",D102&lt;&gt;"V", COUNTIFS(IM!$F:$F, A102, IM!$AD:$AD, "O", IM!$X:$X, "&gt;="&amp;$R$3, IM!$X:$X, "&lt;"&amp;$R$4)&gt;0), "V", "")</f>
        <v/>
      </c>
      <c r="F102" s="201" t="str">
        <f t="shared" si="3"/>
        <v/>
      </c>
      <c r="G102" s="201"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63">
        <f>VLOOKUP(A102,門市主檔!A:V,22,FALSE)</f>
        <v>0</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79" t="str">
        <f>IF(COUNTIFS(IM!$F:$F,A103,IM!$AD:$AD,"O",IM!$X:$X,"&gt;="&amp;$R$1, IM!$X:$X,"&lt;"&amp;$R$2)&gt;0,"V","")</f>
        <v>V</v>
      </c>
      <c r="D103" s="279" t="str">
        <f>IF(AND(C103&lt;&gt;"V", COUNTIFS(IM!$F:$F,A103, IM!$AD:$AD, "O", IM!$X:$X, "&gt;="&amp;$R$2, IM!$X:$X, "&lt;"&amp;$R$3)&gt;0), "V", "")</f>
        <v/>
      </c>
      <c r="E103" s="279" t="str">
        <f>IF(AND(C103&lt;&gt;"V",D103&lt;&gt;"V", COUNTIFS(IM!$F:$F, A103, IM!$AD:$AD, "O", IM!$X:$X, "&gt;="&amp;$R$3, IM!$X:$X, "&lt;"&amp;$R$4)&gt;0), "V", "")</f>
        <v/>
      </c>
      <c r="F103" s="201" t="str">
        <f t="shared" ref="F103:F123" si="4">IF(COUNTBLANK(C103:E103)=3,"未保養","")</f>
        <v/>
      </c>
      <c r="G103" s="201"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63">
        <f>VLOOKUP(A103,門市主檔!A:V,22,FALSE)</f>
        <v>2</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79" t="str">
        <f>IF(COUNTIFS(IM!$F:$F,A104,IM!$AD:$AD,"O",IM!$X:$X,"&gt;="&amp;$R$1, IM!$X:$X,"&lt;"&amp;$R$2)&gt;0,"V","")</f>
        <v>V</v>
      </c>
      <c r="D104" s="279" t="str">
        <f>IF(AND(C104&lt;&gt;"V", COUNTIFS(IM!$F:$F,A104, IM!$AD:$AD, "O", IM!$X:$X, "&gt;="&amp;$R$2, IM!$X:$X, "&lt;"&amp;$R$3)&gt;0), "V", "")</f>
        <v/>
      </c>
      <c r="E104" s="279" t="str">
        <f>IF(AND(C104&lt;&gt;"V",D104&lt;&gt;"V", COUNTIFS(IM!$F:$F, A104, IM!$AD:$AD, "O", IM!$X:$X, "&gt;="&amp;$R$3, IM!$X:$X, "&lt;"&amp;$R$4)&gt;0), "V", "")</f>
        <v/>
      </c>
      <c r="F104" s="201" t="str">
        <f t="shared" si="4"/>
        <v/>
      </c>
      <c r="G104" s="201"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63">
        <f>VLOOKUP(A104,門市主檔!A:V,22,FALSE)</f>
        <v>0</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79" t="str">
        <f>IF(COUNTIFS(IM!$F:$F,A105,IM!$AD:$AD,"O",IM!$X:$X,"&gt;="&amp;$R$1, IM!$X:$X,"&lt;"&amp;$R$2)&gt;0,"V","")</f>
        <v>V</v>
      </c>
      <c r="D105" s="279" t="str">
        <f>IF(AND(C105&lt;&gt;"V", COUNTIFS(IM!$F:$F,A105, IM!$AD:$AD, "O", IM!$X:$X, "&gt;="&amp;$R$2, IM!$X:$X, "&lt;"&amp;$R$3)&gt;0), "V", "")</f>
        <v/>
      </c>
      <c r="E105" s="279" t="str">
        <f>IF(AND(C105&lt;&gt;"V",D105&lt;&gt;"V", COUNTIFS(IM!$F:$F, A105, IM!$AD:$AD, "O", IM!$X:$X, "&gt;="&amp;$R$3, IM!$X:$X, "&lt;"&amp;$R$4)&gt;0), "V", "")</f>
        <v/>
      </c>
      <c r="F105" s="201" t="str">
        <f t="shared" si="4"/>
        <v/>
      </c>
      <c r="G105" s="201"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63">
        <f>VLOOKUP(A105,門市主檔!A:V,22,FALSE)</f>
        <v>2</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79" t="str">
        <f>IF(COUNTIFS(IM!$F:$F,A106,IM!$AD:$AD,"O",IM!$X:$X,"&gt;="&amp;$R$1, IM!$X:$X,"&lt;"&amp;$R$2)&gt;0,"V","")</f>
        <v>V</v>
      </c>
      <c r="D106" s="279" t="str">
        <f>IF(AND(C106&lt;&gt;"V", COUNTIFS(IM!$F:$F,A106, IM!$AD:$AD, "O", IM!$X:$X, "&gt;="&amp;$R$2, IM!$X:$X, "&lt;"&amp;$R$3)&gt;0), "V", "")</f>
        <v/>
      </c>
      <c r="E106" s="279" t="str">
        <f>IF(AND(C106&lt;&gt;"V",D106&lt;&gt;"V", COUNTIFS(IM!$F:$F, A106, IM!$AD:$AD, "O", IM!$X:$X, "&gt;="&amp;$R$3, IM!$X:$X, "&lt;"&amp;$R$4)&gt;0), "V", "")</f>
        <v/>
      </c>
      <c r="F106" s="201" t="str">
        <f t="shared" si="4"/>
        <v/>
      </c>
      <c r="G106" s="201"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63">
        <f>VLOOKUP(A106,門市主檔!A:V,22,FALSE)</f>
        <v>2</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79" t="str">
        <f>IF(COUNTIFS(IM!$F:$F,A107,IM!$AD:$AD,"O",IM!$X:$X,"&gt;="&amp;$R$1, IM!$X:$X,"&lt;"&amp;$R$2)&gt;0,"V","")</f>
        <v>V</v>
      </c>
      <c r="D107" s="279" t="str">
        <f>IF(AND(C107&lt;&gt;"V", COUNTIFS(IM!$F:$F,A107, IM!$AD:$AD, "O", IM!$X:$X, "&gt;="&amp;$R$2, IM!$X:$X, "&lt;"&amp;$R$3)&gt;0), "V", "")</f>
        <v/>
      </c>
      <c r="E107" s="279" t="str">
        <f>IF(AND(C107&lt;&gt;"V",D107&lt;&gt;"V", COUNTIFS(IM!$F:$F, A107, IM!$AD:$AD, "O", IM!$X:$X, "&gt;="&amp;$R$3, IM!$X:$X, "&lt;"&amp;$R$4)&gt;0), "V", "")</f>
        <v/>
      </c>
      <c r="F107" s="201" t="str">
        <f t="shared" si="4"/>
        <v/>
      </c>
      <c r="G107" s="201"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63">
        <f>VLOOKUP(A107,門市主檔!A:V,22,FALSE)</f>
        <v>0</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79" t="str">
        <f>IF(COUNTIFS(IM!$F:$F,A108,IM!$AD:$AD,"O",IM!$X:$X,"&gt;="&amp;$R$1, IM!$X:$X,"&lt;"&amp;$R$2)&gt;0,"V","")</f>
        <v>V</v>
      </c>
      <c r="D108" s="279" t="str">
        <f>IF(AND(C108&lt;&gt;"V", COUNTIFS(IM!$F:$F,A108, IM!$AD:$AD, "O", IM!$X:$X, "&gt;="&amp;$R$2, IM!$X:$X, "&lt;"&amp;$R$3)&gt;0), "V", "")</f>
        <v/>
      </c>
      <c r="E108" s="279" t="str">
        <f>IF(AND(C108&lt;&gt;"V",D108&lt;&gt;"V", COUNTIFS(IM!$F:$F, A108, IM!$AD:$AD, "O", IM!$X:$X, "&gt;="&amp;$R$3, IM!$X:$X, "&lt;"&amp;$R$4)&gt;0), "V", "")</f>
        <v/>
      </c>
      <c r="F108" s="201" t="str">
        <f t="shared" si="4"/>
        <v/>
      </c>
      <c r="G108" s="201"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63">
        <f>VLOOKUP(A108,門市主檔!A:V,22,FALSE)</f>
        <v>0</v>
      </c>
      <c r="I108" s="201" t="str">
        <f>VLOOKUP(A108,'0919門市清單主檔'!B:V,21,FALSE)</f>
        <v>三重區</v>
      </c>
      <c r="J108" s="210" t="s">
        <v>5027</v>
      </c>
      <c r="K108" s="202"/>
      <c r="L108" s="202"/>
      <c r="M108" s="202"/>
      <c r="N108" s="202"/>
      <c r="O108" s="202"/>
      <c r="P108" s="196" t="s">
        <v>51</v>
      </c>
      <c r="Q108" s="206" t="s">
        <v>4109</v>
      </c>
    </row>
    <row r="109" spans="1:17" ht="19.5" customHeight="1">
      <c r="A109" s="201">
        <v>4241</v>
      </c>
      <c r="B109" s="201" t="str">
        <f>VLOOKUP(A109,門市主檔!A:B,2,FALSE)</f>
        <v>三重仁義店</v>
      </c>
      <c r="C109" s="279" t="str">
        <f>IF(COUNTIFS(IM!$F:$F,A109,IM!$AD:$AD,"O",IM!$X:$X,"&gt;="&amp;$R$1, IM!$X:$X,"&lt;"&amp;$R$2)&gt;0,"V","")</f>
        <v>V</v>
      </c>
      <c r="D109" s="279" t="str">
        <f>IF(AND(C109&lt;&gt;"V", COUNTIFS(IM!$F:$F,A109, IM!$AD:$AD, "O", IM!$X:$X, "&gt;="&amp;$R$2, IM!$X:$X, "&lt;"&amp;$R$3)&gt;0), "V", "")</f>
        <v/>
      </c>
      <c r="E109" s="279" t="str">
        <f>IF(AND(C109&lt;&gt;"V",D109&lt;&gt;"V", COUNTIFS(IM!$F:$F, A109, IM!$AD:$AD, "O", IM!$X:$X, "&gt;="&amp;$R$3, IM!$X:$X, "&lt;"&amp;$R$4)&gt;0), "V", "")</f>
        <v/>
      </c>
      <c r="F109" s="201" t="str">
        <f t="shared" si="4"/>
        <v/>
      </c>
      <c r="G109" s="201"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63">
        <f>VLOOKUP(A109,門市主檔!A:V,22,FALSE)</f>
        <v>2</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79" t="str">
        <f>IF(COUNTIFS(IM!$F:$F,A110,IM!$AD:$AD,"O",IM!$X:$X,"&gt;="&amp;$R$1, IM!$X:$X,"&lt;"&amp;$R$2)&gt;0,"V","")</f>
        <v>V</v>
      </c>
      <c r="D110" s="279" t="str">
        <f>IF(AND(C110&lt;&gt;"V", COUNTIFS(IM!$F:$F,A110, IM!$AD:$AD, "O", IM!$X:$X, "&gt;="&amp;$R$2, IM!$X:$X, "&lt;"&amp;$R$3)&gt;0), "V", "")</f>
        <v/>
      </c>
      <c r="E110" s="279" t="str">
        <f>IF(AND(C110&lt;&gt;"V",D110&lt;&gt;"V", COUNTIFS(IM!$F:$F, A110, IM!$AD:$AD, "O", IM!$X:$X, "&gt;="&amp;$R$3, IM!$X:$X, "&lt;"&amp;$R$4)&gt;0), "V", "")</f>
        <v/>
      </c>
      <c r="F110" s="201" t="str">
        <f t="shared" si="4"/>
        <v/>
      </c>
      <c r="G110" s="201"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63">
        <f>VLOOKUP(A110,門市主檔!A:V,22,FALSE)</f>
        <v>0</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79" t="str">
        <f>IF(COUNTIFS(IM!$F:$F,A111,IM!$AD:$AD,"O",IM!$X:$X,"&gt;="&amp;$R$1, IM!$X:$X,"&lt;"&amp;$R$2)&gt;0,"V","")</f>
        <v>V</v>
      </c>
      <c r="D111" s="279" t="str">
        <f>IF(AND(C111&lt;&gt;"V", COUNTIFS(IM!$F:$F,A111, IM!$AD:$AD, "O", IM!$X:$X, "&gt;="&amp;$R$2, IM!$X:$X, "&lt;"&amp;$R$3)&gt;0), "V", "")</f>
        <v/>
      </c>
      <c r="E111" s="279" t="str">
        <f>IF(AND(C111&lt;&gt;"V",D111&lt;&gt;"V", COUNTIFS(IM!$F:$F, A111, IM!$AD:$AD, "O", IM!$X:$X, "&gt;="&amp;$R$3, IM!$X:$X, "&lt;"&amp;$R$4)&gt;0), "V", "")</f>
        <v/>
      </c>
      <c r="F111" s="201" t="str">
        <f t="shared" si="4"/>
        <v/>
      </c>
      <c r="G111" s="201"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63">
        <f>VLOOKUP(A111,門市主檔!A:V,22,FALSE)</f>
        <v>2</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79" t="str">
        <f>IF(COUNTIFS(IM!$F:$F,A112,IM!$AD:$AD,"O",IM!$X:$X,"&gt;="&amp;$R$1, IM!$X:$X,"&lt;"&amp;$R$2)&gt;0,"V","")</f>
        <v>V</v>
      </c>
      <c r="D112" s="279" t="str">
        <f>IF(AND(C112&lt;&gt;"V", COUNTIFS(IM!$F:$F,A112, IM!$AD:$AD, "O", IM!$X:$X, "&gt;="&amp;$R$2, IM!$X:$X, "&lt;"&amp;$R$3)&gt;0), "V", "")</f>
        <v/>
      </c>
      <c r="E112" s="279" t="str">
        <f>IF(AND(C112&lt;&gt;"V",D112&lt;&gt;"V", COUNTIFS(IM!$F:$F, A112, IM!$AD:$AD, "O", IM!$X:$X, "&gt;="&amp;$R$3, IM!$X:$X, "&lt;"&amp;$R$4)&gt;0), "V", "")</f>
        <v/>
      </c>
      <c r="F112" s="201" t="str">
        <f t="shared" si="4"/>
        <v/>
      </c>
      <c r="G112" s="201"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63">
        <f>VLOOKUP(A112,門市主檔!A:V,22,FALSE)</f>
        <v>2</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79" t="str">
        <f>IF(COUNTIFS(IM!$F:$F,A113,IM!$AD:$AD,"O",IM!$X:$X,"&gt;="&amp;$R$1, IM!$X:$X,"&lt;"&amp;$R$2)&gt;0,"V","")</f>
        <v>V</v>
      </c>
      <c r="D113" s="279" t="str">
        <f>IF(AND(C113&lt;&gt;"V", COUNTIFS(IM!$F:$F,A113, IM!$AD:$AD, "O", IM!$X:$X, "&gt;="&amp;$R$2, IM!$X:$X, "&lt;"&amp;$R$3)&gt;0), "V", "")</f>
        <v/>
      </c>
      <c r="E113" s="279" t="str">
        <f>IF(AND(C113&lt;&gt;"V",D113&lt;&gt;"V", COUNTIFS(IM!$F:$F, A113, IM!$AD:$AD, "O", IM!$X:$X, "&gt;="&amp;$R$3, IM!$X:$X, "&lt;"&amp;$R$4)&gt;0), "V", "")</f>
        <v/>
      </c>
      <c r="F113" s="201" t="str">
        <f t="shared" si="4"/>
        <v/>
      </c>
      <c r="G113" s="201"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63">
        <f>VLOOKUP(A113,門市主檔!A:V,22,FALSE)</f>
        <v>2</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79" t="str">
        <f>IF(COUNTIFS(IM!$F:$F,A114,IM!$AD:$AD,"O",IM!$X:$X,"&gt;="&amp;$R$1, IM!$X:$X,"&lt;"&amp;$R$2)&gt;0,"V","")</f>
        <v>V</v>
      </c>
      <c r="D114" s="279" t="str">
        <f>IF(AND(C114&lt;&gt;"V", COUNTIFS(IM!$F:$F,A114, IM!$AD:$AD, "O", IM!$X:$X, "&gt;="&amp;$R$2, IM!$X:$X, "&lt;"&amp;$R$3)&gt;0), "V", "")</f>
        <v/>
      </c>
      <c r="E114" s="279" t="str">
        <f>IF(AND(C114&lt;&gt;"V",D114&lt;&gt;"V", COUNTIFS(IM!$F:$F, A114, IM!$AD:$AD, "O", IM!$X:$X, "&gt;="&amp;$R$3, IM!$X:$X, "&lt;"&amp;$R$4)&gt;0), "V", "")</f>
        <v/>
      </c>
      <c r="F114" s="201" t="str">
        <f t="shared" si="4"/>
        <v/>
      </c>
      <c r="G114" s="201"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63">
        <f>VLOOKUP(A114,門市主檔!A:V,22,FALSE)</f>
        <v>2</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79" t="str">
        <f>IF(COUNTIFS(IM!$F:$F,A115,IM!$AD:$AD,"O",IM!$X:$X,"&gt;="&amp;$R$1, IM!$X:$X,"&lt;"&amp;$R$2)&gt;0,"V","")</f>
        <v>V</v>
      </c>
      <c r="D115" s="279" t="str">
        <f>IF(AND(C115&lt;&gt;"V", COUNTIFS(IM!$F:$F,A115, IM!$AD:$AD, "O", IM!$X:$X, "&gt;="&amp;$R$2, IM!$X:$X, "&lt;"&amp;$R$3)&gt;0), "V", "")</f>
        <v/>
      </c>
      <c r="E115" s="279" t="str">
        <f>IF(AND(C115&lt;&gt;"V",D115&lt;&gt;"V", COUNTIFS(IM!$F:$F, A115, IM!$AD:$AD, "O", IM!$X:$X, "&gt;="&amp;$R$3, IM!$X:$X, "&lt;"&amp;$R$4)&gt;0), "V", "")</f>
        <v/>
      </c>
      <c r="F115" s="201" t="str">
        <f t="shared" si="4"/>
        <v/>
      </c>
      <c r="G115" s="201"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63">
        <f>VLOOKUP(A115,門市主檔!A:V,22,FALSE)</f>
        <v>2</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79" t="str">
        <f>IF(COUNTIFS(IM!$F:$F,A116,IM!$AD:$AD,"O",IM!$X:$X,"&gt;="&amp;$R$1, IM!$X:$X,"&lt;"&amp;$R$2)&gt;0,"V","")</f>
        <v>V</v>
      </c>
      <c r="D116" s="279" t="str">
        <f>IF(AND(C116&lt;&gt;"V", COUNTIFS(IM!$F:$F,A116, IM!$AD:$AD, "O", IM!$X:$X, "&gt;="&amp;$R$2, IM!$X:$X, "&lt;"&amp;$R$3)&gt;0), "V", "")</f>
        <v/>
      </c>
      <c r="E116" s="279" t="str">
        <f>IF(AND(C116&lt;&gt;"V",D116&lt;&gt;"V", COUNTIFS(IM!$F:$F, A116, IM!$AD:$AD, "O", IM!$X:$X, "&gt;="&amp;$R$3, IM!$X:$X, "&lt;"&amp;$R$4)&gt;0), "V", "")</f>
        <v/>
      </c>
      <c r="F116" s="201" t="str">
        <f t="shared" si="4"/>
        <v/>
      </c>
      <c r="G116" s="201"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63">
        <f>VLOOKUP(A116,門市主檔!A:V,22,FALSE)</f>
        <v>2</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79" t="str">
        <f>IF(COUNTIFS(IM!$F:$F,A117,IM!$AD:$AD,"O",IM!$X:$X,"&gt;="&amp;$R$1, IM!$X:$X,"&lt;"&amp;$R$2)&gt;0,"V","")</f>
        <v>V</v>
      </c>
      <c r="D117" s="279" t="str">
        <f>IF(AND(C117&lt;&gt;"V", COUNTIFS(IM!$F:$F,A117, IM!$AD:$AD, "O", IM!$X:$X, "&gt;="&amp;$R$2, IM!$X:$X, "&lt;"&amp;$R$3)&gt;0), "V", "")</f>
        <v/>
      </c>
      <c r="E117" s="279" t="str">
        <f>IF(AND(C117&lt;&gt;"V",D117&lt;&gt;"V", COUNTIFS(IM!$F:$F, A117, IM!$AD:$AD, "O", IM!$X:$X, "&gt;="&amp;$R$3, IM!$X:$X, "&lt;"&amp;$R$4)&gt;0), "V", "")</f>
        <v/>
      </c>
      <c r="F117" s="201" t="str">
        <f t="shared" si="4"/>
        <v/>
      </c>
      <c r="G117" s="201"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63">
        <f>VLOOKUP(A117,門市主檔!A:V,22,FALSE)</f>
        <v>2</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79" t="str">
        <f>IF(COUNTIFS(IM!$F:$F,A118,IM!$AD:$AD,"O",IM!$X:$X,"&gt;="&amp;$R$1, IM!$X:$X,"&lt;"&amp;$R$2)&gt;0,"V","")</f>
        <v>V</v>
      </c>
      <c r="D118" s="279" t="str">
        <f>IF(AND(C118&lt;&gt;"V", COUNTIFS(IM!$F:$F,A118, IM!$AD:$AD, "O", IM!$X:$X, "&gt;="&amp;$R$2, IM!$X:$X, "&lt;"&amp;$R$3)&gt;0), "V", "")</f>
        <v/>
      </c>
      <c r="E118" s="279" t="str">
        <f>IF(AND(C118&lt;&gt;"V",D118&lt;&gt;"V", COUNTIFS(IM!$F:$F, A118, IM!$AD:$AD, "O", IM!$X:$X, "&gt;="&amp;$R$3, IM!$X:$X, "&lt;"&amp;$R$4)&gt;0), "V", "")</f>
        <v/>
      </c>
      <c r="F118" s="201" t="str">
        <f t="shared" si="4"/>
        <v/>
      </c>
      <c r="G118" s="201"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63">
        <f>VLOOKUP(A118,門市主檔!A:V,22,FALSE)</f>
        <v>1</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三重高中店</v>
      </c>
      <c r="C119" s="279" t="str">
        <f>IF(COUNTIFS(IM!$F:$F,A119,IM!$AD:$AD,"O",IM!$X:$X,"&gt;="&amp;$R$1, IM!$X:$X,"&lt;"&amp;$R$2)&gt;0,"V","")</f>
        <v>V</v>
      </c>
      <c r="D119" s="279" t="str">
        <f>IF(AND(C119&lt;&gt;"V", COUNTIFS(IM!$F:$F,A119, IM!$AD:$AD, "O", IM!$X:$X, "&gt;="&amp;$R$2, IM!$X:$X, "&lt;"&amp;$R$3)&gt;0), "V", "")</f>
        <v/>
      </c>
      <c r="E119" s="279" t="str">
        <f>IF(AND(C119&lt;&gt;"V",D119&lt;&gt;"V", COUNTIFS(IM!$F:$F, A119, IM!$AD:$AD, "O", IM!$X:$X, "&gt;="&amp;$R$3, IM!$X:$X, "&lt;"&amp;$R$4)&gt;0), "V", "")</f>
        <v/>
      </c>
      <c r="F119" s="201" t="str">
        <f t="shared" si="4"/>
        <v/>
      </c>
      <c r="G119" s="201"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63">
        <f>VLOOKUP(A119,門市主檔!A:V,22,FALSE)</f>
        <v>2</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79" t="str">
        <f>IF(COUNTIFS(IM!$F:$F,A120,IM!$AD:$AD,"O",IM!$X:$X,"&gt;="&amp;$R$1, IM!$X:$X,"&lt;"&amp;$R$2)&gt;0,"V","")</f>
        <v>V</v>
      </c>
      <c r="D120" s="279" t="str">
        <f>IF(AND(C120&lt;&gt;"V", COUNTIFS(IM!$F:$F,A120, IM!$AD:$AD, "O", IM!$X:$X, "&gt;="&amp;$R$2, IM!$X:$X, "&lt;"&amp;$R$3)&gt;0), "V", "")</f>
        <v/>
      </c>
      <c r="E120" s="279" t="str">
        <f>IF(AND(C120&lt;&gt;"V",D120&lt;&gt;"V", COUNTIFS(IM!$F:$F, A120, IM!$AD:$AD, "O", IM!$X:$X, "&gt;="&amp;$R$3, IM!$X:$X, "&lt;"&amp;$R$4)&gt;0), "V", "")</f>
        <v/>
      </c>
      <c r="F120" s="201" t="str">
        <f t="shared" si="4"/>
        <v/>
      </c>
      <c r="G120" s="201"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63">
        <f>VLOOKUP(A120,門市主檔!A:V,22,FALSE)</f>
        <v>2</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79" t="str">
        <f>IF(COUNTIFS(IM!$F:$F,A121,IM!$AD:$AD,"O",IM!$X:$X,"&gt;="&amp;$R$1, IM!$X:$X,"&lt;"&amp;$R$2)&gt;0,"V","")</f>
        <v>V</v>
      </c>
      <c r="D121" s="279" t="str">
        <f>IF(AND(C121&lt;&gt;"V", COUNTIFS(IM!$F:$F,A121, IM!$AD:$AD, "O", IM!$X:$X, "&gt;="&amp;$R$2, IM!$X:$X, "&lt;"&amp;$R$3)&gt;0), "V", "")</f>
        <v/>
      </c>
      <c r="E121" s="279" t="str">
        <f>IF(AND(C121&lt;&gt;"V",D121&lt;&gt;"V", COUNTIFS(IM!$F:$F, A121, IM!$AD:$AD, "O", IM!$X:$X, "&gt;="&amp;$R$3, IM!$X:$X, "&lt;"&amp;$R$4)&gt;0), "V", "")</f>
        <v/>
      </c>
      <c r="F121" s="201" t="str">
        <f t="shared" si="4"/>
        <v/>
      </c>
      <c r="G121" s="201"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63">
        <f>VLOOKUP(A121,門市主檔!A:V,22,FALSE)</f>
        <v>2</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79" t="str">
        <f>IF(COUNTIFS(IM!$F:$F,A122,IM!$AD:$AD,"O",IM!$X:$X,"&gt;="&amp;$R$1, IM!$X:$X,"&lt;"&amp;$R$2)&gt;0,"V","")</f>
        <v>V</v>
      </c>
      <c r="D122" s="279" t="str">
        <f>IF(AND(C122&lt;&gt;"V", COUNTIFS(IM!$F:$F,A122, IM!$AD:$AD, "O", IM!$X:$X, "&gt;="&amp;$R$2, IM!$X:$X, "&lt;"&amp;$R$3)&gt;0), "V", "")</f>
        <v/>
      </c>
      <c r="E122" s="279" t="str">
        <f>IF(AND(C122&lt;&gt;"V",D122&lt;&gt;"V", COUNTIFS(IM!$F:$F, A122, IM!$AD:$AD, "O", IM!$X:$X, "&gt;="&amp;$R$3, IM!$X:$X, "&lt;"&amp;$R$4)&gt;0), "V", "")</f>
        <v/>
      </c>
      <c r="F122" s="201" t="str">
        <f t="shared" si="4"/>
        <v/>
      </c>
      <c r="G122" s="201"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63">
        <f>VLOOKUP(A122,門市主檔!A:V,22,FALSE)</f>
        <v>2</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79" t="str">
        <f>IF(COUNTIFS(IM!$F:$F,A123,IM!$AD:$AD,"O",IM!$X:$X,"&gt;="&amp;$R$1, IM!$X:$X,"&lt;"&amp;$R$2)&gt;0,"V","")</f>
        <v>V</v>
      </c>
      <c r="D123" s="279" t="str">
        <f>IF(AND(C123&lt;&gt;"V", COUNTIFS(IM!$F:$F,A123, IM!$AD:$AD, "O", IM!$X:$X, "&gt;="&amp;$R$2, IM!$X:$X, "&lt;"&amp;$R$3)&gt;0), "V", "")</f>
        <v/>
      </c>
      <c r="E123" s="279" t="str">
        <f>IF(AND(C123&lt;&gt;"V",D123&lt;&gt;"V", COUNTIFS(IM!$F:$F, A123, IM!$AD:$AD, "O", IM!$X:$X, "&gt;="&amp;$R$3, IM!$X:$X, "&lt;"&amp;$R$4)&gt;0), "V", "")</f>
        <v/>
      </c>
      <c r="F123" s="201" t="str">
        <f t="shared" si="4"/>
        <v/>
      </c>
      <c r="G123" s="201"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63">
        <f>VLOOKUP(A123,門市主檔!A:V,22,FALSE)</f>
        <v>2</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80"/>
      <c r="D124" s="280"/>
      <c r="E124" s="280"/>
      <c r="F124" s="202"/>
      <c r="G124" s="202"/>
      <c r="H124" s="202"/>
      <c r="I124" s="202"/>
      <c r="J124" s="202"/>
      <c r="K124" s="202"/>
      <c r="L124" s="202"/>
      <c r="M124" s="202"/>
      <c r="N124" s="202"/>
      <c r="O124" s="202"/>
      <c r="P124" s="196"/>
      <c r="Q124" s="196"/>
    </row>
    <row r="125" spans="1:17" ht="19.5" customHeight="1">
      <c r="A125" s="202"/>
      <c r="B125" s="202"/>
      <c r="C125" s="280"/>
      <c r="D125" s="280"/>
      <c r="E125" s="280"/>
      <c r="F125" s="202"/>
      <c r="G125" s="202"/>
      <c r="H125" s="202"/>
      <c r="I125" s="202"/>
      <c r="J125" s="202"/>
      <c r="K125" s="202"/>
      <c r="L125" s="202"/>
      <c r="M125" s="202"/>
      <c r="N125" s="202"/>
      <c r="O125" s="202"/>
      <c r="P125" s="196"/>
      <c r="Q125" s="196"/>
    </row>
    <row r="126" spans="1:17" ht="19.5" customHeight="1">
      <c r="A126" s="202"/>
      <c r="B126" s="202"/>
      <c r="C126" s="280"/>
      <c r="D126" s="280"/>
      <c r="E126" s="280"/>
      <c r="F126" s="202"/>
      <c r="G126" s="202"/>
      <c r="H126" s="202"/>
      <c r="I126" s="202"/>
      <c r="J126" s="202"/>
      <c r="K126" s="202"/>
      <c r="L126" s="202"/>
      <c r="M126" s="202"/>
      <c r="N126" s="202"/>
      <c r="O126" s="202"/>
      <c r="P126" s="196"/>
      <c r="Q126" s="196"/>
    </row>
    <row r="127" spans="1:17" ht="19.5" customHeight="1">
      <c r="A127" s="202"/>
      <c r="B127" s="202"/>
      <c r="C127" s="280"/>
      <c r="D127" s="280"/>
      <c r="E127" s="280"/>
      <c r="F127" s="202"/>
      <c r="G127" s="202"/>
      <c r="H127" s="202"/>
      <c r="I127" s="202"/>
      <c r="J127" s="202"/>
      <c r="K127" s="202"/>
      <c r="L127" s="202"/>
      <c r="M127" s="202"/>
      <c r="N127" s="202"/>
      <c r="O127" s="202"/>
      <c r="P127" s="196"/>
      <c r="Q127" s="196"/>
    </row>
    <row r="128" spans="1:17" ht="19.5" customHeight="1">
      <c r="A128" s="202"/>
      <c r="B128" s="202"/>
      <c r="C128" s="280"/>
      <c r="D128" s="280"/>
      <c r="E128" s="280"/>
      <c r="F128" s="202"/>
      <c r="G128" s="202"/>
      <c r="H128" s="202"/>
      <c r="I128" s="202"/>
      <c r="J128" s="202"/>
      <c r="K128" s="202"/>
      <c r="L128" s="202"/>
      <c r="M128" s="202"/>
      <c r="N128" s="202"/>
      <c r="O128" s="202"/>
      <c r="P128" s="196"/>
      <c r="Q128" s="196"/>
    </row>
    <row r="129" spans="1:17" ht="19.5" customHeight="1">
      <c r="A129" s="202"/>
      <c r="B129" s="202"/>
      <c r="C129" s="280"/>
      <c r="D129" s="280"/>
      <c r="E129" s="280"/>
      <c r="F129" s="202"/>
      <c r="G129" s="202"/>
      <c r="H129" s="202"/>
      <c r="I129" s="202"/>
      <c r="J129" s="202"/>
      <c r="K129" s="202"/>
      <c r="L129" s="202"/>
      <c r="M129" s="202"/>
      <c r="N129" s="202"/>
      <c r="O129" s="202"/>
      <c r="P129" s="196"/>
      <c r="Q129" s="196"/>
    </row>
    <row r="130" spans="1:17" ht="19.5" customHeight="1">
      <c r="A130" s="202"/>
      <c r="B130" s="202"/>
      <c r="C130" s="280"/>
      <c r="D130" s="280"/>
      <c r="E130" s="280"/>
      <c r="F130" s="202"/>
      <c r="G130" s="202"/>
      <c r="H130" s="202"/>
      <c r="I130" s="202"/>
      <c r="J130" s="202"/>
      <c r="K130" s="202"/>
      <c r="L130" s="202"/>
      <c r="M130" s="202"/>
      <c r="N130" s="202"/>
      <c r="O130" s="202"/>
      <c r="P130" s="196"/>
      <c r="Q130" s="196"/>
    </row>
    <row r="131" spans="1:17" ht="19.5" customHeight="1">
      <c r="A131" s="202"/>
      <c r="B131" s="202"/>
      <c r="C131" s="280"/>
      <c r="D131" s="280"/>
      <c r="E131" s="280"/>
      <c r="F131" s="202"/>
      <c r="G131" s="202"/>
      <c r="H131" s="202"/>
      <c r="I131" s="202"/>
      <c r="J131" s="202"/>
      <c r="K131" s="202"/>
      <c r="L131" s="202"/>
      <c r="M131" s="202"/>
      <c r="N131" s="202"/>
      <c r="O131" s="202"/>
      <c r="P131" s="196"/>
      <c r="Q131" s="196"/>
    </row>
    <row r="132" spans="1:17" ht="19.5" customHeight="1">
      <c r="A132" s="202"/>
      <c r="B132" s="202"/>
      <c r="C132" s="280"/>
      <c r="D132" s="280"/>
      <c r="E132" s="280"/>
      <c r="F132" s="202"/>
      <c r="G132" s="202"/>
      <c r="H132" s="202"/>
      <c r="I132" s="202"/>
      <c r="J132" s="202"/>
      <c r="K132" s="202"/>
      <c r="L132" s="202"/>
      <c r="M132" s="202"/>
      <c r="N132" s="202"/>
      <c r="O132" s="202"/>
      <c r="P132" s="196"/>
      <c r="Q132" s="196"/>
    </row>
    <row r="133" spans="1:17" ht="19.5" customHeight="1">
      <c r="A133" s="202"/>
      <c r="B133" s="202"/>
      <c r="C133" s="280"/>
      <c r="D133" s="280"/>
      <c r="E133" s="280"/>
      <c r="F133" s="202"/>
      <c r="G133" s="202"/>
      <c r="H133" s="202"/>
      <c r="I133" s="202"/>
      <c r="J133" s="202"/>
      <c r="K133" s="202"/>
      <c r="L133" s="202"/>
      <c r="M133" s="202"/>
      <c r="N133" s="202"/>
      <c r="O133" s="202"/>
      <c r="P133" s="196"/>
      <c r="Q133" s="196"/>
    </row>
    <row r="134" spans="1:17" ht="19.5" customHeight="1">
      <c r="A134" s="202"/>
      <c r="B134" s="202"/>
      <c r="C134" s="280"/>
      <c r="D134" s="280"/>
      <c r="E134" s="280"/>
      <c r="F134" s="202"/>
      <c r="G134" s="202"/>
      <c r="H134" s="202"/>
      <c r="I134" s="202"/>
      <c r="J134" s="202"/>
      <c r="K134" s="202"/>
      <c r="L134" s="202"/>
      <c r="M134" s="202"/>
      <c r="N134" s="202"/>
      <c r="O134" s="202"/>
      <c r="P134" s="196"/>
      <c r="Q134" s="196"/>
    </row>
    <row r="135" spans="1:17" ht="19.5" customHeight="1">
      <c r="A135" s="202"/>
      <c r="B135" s="202"/>
      <c r="C135" s="280"/>
      <c r="D135" s="280"/>
      <c r="E135" s="280"/>
      <c r="F135" s="202"/>
      <c r="G135" s="202"/>
      <c r="H135" s="202"/>
      <c r="I135" s="202"/>
      <c r="J135" s="202"/>
      <c r="K135" s="202"/>
      <c r="L135" s="202"/>
      <c r="M135" s="202"/>
      <c r="N135" s="202"/>
      <c r="O135" s="202"/>
      <c r="P135" s="196"/>
      <c r="Q135" s="196"/>
    </row>
    <row r="136" spans="1:17" ht="19.5" customHeight="1">
      <c r="A136" s="202"/>
      <c r="B136" s="202"/>
      <c r="C136" s="280"/>
      <c r="D136" s="280"/>
      <c r="E136" s="280"/>
      <c r="F136" s="202"/>
      <c r="G136" s="202"/>
      <c r="H136" s="202"/>
      <c r="I136" s="202"/>
      <c r="J136" s="202"/>
      <c r="K136" s="202"/>
      <c r="L136" s="202"/>
      <c r="M136" s="202"/>
      <c r="N136" s="202"/>
      <c r="O136" s="202"/>
      <c r="P136" s="196"/>
      <c r="Q136" s="196"/>
    </row>
    <row r="137" spans="1:17" ht="19.5" customHeight="1">
      <c r="A137" s="202"/>
      <c r="B137" s="202"/>
      <c r="C137" s="280"/>
      <c r="D137" s="280"/>
      <c r="E137" s="280"/>
      <c r="F137" s="202"/>
      <c r="G137" s="202"/>
      <c r="H137" s="202"/>
      <c r="I137" s="202"/>
      <c r="J137" s="202"/>
      <c r="K137" s="202"/>
      <c r="L137" s="202"/>
      <c r="M137" s="202"/>
      <c r="N137" s="202"/>
      <c r="O137" s="202"/>
      <c r="P137" s="196"/>
      <c r="Q137" s="196"/>
    </row>
    <row r="138" spans="1:17" ht="19.5" customHeight="1">
      <c r="A138" s="202"/>
      <c r="B138" s="202"/>
      <c r="C138" s="280"/>
      <c r="D138" s="280"/>
      <c r="E138" s="280"/>
      <c r="F138" s="202"/>
      <c r="G138" s="202"/>
      <c r="H138" s="202"/>
      <c r="I138" s="202"/>
      <c r="J138" s="202"/>
      <c r="K138" s="202"/>
      <c r="L138" s="202"/>
      <c r="M138" s="202"/>
      <c r="N138" s="202"/>
      <c r="O138" s="202"/>
      <c r="P138" s="196"/>
      <c r="Q138" s="196"/>
    </row>
    <row r="139" spans="1:17" ht="19.5" customHeight="1">
      <c r="A139" s="202"/>
      <c r="B139" s="202"/>
      <c r="C139" s="280"/>
      <c r="D139" s="280"/>
      <c r="E139" s="280"/>
      <c r="F139" s="202"/>
      <c r="G139" s="202"/>
      <c r="H139" s="202"/>
      <c r="I139" s="202"/>
      <c r="J139" s="202"/>
      <c r="K139" s="202"/>
      <c r="L139" s="202"/>
      <c r="M139" s="202"/>
      <c r="N139" s="202"/>
      <c r="O139" s="202"/>
      <c r="P139" s="196"/>
      <c r="Q139" s="196"/>
    </row>
    <row r="140" spans="1:17" ht="19.5" customHeight="1">
      <c r="A140" s="202"/>
      <c r="B140" s="202"/>
      <c r="C140" s="280"/>
      <c r="D140" s="280"/>
      <c r="E140" s="280"/>
      <c r="F140" s="202"/>
      <c r="G140" s="202"/>
      <c r="H140" s="202"/>
      <c r="I140" s="202"/>
      <c r="J140" s="202"/>
      <c r="K140" s="202"/>
      <c r="L140" s="202"/>
      <c r="M140" s="202"/>
      <c r="N140" s="202"/>
      <c r="O140" s="202"/>
      <c r="P140" s="196"/>
      <c r="Q140" s="196"/>
    </row>
    <row r="141" spans="1:17" ht="19.5" customHeight="1">
      <c r="A141" s="202"/>
      <c r="B141" s="202"/>
      <c r="C141" s="280"/>
      <c r="D141" s="280"/>
      <c r="E141" s="280"/>
      <c r="F141" s="202"/>
      <c r="G141" s="202"/>
      <c r="H141" s="202"/>
      <c r="I141" s="202"/>
      <c r="J141" s="202"/>
      <c r="K141" s="202"/>
      <c r="L141" s="202"/>
      <c r="M141" s="202"/>
      <c r="N141" s="202"/>
      <c r="O141" s="202"/>
      <c r="P141" s="196"/>
      <c r="Q141" s="196"/>
    </row>
    <row r="142" spans="1:17" ht="19.5" customHeight="1">
      <c r="A142" s="202"/>
      <c r="B142" s="202"/>
      <c r="C142" s="280"/>
      <c r="D142" s="280"/>
      <c r="E142" s="280"/>
      <c r="F142" s="202"/>
      <c r="G142" s="202"/>
      <c r="H142" s="202"/>
      <c r="I142" s="202"/>
      <c r="J142" s="202"/>
      <c r="K142" s="202"/>
      <c r="L142" s="202"/>
      <c r="M142" s="202"/>
      <c r="N142" s="202"/>
      <c r="O142" s="202"/>
      <c r="P142" s="196"/>
      <c r="Q142" s="196"/>
    </row>
    <row r="143" spans="1:17" ht="19.5" customHeight="1">
      <c r="A143" s="202"/>
      <c r="B143" s="202"/>
      <c r="C143" s="280"/>
      <c r="D143" s="280"/>
      <c r="E143" s="280"/>
      <c r="F143" s="202"/>
      <c r="G143" s="202"/>
      <c r="H143" s="202"/>
      <c r="I143" s="202"/>
      <c r="J143" s="202"/>
      <c r="K143" s="202"/>
      <c r="L143" s="202"/>
      <c r="M143" s="202"/>
      <c r="N143" s="202"/>
      <c r="O143" s="202"/>
      <c r="P143" s="196"/>
      <c r="Q143" s="196"/>
    </row>
    <row r="144" spans="1:17" ht="19.5" customHeight="1">
      <c r="A144" s="202"/>
      <c r="B144" s="202"/>
      <c r="C144" s="280"/>
      <c r="D144" s="280"/>
      <c r="E144" s="280"/>
      <c r="F144" s="202"/>
      <c r="G144" s="202"/>
      <c r="H144" s="202"/>
      <c r="I144" s="202"/>
      <c r="J144" s="202"/>
      <c r="K144" s="202"/>
      <c r="L144" s="202"/>
      <c r="M144" s="202"/>
      <c r="N144" s="202"/>
      <c r="O144" s="202"/>
      <c r="P144" s="196"/>
      <c r="Q144" s="196"/>
    </row>
    <row r="145" spans="1:17" ht="19.5" customHeight="1">
      <c r="A145" s="202"/>
      <c r="B145" s="202"/>
      <c r="C145" s="280"/>
      <c r="D145" s="280"/>
      <c r="E145" s="280"/>
      <c r="F145" s="202"/>
      <c r="G145" s="202"/>
      <c r="H145" s="202"/>
      <c r="I145" s="202"/>
      <c r="J145" s="202"/>
      <c r="K145" s="202"/>
      <c r="L145" s="202"/>
      <c r="M145" s="202"/>
      <c r="N145" s="202"/>
      <c r="O145" s="202"/>
      <c r="P145" s="196"/>
      <c r="Q145" s="196"/>
    </row>
    <row r="146" spans="1:17" ht="19.5" customHeight="1">
      <c r="A146" s="202"/>
      <c r="B146" s="202"/>
      <c r="C146" s="280"/>
      <c r="D146" s="280"/>
      <c r="E146" s="280"/>
      <c r="F146" s="202"/>
      <c r="G146" s="202"/>
      <c r="H146" s="202"/>
      <c r="I146" s="202"/>
      <c r="J146" s="202"/>
      <c r="K146" s="202"/>
      <c r="L146" s="202"/>
      <c r="M146" s="202"/>
      <c r="N146" s="202"/>
      <c r="O146" s="202"/>
      <c r="P146" s="196"/>
      <c r="Q146" s="196"/>
    </row>
    <row r="147" spans="1:17" ht="19.5" customHeight="1">
      <c r="A147" s="202"/>
      <c r="B147" s="202"/>
      <c r="C147" s="280"/>
      <c r="D147" s="280"/>
      <c r="E147" s="280"/>
      <c r="F147" s="202"/>
      <c r="G147" s="202"/>
      <c r="H147" s="202"/>
      <c r="I147" s="202"/>
      <c r="J147" s="202"/>
      <c r="K147" s="202"/>
      <c r="L147" s="202"/>
      <c r="M147" s="202"/>
      <c r="N147" s="202"/>
      <c r="O147" s="202"/>
      <c r="P147" s="196"/>
      <c r="Q147" s="196"/>
    </row>
    <row r="148" spans="1:17" ht="19.5" customHeight="1">
      <c r="A148" s="202"/>
      <c r="B148" s="202"/>
      <c r="C148" s="280"/>
      <c r="D148" s="280"/>
      <c r="E148" s="280"/>
      <c r="F148" s="202"/>
      <c r="G148" s="202"/>
      <c r="H148" s="202"/>
      <c r="I148" s="202"/>
      <c r="J148" s="202"/>
      <c r="K148" s="202"/>
      <c r="L148" s="202"/>
      <c r="M148" s="202"/>
      <c r="N148" s="202"/>
      <c r="O148" s="202"/>
      <c r="P148" s="196"/>
      <c r="Q148" s="196"/>
    </row>
    <row r="149" spans="1:17" ht="19.5" customHeight="1">
      <c r="A149" s="202"/>
      <c r="B149" s="202"/>
      <c r="C149" s="280"/>
      <c r="D149" s="280"/>
      <c r="E149" s="280"/>
      <c r="F149" s="202"/>
      <c r="G149" s="202"/>
      <c r="H149" s="202"/>
      <c r="I149" s="202"/>
      <c r="J149" s="202"/>
      <c r="K149" s="202"/>
      <c r="L149" s="202"/>
      <c r="M149" s="202"/>
      <c r="N149" s="202"/>
      <c r="O149" s="202"/>
      <c r="P149" s="196"/>
      <c r="Q149" s="196"/>
    </row>
    <row r="150" spans="1:17" ht="19.5" customHeight="1">
      <c r="A150" s="202"/>
      <c r="B150" s="202"/>
      <c r="C150" s="280"/>
      <c r="D150" s="280"/>
      <c r="E150" s="280"/>
      <c r="F150" s="202"/>
      <c r="G150" s="202"/>
      <c r="H150" s="202"/>
      <c r="I150" s="202"/>
      <c r="J150" s="202"/>
      <c r="K150" s="202"/>
      <c r="L150" s="202"/>
      <c r="M150" s="202"/>
      <c r="N150" s="202"/>
      <c r="O150" s="202"/>
      <c r="P150" s="196"/>
      <c r="Q150" s="196"/>
    </row>
    <row r="151" spans="1:17" ht="19.5" customHeight="1">
      <c r="A151" s="202"/>
      <c r="B151" s="202"/>
      <c r="C151" s="280"/>
      <c r="D151" s="280"/>
      <c r="E151" s="280"/>
      <c r="F151" s="202"/>
      <c r="G151" s="202"/>
      <c r="H151" s="202"/>
      <c r="I151" s="202"/>
      <c r="J151" s="202"/>
      <c r="K151" s="202"/>
      <c r="L151" s="202"/>
      <c r="M151" s="202"/>
      <c r="N151" s="202"/>
      <c r="O151" s="202"/>
      <c r="P151" s="196"/>
      <c r="Q151" s="196"/>
    </row>
    <row r="152" spans="1:17" ht="19.5" customHeight="1">
      <c r="A152" s="202"/>
      <c r="B152" s="202"/>
      <c r="C152" s="280"/>
      <c r="D152" s="280"/>
      <c r="E152" s="280"/>
      <c r="F152" s="202"/>
      <c r="G152" s="202"/>
      <c r="H152" s="202"/>
      <c r="I152" s="202"/>
      <c r="J152" s="202"/>
      <c r="K152" s="202"/>
      <c r="L152" s="202"/>
      <c r="M152" s="202"/>
      <c r="N152" s="202"/>
      <c r="O152" s="202"/>
      <c r="P152" s="196"/>
      <c r="Q152" s="196"/>
    </row>
    <row r="153" spans="1:17" ht="19.5" customHeight="1">
      <c r="A153" s="202"/>
      <c r="B153" s="202"/>
      <c r="C153" s="280"/>
      <c r="D153" s="280"/>
      <c r="E153" s="280"/>
      <c r="F153" s="202"/>
      <c r="G153" s="202"/>
      <c r="H153" s="202"/>
      <c r="I153" s="202"/>
      <c r="J153" s="202"/>
      <c r="K153" s="202"/>
      <c r="L153" s="202"/>
      <c r="M153" s="202"/>
      <c r="N153" s="202"/>
      <c r="O153" s="202"/>
      <c r="P153" s="196"/>
      <c r="Q153" s="196"/>
    </row>
    <row r="154" spans="1:17" ht="19.5" customHeight="1">
      <c r="A154" s="202"/>
      <c r="B154" s="202"/>
      <c r="C154" s="280"/>
      <c r="D154" s="280"/>
      <c r="E154" s="280"/>
      <c r="F154" s="202"/>
      <c r="G154" s="202"/>
      <c r="H154" s="202"/>
      <c r="I154" s="202"/>
      <c r="J154" s="202"/>
      <c r="K154" s="202"/>
      <c r="L154" s="202"/>
      <c r="M154" s="202"/>
      <c r="N154" s="202"/>
      <c r="O154" s="202"/>
      <c r="P154" s="196"/>
      <c r="Q154" s="196"/>
    </row>
    <row r="155" spans="1:17" ht="19.5" customHeight="1">
      <c r="A155" s="202"/>
      <c r="B155" s="202"/>
      <c r="C155" s="280"/>
      <c r="D155" s="280"/>
      <c r="E155" s="280"/>
      <c r="F155" s="202"/>
      <c r="G155" s="202"/>
      <c r="H155" s="202"/>
      <c r="I155" s="202"/>
      <c r="J155" s="202"/>
      <c r="K155" s="202"/>
      <c r="L155" s="202"/>
      <c r="M155" s="202"/>
      <c r="N155" s="202"/>
      <c r="O155" s="202"/>
      <c r="P155" s="196"/>
      <c r="Q155" s="196"/>
    </row>
    <row r="156" spans="1:17" ht="19.5" customHeight="1">
      <c r="A156" s="202"/>
      <c r="B156" s="202"/>
      <c r="C156" s="280"/>
      <c r="D156" s="280"/>
      <c r="E156" s="280"/>
      <c r="F156" s="202"/>
      <c r="G156" s="202"/>
      <c r="H156" s="202"/>
      <c r="I156" s="202"/>
      <c r="J156" s="202"/>
      <c r="K156" s="202"/>
      <c r="L156" s="202"/>
      <c r="M156" s="202"/>
      <c r="N156" s="202"/>
      <c r="O156" s="202"/>
      <c r="P156" s="196"/>
      <c r="Q156" s="196"/>
    </row>
    <row r="157" spans="1:17" ht="19.5" customHeight="1">
      <c r="A157" s="202"/>
      <c r="B157" s="202"/>
      <c r="C157" s="280"/>
      <c r="D157" s="280"/>
      <c r="E157" s="280"/>
      <c r="F157" s="202"/>
      <c r="G157" s="202"/>
      <c r="H157" s="202"/>
      <c r="I157" s="202"/>
      <c r="J157" s="202"/>
      <c r="K157" s="202"/>
      <c r="L157" s="202"/>
      <c r="M157" s="202"/>
      <c r="N157" s="202"/>
      <c r="O157" s="202"/>
      <c r="P157" s="196"/>
      <c r="Q157" s="196"/>
    </row>
    <row r="158" spans="1:17" ht="19.5" customHeight="1">
      <c r="A158" s="202"/>
      <c r="B158" s="202"/>
      <c r="C158" s="280"/>
      <c r="D158" s="280"/>
      <c r="E158" s="280"/>
      <c r="F158" s="202"/>
      <c r="G158" s="202"/>
      <c r="H158" s="202"/>
      <c r="I158" s="202"/>
      <c r="J158" s="202"/>
      <c r="K158" s="202"/>
      <c r="L158" s="202"/>
      <c r="M158" s="202"/>
      <c r="N158" s="202"/>
      <c r="O158" s="202"/>
      <c r="P158" s="196"/>
      <c r="Q158" s="196"/>
    </row>
    <row r="159" spans="1:17" ht="19.5" customHeight="1">
      <c r="A159" s="202"/>
      <c r="B159" s="202"/>
      <c r="C159" s="280"/>
      <c r="D159" s="280"/>
      <c r="E159" s="280"/>
      <c r="F159" s="202"/>
      <c r="G159" s="202"/>
      <c r="H159" s="202"/>
      <c r="I159" s="202"/>
      <c r="J159" s="202"/>
      <c r="K159" s="202"/>
      <c r="L159" s="202"/>
      <c r="M159" s="202"/>
      <c r="N159" s="202"/>
      <c r="O159" s="202"/>
      <c r="P159" s="196"/>
      <c r="Q159" s="196"/>
    </row>
    <row r="160" spans="1:17" ht="19.5" customHeight="1">
      <c r="A160" s="202"/>
      <c r="B160" s="202"/>
      <c r="C160" s="280"/>
      <c r="D160" s="280"/>
      <c r="E160" s="280"/>
      <c r="F160" s="202"/>
      <c r="G160" s="202"/>
      <c r="H160" s="202"/>
      <c r="I160" s="202"/>
      <c r="J160" s="202"/>
      <c r="K160" s="202"/>
      <c r="L160" s="202"/>
      <c r="M160" s="202"/>
      <c r="N160" s="202"/>
      <c r="O160" s="202"/>
      <c r="P160" s="196"/>
      <c r="Q160" s="196"/>
    </row>
    <row r="161" spans="1:17" ht="19.5" customHeight="1">
      <c r="A161" s="202"/>
      <c r="B161" s="202"/>
      <c r="C161" s="280"/>
      <c r="D161" s="280"/>
      <c r="E161" s="280"/>
      <c r="F161" s="202"/>
      <c r="G161" s="202"/>
      <c r="H161" s="202"/>
      <c r="I161" s="202"/>
      <c r="J161" s="202"/>
      <c r="K161" s="202"/>
      <c r="L161" s="202"/>
      <c r="M161" s="202"/>
      <c r="N161" s="202"/>
      <c r="O161" s="202"/>
      <c r="P161" s="196"/>
      <c r="Q161" s="196"/>
    </row>
    <row r="162" spans="1:17" ht="19.5" customHeight="1">
      <c r="A162" s="202"/>
      <c r="B162" s="202"/>
      <c r="C162" s="280"/>
      <c r="D162" s="280"/>
      <c r="E162" s="280"/>
      <c r="F162" s="202"/>
      <c r="G162" s="202"/>
      <c r="H162" s="202"/>
      <c r="I162" s="202"/>
      <c r="J162" s="202"/>
      <c r="K162" s="202"/>
      <c r="L162" s="202"/>
      <c r="M162" s="202"/>
      <c r="N162" s="202"/>
      <c r="O162" s="202"/>
      <c r="P162" s="196"/>
      <c r="Q162" s="196"/>
    </row>
    <row r="163" spans="1:17" ht="19.5" customHeight="1">
      <c r="A163" s="202"/>
      <c r="B163" s="202"/>
      <c r="C163" s="280"/>
      <c r="D163" s="280"/>
      <c r="E163" s="280"/>
      <c r="F163" s="202"/>
      <c r="G163" s="202"/>
      <c r="H163" s="202"/>
      <c r="I163" s="202"/>
      <c r="J163" s="202"/>
      <c r="K163" s="202"/>
      <c r="L163" s="202"/>
      <c r="M163" s="202"/>
      <c r="N163" s="202"/>
      <c r="O163" s="202"/>
      <c r="P163" s="196"/>
      <c r="Q163" s="196"/>
    </row>
    <row r="164" spans="1:17" ht="19.5" customHeight="1">
      <c r="A164" s="202"/>
      <c r="B164" s="202"/>
      <c r="C164" s="280"/>
      <c r="D164" s="280"/>
      <c r="E164" s="280"/>
      <c r="F164" s="202"/>
      <c r="G164" s="202"/>
      <c r="H164" s="202"/>
      <c r="I164" s="202"/>
      <c r="J164" s="202"/>
      <c r="K164" s="202"/>
      <c r="L164" s="202"/>
      <c r="M164" s="202"/>
      <c r="N164" s="202"/>
      <c r="O164" s="202"/>
      <c r="P164" s="196"/>
      <c r="Q164" s="196"/>
    </row>
    <row r="165" spans="1:17" ht="19.5" customHeight="1">
      <c r="A165" s="202"/>
      <c r="B165" s="202"/>
      <c r="C165" s="280"/>
      <c r="D165" s="280"/>
      <c r="E165" s="280"/>
      <c r="F165" s="202"/>
      <c r="G165" s="202"/>
      <c r="H165" s="202"/>
      <c r="I165" s="202"/>
      <c r="J165" s="202"/>
      <c r="K165" s="202"/>
      <c r="L165" s="202"/>
      <c r="M165" s="202"/>
      <c r="N165" s="202"/>
      <c r="O165" s="202"/>
      <c r="P165" s="196"/>
      <c r="Q165" s="196"/>
    </row>
    <row r="166" spans="1:17" ht="19.5" customHeight="1">
      <c r="A166" s="202"/>
      <c r="B166" s="202"/>
      <c r="C166" s="280"/>
      <c r="D166" s="280"/>
      <c r="E166" s="280"/>
      <c r="F166" s="202"/>
      <c r="G166" s="202"/>
      <c r="H166" s="202"/>
      <c r="I166" s="202"/>
      <c r="J166" s="202"/>
      <c r="K166" s="202"/>
      <c r="L166" s="202"/>
      <c r="M166" s="202"/>
      <c r="N166" s="202"/>
      <c r="O166" s="202"/>
      <c r="P166" s="196"/>
      <c r="Q166" s="196"/>
    </row>
    <row r="167" spans="1:17" ht="19.5" customHeight="1">
      <c r="A167" s="202"/>
      <c r="B167" s="202"/>
      <c r="C167" s="280"/>
      <c r="D167" s="280"/>
      <c r="E167" s="280"/>
      <c r="F167" s="202"/>
      <c r="G167" s="202"/>
      <c r="H167" s="202"/>
      <c r="I167" s="202"/>
      <c r="J167" s="202"/>
      <c r="K167" s="202"/>
      <c r="L167" s="202"/>
      <c r="M167" s="202"/>
      <c r="N167" s="202"/>
      <c r="O167" s="202"/>
      <c r="P167" s="196"/>
      <c r="Q167" s="196"/>
    </row>
    <row r="168" spans="1:17" ht="19.5" customHeight="1">
      <c r="A168" s="202"/>
      <c r="B168" s="202"/>
      <c r="C168" s="280"/>
      <c r="D168" s="280"/>
      <c r="E168" s="280"/>
      <c r="F168" s="202"/>
      <c r="G168" s="202"/>
      <c r="H168" s="202"/>
      <c r="I168" s="202"/>
      <c r="J168" s="202"/>
      <c r="K168" s="202"/>
      <c r="L168" s="202"/>
      <c r="M168" s="202"/>
      <c r="N168" s="202"/>
      <c r="O168" s="202"/>
      <c r="P168" s="196"/>
      <c r="Q168" s="196"/>
    </row>
    <row r="169" spans="1:17" ht="19.5" customHeight="1">
      <c r="A169" s="202"/>
      <c r="B169" s="202"/>
      <c r="C169" s="280"/>
      <c r="D169" s="280"/>
      <c r="E169" s="280"/>
      <c r="F169" s="202"/>
      <c r="G169" s="202"/>
      <c r="H169" s="202"/>
      <c r="I169" s="202"/>
      <c r="J169" s="202"/>
      <c r="K169" s="202"/>
      <c r="L169" s="202"/>
      <c r="M169" s="202"/>
      <c r="N169" s="202"/>
      <c r="O169" s="202"/>
      <c r="P169" s="196"/>
      <c r="Q169" s="196"/>
    </row>
    <row r="170" spans="1:17" ht="19.5" customHeight="1">
      <c r="A170" s="202"/>
      <c r="B170" s="202"/>
      <c r="C170" s="280"/>
      <c r="D170" s="280"/>
      <c r="E170" s="280"/>
      <c r="F170" s="202"/>
      <c r="G170" s="202"/>
      <c r="H170" s="202"/>
      <c r="I170" s="202"/>
      <c r="J170" s="202"/>
      <c r="K170" s="202"/>
      <c r="L170" s="202"/>
      <c r="M170" s="202"/>
      <c r="N170" s="202"/>
      <c r="O170" s="202"/>
      <c r="P170" s="196"/>
      <c r="Q170" s="196"/>
    </row>
    <row r="171" spans="1:17" ht="19.5" customHeight="1">
      <c r="A171" s="202"/>
      <c r="B171" s="202"/>
      <c r="C171" s="280"/>
      <c r="D171" s="280"/>
      <c r="E171" s="280"/>
      <c r="F171" s="202"/>
      <c r="G171" s="202"/>
      <c r="H171" s="202"/>
      <c r="I171" s="202"/>
      <c r="J171" s="202"/>
      <c r="K171" s="202"/>
      <c r="L171" s="202"/>
      <c r="M171" s="202"/>
      <c r="N171" s="202"/>
      <c r="O171" s="202"/>
      <c r="P171" s="196"/>
      <c r="Q171" s="196"/>
    </row>
    <row r="172" spans="1:17" ht="19.5" customHeight="1">
      <c r="A172" s="202"/>
      <c r="B172" s="202"/>
      <c r="C172" s="280"/>
      <c r="D172" s="280"/>
      <c r="E172" s="280"/>
      <c r="F172" s="202"/>
      <c r="G172" s="202"/>
      <c r="H172" s="202"/>
      <c r="I172" s="202"/>
      <c r="J172" s="202"/>
      <c r="K172" s="202"/>
      <c r="L172" s="202"/>
      <c r="M172" s="202"/>
      <c r="N172" s="202"/>
      <c r="O172" s="202"/>
      <c r="P172" s="196"/>
      <c r="Q172" s="196"/>
    </row>
    <row r="173" spans="1:17" ht="19.5" customHeight="1">
      <c r="A173" s="202"/>
      <c r="B173" s="202"/>
      <c r="C173" s="280"/>
      <c r="D173" s="280"/>
      <c r="E173" s="280"/>
      <c r="F173" s="202"/>
      <c r="G173" s="202"/>
      <c r="H173" s="202"/>
      <c r="I173" s="202"/>
      <c r="J173" s="202"/>
      <c r="K173" s="202"/>
      <c r="L173" s="202"/>
      <c r="M173" s="202"/>
      <c r="N173" s="202"/>
      <c r="O173" s="202"/>
      <c r="P173" s="196"/>
      <c r="Q173" s="196"/>
    </row>
    <row r="174" spans="1:17" ht="19.5" customHeight="1">
      <c r="A174" s="202"/>
      <c r="B174" s="202"/>
      <c r="C174" s="280"/>
      <c r="D174" s="280"/>
      <c r="E174" s="280"/>
      <c r="F174" s="202"/>
      <c r="G174" s="202"/>
      <c r="H174" s="202"/>
      <c r="I174" s="202"/>
      <c r="J174" s="202"/>
      <c r="K174" s="202"/>
      <c r="L174" s="202"/>
      <c r="M174" s="202"/>
      <c r="N174" s="202"/>
      <c r="O174" s="202"/>
      <c r="P174" s="196"/>
      <c r="Q174" s="196"/>
    </row>
    <row r="175" spans="1:17" ht="19.5" customHeight="1">
      <c r="A175" s="202"/>
      <c r="B175" s="202"/>
      <c r="C175" s="280"/>
      <c r="D175" s="280"/>
      <c r="E175" s="280"/>
      <c r="F175" s="202"/>
      <c r="G175" s="202"/>
      <c r="H175" s="202"/>
      <c r="I175" s="202"/>
      <c r="J175" s="202"/>
      <c r="K175" s="202"/>
      <c r="L175" s="202"/>
      <c r="M175" s="202"/>
      <c r="N175" s="202"/>
      <c r="O175" s="202"/>
      <c r="P175" s="196"/>
      <c r="Q175" s="196"/>
    </row>
    <row r="176" spans="1:17" ht="19.5" customHeight="1">
      <c r="A176" s="202"/>
      <c r="B176" s="202"/>
      <c r="C176" s="280"/>
      <c r="D176" s="280"/>
      <c r="E176" s="280"/>
      <c r="F176" s="202"/>
      <c r="G176" s="202"/>
      <c r="H176" s="202"/>
      <c r="I176" s="202"/>
      <c r="J176" s="202"/>
      <c r="K176" s="202"/>
      <c r="L176" s="202"/>
      <c r="M176" s="202"/>
      <c r="N176" s="202"/>
      <c r="O176" s="202"/>
      <c r="P176" s="196"/>
      <c r="Q176" s="196"/>
    </row>
    <row r="177" spans="1:17" ht="19.5" customHeight="1">
      <c r="A177" s="202"/>
      <c r="B177" s="202"/>
      <c r="C177" s="280"/>
      <c r="D177" s="280"/>
      <c r="E177" s="280"/>
      <c r="F177" s="202"/>
      <c r="G177" s="202"/>
      <c r="H177" s="202"/>
      <c r="I177" s="202"/>
      <c r="J177" s="202"/>
      <c r="K177" s="202"/>
      <c r="L177" s="202"/>
      <c r="M177" s="202"/>
      <c r="N177" s="202"/>
      <c r="O177" s="202"/>
      <c r="P177" s="196"/>
      <c r="Q177" s="196"/>
    </row>
    <row r="178" spans="1:17" ht="19.5" customHeight="1">
      <c r="A178" s="202"/>
      <c r="B178" s="202"/>
      <c r="C178" s="280"/>
      <c r="D178" s="280"/>
      <c r="E178" s="280"/>
      <c r="F178" s="202"/>
      <c r="G178" s="202"/>
      <c r="H178" s="202"/>
      <c r="I178" s="202"/>
      <c r="J178" s="202"/>
      <c r="K178" s="202"/>
      <c r="L178" s="202"/>
      <c r="M178" s="202"/>
      <c r="N178" s="202"/>
      <c r="O178" s="202"/>
      <c r="P178" s="196"/>
      <c r="Q178" s="196"/>
    </row>
    <row r="179" spans="1:17" ht="19.5" customHeight="1">
      <c r="A179" s="202"/>
      <c r="B179" s="202"/>
      <c r="C179" s="280"/>
      <c r="D179" s="280"/>
      <c r="E179" s="280"/>
      <c r="F179" s="202"/>
      <c r="G179" s="202"/>
      <c r="H179" s="202"/>
      <c r="I179" s="202"/>
      <c r="J179" s="202"/>
      <c r="K179" s="202"/>
      <c r="L179" s="202"/>
      <c r="M179" s="202"/>
      <c r="N179" s="202"/>
      <c r="O179" s="202"/>
      <c r="P179" s="196"/>
      <c r="Q179" s="196"/>
    </row>
    <row r="180" spans="1:17" ht="19.5" customHeight="1">
      <c r="A180" s="202"/>
      <c r="B180" s="202"/>
      <c r="C180" s="280"/>
      <c r="D180" s="280"/>
      <c r="E180" s="280"/>
      <c r="F180" s="202"/>
      <c r="G180" s="202"/>
      <c r="H180" s="202"/>
      <c r="I180" s="202"/>
      <c r="J180" s="202"/>
      <c r="K180" s="202"/>
      <c r="L180" s="202"/>
      <c r="M180" s="202"/>
      <c r="N180" s="202"/>
      <c r="O180" s="202"/>
      <c r="P180" s="196"/>
      <c r="Q180" s="196"/>
    </row>
    <row r="181" spans="1:17" ht="19.5" customHeight="1">
      <c r="A181" s="202"/>
      <c r="B181" s="202"/>
      <c r="C181" s="280"/>
      <c r="D181" s="280"/>
      <c r="E181" s="280"/>
      <c r="F181" s="202"/>
      <c r="G181" s="202"/>
      <c r="H181" s="202"/>
      <c r="I181" s="202"/>
      <c r="J181" s="202"/>
      <c r="K181" s="202"/>
      <c r="L181" s="202"/>
      <c r="M181" s="202"/>
      <c r="N181" s="202"/>
      <c r="O181" s="202"/>
      <c r="P181" s="196"/>
      <c r="Q181" s="196"/>
    </row>
    <row r="182" spans="1:17" ht="19.5" customHeight="1">
      <c r="A182" s="202"/>
      <c r="B182" s="202"/>
      <c r="C182" s="280"/>
      <c r="D182" s="280"/>
      <c r="E182" s="280"/>
      <c r="F182" s="202"/>
      <c r="G182" s="202"/>
      <c r="H182" s="202"/>
      <c r="I182" s="202"/>
      <c r="J182" s="202"/>
      <c r="K182" s="202"/>
      <c r="L182" s="202"/>
      <c r="M182" s="202"/>
      <c r="N182" s="202"/>
      <c r="O182" s="202"/>
      <c r="P182" s="196"/>
      <c r="Q182" s="196"/>
    </row>
    <row r="183" spans="1:17" ht="19.5" customHeight="1">
      <c r="A183" s="202"/>
      <c r="B183" s="202"/>
      <c r="C183" s="280"/>
      <c r="D183" s="280"/>
      <c r="E183" s="280"/>
      <c r="F183" s="202"/>
      <c r="G183" s="202"/>
      <c r="H183" s="202"/>
      <c r="I183" s="202"/>
      <c r="J183" s="202"/>
      <c r="K183" s="202"/>
      <c r="L183" s="202"/>
      <c r="M183" s="202"/>
      <c r="N183" s="202"/>
      <c r="O183" s="202"/>
      <c r="P183" s="196"/>
      <c r="Q183" s="196"/>
    </row>
    <row r="184" spans="1:17" ht="19.5" customHeight="1">
      <c r="A184" s="202"/>
      <c r="B184" s="202"/>
      <c r="C184" s="280"/>
      <c r="D184" s="280"/>
      <c r="E184" s="280"/>
      <c r="F184" s="202"/>
      <c r="G184" s="202"/>
      <c r="H184" s="202"/>
      <c r="I184" s="202"/>
      <c r="J184" s="202"/>
      <c r="K184" s="202"/>
      <c r="L184" s="202"/>
      <c r="M184" s="202"/>
      <c r="N184" s="202"/>
      <c r="O184" s="202"/>
      <c r="P184" s="196"/>
      <c r="Q184" s="196"/>
    </row>
    <row r="185" spans="1:17" ht="19.5" customHeight="1">
      <c r="A185" s="202"/>
      <c r="B185" s="202"/>
      <c r="C185" s="280"/>
      <c r="D185" s="280"/>
      <c r="E185" s="280"/>
      <c r="F185" s="202"/>
      <c r="G185" s="202"/>
      <c r="H185" s="202"/>
      <c r="I185" s="202"/>
      <c r="J185" s="202"/>
      <c r="K185" s="202"/>
      <c r="L185" s="202"/>
      <c r="M185" s="202"/>
      <c r="N185" s="202"/>
      <c r="O185" s="202"/>
      <c r="P185" s="196"/>
      <c r="Q185" s="196"/>
    </row>
    <row r="186" spans="1:17" ht="19.5" customHeight="1">
      <c r="A186" s="202"/>
      <c r="B186" s="202"/>
      <c r="C186" s="280"/>
      <c r="D186" s="280"/>
      <c r="E186" s="280"/>
      <c r="F186" s="202"/>
      <c r="G186" s="202"/>
      <c r="H186" s="202"/>
      <c r="I186" s="202"/>
      <c r="J186" s="202"/>
      <c r="K186" s="202"/>
      <c r="L186" s="202"/>
      <c r="M186" s="202"/>
      <c r="N186" s="202"/>
      <c r="O186" s="202"/>
      <c r="P186" s="196"/>
      <c r="Q186" s="196"/>
    </row>
    <row r="187" spans="1:17" ht="19.5" customHeight="1">
      <c r="A187" s="202"/>
      <c r="B187" s="202"/>
      <c r="C187" s="280"/>
      <c r="D187" s="280"/>
      <c r="E187" s="280"/>
      <c r="F187" s="202"/>
      <c r="G187" s="202"/>
      <c r="H187" s="202"/>
      <c r="I187" s="202"/>
      <c r="J187" s="202"/>
      <c r="K187" s="202"/>
      <c r="L187" s="202"/>
      <c r="M187" s="202"/>
      <c r="N187" s="202"/>
      <c r="O187" s="202"/>
      <c r="P187" s="196"/>
      <c r="Q187" s="196"/>
    </row>
    <row r="188" spans="1:17" ht="19.5" customHeight="1">
      <c r="A188" s="202"/>
      <c r="B188" s="202"/>
      <c r="C188" s="280"/>
      <c r="D188" s="280"/>
      <c r="E188" s="280"/>
      <c r="F188" s="202"/>
      <c r="G188" s="202"/>
      <c r="H188" s="202"/>
      <c r="I188" s="202"/>
      <c r="J188" s="202"/>
      <c r="K188" s="202"/>
      <c r="L188" s="202"/>
      <c r="M188" s="202"/>
      <c r="N188" s="202"/>
      <c r="O188" s="202"/>
      <c r="P188" s="196"/>
      <c r="Q188" s="196"/>
    </row>
    <row r="189" spans="1:17" ht="19.5" customHeight="1">
      <c r="A189" s="202"/>
      <c r="B189" s="202"/>
      <c r="C189" s="280"/>
      <c r="D189" s="280"/>
      <c r="E189" s="280"/>
      <c r="F189" s="202"/>
      <c r="G189" s="202"/>
      <c r="H189" s="202"/>
      <c r="I189" s="202"/>
      <c r="J189" s="202"/>
      <c r="K189" s="202"/>
      <c r="L189" s="202"/>
      <c r="M189" s="202"/>
      <c r="N189" s="202"/>
      <c r="O189" s="202"/>
      <c r="P189" s="196"/>
      <c r="Q189" s="196"/>
    </row>
    <row r="190" spans="1:17" ht="19.5" customHeight="1">
      <c r="A190" s="202"/>
      <c r="B190" s="202"/>
      <c r="C190" s="280"/>
      <c r="D190" s="280"/>
      <c r="E190" s="280"/>
      <c r="F190" s="202"/>
      <c r="G190" s="202"/>
      <c r="H190" s="202"/>
      <c r="I190" s="202"/>
      <c r="J190" s="202"/>
      <c r="K190" s="202"/>
      <c r="L190" s="202"/>
      <c r="M190" s="202"/>
      <c r="N190" s="202"/>
      <c r="O190" s="202"/>
      <c r="P190" s="196"/>
      <c r="Q190" s="196"/>
    </row>
    <row r="191" spans="1:17" ht="19.5" customHeight="1">
      <c r="A191" s="202"/>
      <c r="B191" s="202"/>
      <c r="C191" s="280"/>
      <c r="D191" s="280"/>
      <c r="E191" s="280"/>
      <c r="F191" s="202"/>
      <c r="G191" s="202"/>
      <c r="H191" s="202"/>
      <c r="I191" s="202"/>
      <c r="J191" s="202"/>
      <c r="K191" s="202"/>
      <c r="L191" s="202"/>
      <c r="M191" s="202"/>
      <c r="N191" s="202"/>
      <c r="O191" s="202"/>
      <c r="P191" s="196"/>
      <c r="Q191" s="196"/>
    </row>
    <row r="192" spans="1:17" ht="19.5" customHeight="1">
      <c r="A192" s="202"/>
      <c r="B192" s="202"/>
      <c r="C192" s="280"/>
      <c r="D192" s="280"/>
      <c r="E192" s="280"/>
      <c r="F192" s="202"/>
      <c r="G192" s="202"/>
      <c r="H192" s="202"/>
      <c r="I192" s="202"/>
      <c r="J192" s="202"/>
      <c r="K192" s="202"/>
      <c r="L192" s="202"/>
      <c r="M192" s="202"/>
      <c r="N192" s="202"/>
      <c r="O192" s="202"/>
      <c r="P192" s="196"/>
      <c r="Q192" s="196"/>
    </row>
    <row r="193" spans="1:17" ht="19.5" customHeight="1">
      <c r="A193" s="202"/>
      <c r="B193" s="202"/>
      <c r="C193" s="280"/>
      <c r="D193" s="280"/>
      <c r="E193" s="280"/>
      <c r="F193" s="202"/>
      <c r="G193" s="202"/>
      <c r="H193" s="202"/>
      <c r="I193" s="202"/>
      <c r="J193" s="202"/>
      <c r="K193" s="202"/>
      <c r="L193" s="202"/>
      <c r="M193" s="202"/>
      <c r="N193" s="202"/>
      <c r="O193" s="202"/>
      <c r="P193" s="196"/>
      <c r="Q193" s="196"/>
    </row>
    <row r="194" spans="1:17" ht="19.5" customHeight="1">
      <c r="A194" s="202"/>
      <c r="B194" s="202"/>
      <c r="C194" s="280"/>
      <c r="D194" s="280"/>
      <c r="E194" s="280"/>
      <c r="F194" s="202"/>
      <c r="G194" s="202"/>
      <c r="H194" s="202"/>
      <c r="I194" s="202"/>
      <c r="J194" s="202"/>
      <c r="K194" s="202"/>
      <c r="L194" s="202"/>
      <c r="M194" s="202"/>
      <c r="N194" s="202"/>
      <c r="O194" s="202"/>
      <c r="P194" s="196"/>
      <c r="Q194" s="196"/>
    </row>
    <row r="195" spans="1:17" ht="19.5" customHeight="1">
      <c r="A195" s="202"/>
      <c r="B195" s="202"/>
      <c r="C195" s="280"/>
      <c r="D195" s="280"/>
      <c r="E195" s="280"/>
      <c r="F195" s="202"/>
      <c r="G195" s="202"/>
      <c r="H195" s="202"/>
      <c r="I195" s="202"/>
      <c r="J195" s="202"/>
      <c r="K195" s="202"/>
      <c r="L195" s="202"/>
      <c r="M195" s="202"/>
      <c r="N195" s="202"/>
      <c r="O195" s="202"/>
      <c r="P195" s="196"/>
      <c r="Q195" s="196"/>
    </row>
    <row r="196" spans="1:17" ht="19.5" customHeight="1">
      <c r="A196" s="202"/>
      <c r="B196" s="202"/>
      <c r="C196" s="280"/>
      <c r="D196" s="280"/>
      <c r="E196" s="280"/>
      <c r="F196" s="202"/>
      <c r="G196" s="202"/>
      <c r="H196" s="202"/>
      <c r="I196" s="202"/>
      <c r="J196" s="202"/>
      <c r="K196" s="202"/>
      <c r="L196" s="202"/>
      <c r="M196" s="202"/>
      <c r="N196" s="202"/>
      <c r="O196" s="202"/>
      <c r="P196" s="196"/>
      <c r="Q196" s="196"/>
    </row>
    <row r="197" spans="1:17" ht="19.5" customHeight="1">
      <c r="A197" s="202"/>
      <c r="B197" s="202"/>
      <c r="C197" s="280"/>
      <c r="D197" s="280"/>
      <c r="E197" s="280"/>
      <c r="F197" s="202"/>
      <c r="G197" s="202"/>
      <c r="H197" s="202"/>
      <c r="I197" s="202"/>
      <c r="J197" s="202"/>
      <c r="K197" s="202"/>
      <c r="L197" s="202"/>
      <c r="M197" s="202"/>
      <c r="N197" s="202"/>
      <c r="O197" s="202"/>
      <c r="P197" s="196"/>
      <c r="Q197" s="196"/>
    </row>
    <row r="198" spans="1:17" ht="19.5" customHeight="1">
      <c r="A198" s="202"/>
      <c r="B198" s="202"/>
      <c r="C198" s="280"/>
      <c r="D198" s="280"/>
      <c r="E198" s="280"/>
      <c r="F198" s="202"/>
      <c r="G198" s="202"/>
      <c r="H198" s="202"/>
      <c r="I198" s="202"/>
      <c r="J198" s="202"/>
      <c r="K198" s="202"/>
      <c r="L198" s="202"/>
      <c r="M198" s="202"/>
      <c r="N198" s="202"/>
      <c r="O198" s="202"/>
      <c r="P198" s="196"/>
      <c r="Q198" s="196"/>
    </row>
    <row r="199" spans="1:17" ht="19.5" customHeight="1">
      <c r="A199" s="202"/>
      <c r="B199" s="202"/>
      <c r="C199" s="280"/>
      <c r="D199" s="280"/>
      <c r="E199" s="280"/>
      <c r="F199" s="202"/>
      <c r="G199" s="202"/>
      <c r="H199" s="202"/>
      <c r="I199" s="202"/>
      <c r="J199" s="202"/>
      <c r="K199" s="202"/>
      <c r="L199" s="202"/>
      <c r="M199" s="202"/>
      <c r="N199" s="202"/>
      <c r="O199" s="202"/>
      <c r="P199" s="196"/>
      <c r="Q199" s="196"/>
    </row>
    <row r="200" spans="1:17" ht="19.5" customHeight="1">
      <c r="A200" s="202"/>
      <c r="B200" s="202"/>
      <c r="C200" s="280"/>
      <c r="D200" s="280"/>
      <c r="E200" s="280"/>
      <c r="F200" s="202"/>
      <c r="G200" s="202"/>
      <c r="H200" s="202"/>
      <c r="I200" s="202"/>
      <c r="J200" s="202"/>
      <c r="K200" s="202"/>
      <c r="L200" s="202"/>
      <c r="M200" s="202"/>
      <c r="N200" s="202"/>
      <c r="O200" s="202"/>
      <c r="P200" s="196"/>
      <c r="Q200" s="196"/>
    </row>
    <row r="201" spans="1:17" ht="19.5" customHeight="1">
      <c r="A201" s="202"/>
      <c r="B201" s="202"/>
      <c r="C201" s="280"/>
      <c r="D201" s="280"/>
      <c r="E201" s="280"/>
      <c r="F201" s="202"/>
      <c r="G201" s="202"/>
      <c r="H201" s="202"/>
      <c r="I201" s="202"/>
      <c r="J201" s="202"/>
      <c r="K201" s="202"/>
      <c r="L201" s="202"/>
      <c r="M201" s="202"/>
      <c r="N201" s="202"/>
      <c r="O201" s="202"/>
      <c r="P201" s="196"/>
      <c r="Q201" s="196"/>
    </row>
    <row r="202" spans="1:17" ht="19.5" customHeight="1">
      <c r="A202" s="202"/>
      <c r="B202" s="202"/>
      <c r="C202" s="280"/>
      <c r="D202" s="280"/>
      <c r="E202" s="280"/>
      <c r="F202" s="202"/>
      <c r="G202" s="202"/>
      <c r="H202" s="202"/>
      <c r="I202" s="202"/>
      <c r="J202" s="202"/>
      <c r="K202" s="202"/>
      <c r="L202" s="202"/>
      <c r="M202" s="202"/>
      <c r="N202" s="202"/>
      <c r="O202" s="202"/>
      <c r="P202" s="196"/>
      <c r="Q202" s="196"/>
    </row>
    <row r="203" spans="1:17" ht="19.5" customHeight="1">
      <c r="A203" s="202"/>
      <c r="B203" s="202"/>
      <c r="C203" s="280"/>
      <c r="D203" s="280"/>
      <c r="E203" s="280"/>
      <c r="F203" s="202"/>
      <c r="G203" s="202"/>
      <c r="H203" s="202"/>
      <c r="I203" s="202"/>
      <c r="J203" s="202"/>
      <c r="K203" s="202"/>
      <c r="L203" s="202"/>
      <c r="M203" s="202"/>
      <c r="N203" s="202"/>
      <c r="O203" s="202"/>
      <c r="P203" s="196"/>
      <c r="Q203" s="196"/>
    </row>
    <row r="204" spans="1:17" ht="19.5" customHeight="1">
      <c r="A204" s="202"/>
      <c r="B204" s="202"/>
      <c r="C204" s="280"/>
      <c r="D204" s="280"/>
      <c r="E204" s="280"/>
      <c r="F204" s="202"/>
      <c r="G204" s="202"/>
      <c r="H204" s="202"/>
      <c r="I204" s="202"/>
      <c r="J204" s="202"/>
      <c r="K204" s="202"/>
      <c r="L204" s="202"/>
      <c r="M204" s="202"/>
      <c r="N204" s="202"/>
      <c r="O204" s="202"/>
      <c r="P204" s="196"/>
      <c r="Q204" s="196"/>
    </row>
    <row r="205" spans="1:17" ht="19.5" customHeight="1">
      <c r="A205" s="202"/>
      <c r="B205" s="202"/>
      <c r="C205" s="280"/>
      <c r="D205" s="280"/>
      <c r="E205" s="280"/>
      <c r="F205" s="202"/>
      <c r="G205" s="202"/>
      <c r="H205" s="202"/>
      <c r="I205" s="202"/>
      <c r="J205" s="202"/>
      <c r="K205" s="202"/>
      <c r="L205" s="202"/>
      <c r="M205" s="202"/>
      <c r="N205" s="202"/>
      <c r="O205" s="202"/>
      <c r="P205" s="196"/>
      <c r="Q205" s="196"/>
    </row>
    <row r="206" spans="1:17" ht="19.5" customHeight="1">
      <c r="A206" s="202"/>
      <c r="B206" s="202"/>
      <c r="C206" s="280"/>
      <c r="D206" s="280"/>
      <c r="E206" s="280"/>
      <c r="F206" s="202"/>
      <c r="G206" s="202"/>
      <c r="H206" s="202"/>
      <c r="I206" s="202"/>
      <c r="J206" s="202"/>
      <c r="K206" s="202"/>
      <c r="L206" s="202"/>
      <c r="M206" s="202"/>
      <c r="N206" s="202"/>
      <c r="O206" s="202"/>
      <c r="P206" s="196"/>
      <c r="Q206" s="196"/>
    </row>
    <row r="207" spans="1:17" ht="19.5" customHeight="1">
      <c r="A207" s="202"/>
      <c r="B207" s="202"/>
      <c r="C207" s="280"/>
      <c r="D207" s="280"/>
      <c r="E207" s="280"/>
      <c r="F207" s="202"/>
      <c r="G207" s="202"/>
      <c r="H207" s="202"/>
      <c r="I207" s="202"/>
      <c r="J207" s="202"/>
      <c r="K207" s="202"/>
      <c r="L207" s="202"/>
      <c r="M207" s="202"/>
      <c r="N207" s="202"/>
      <c r="O207" s="202"/>
      <c r="P207" s="196"/>
      <c r="Q207" s="196"/>
    </row>
    <row r="208" spans="1:17" ht="19.5" customHeight="1">
      <c r="A208" s="202"/>
      <c r="B208" s="202"/>
      <c r="C208" s="280"/>
      <c r="D208" s="280"/>
      <c r="E208" s="280"/>
      <c r="F208" s="202"/>
      <c r="G208" s="202"/>
      <c r="H208" s="202"/>
      <c r="I208" s="202"/>
      <c r="J208" s="202"/>
      <c r="K208" s="202"/>
      <c r="L208" s="202"/>
      <c r="M208" s="202"/>
      <c r="N208" s="202"/>
      <c r="O208" s="202"/>
      <c r="P208" s="196"/>
      <c r="Q208" s="196"/>
    </row>
    <row r="209" spans="1:17" ht="19.5" customHeight="1">
      <c r="A209" s="202"/>
      <c r="B209" s="202"/>
      <c r="C209" s="280"/>
      <c r="D209" s="280"/>
      <c r="E209" s="280"/>
      <c r="F209" s="202"/>
      <c r="G209" s="202"/>
      <c r="H209" s="202"/>
      <c r="I209" s="202"/>
      <c r="J209" s="202"/>
      <c r="K209" s="202"/>
      <c r="L209" s="202"/>
      <c r="M209" s="202"/>
      <c r="N209" s="202"/>
      <c r="O209" s="202"/>
      <c r="P209" s="196"/>
      <c r="Q209" s="196"/>
    </row>
    <row r="210" spans="1:17" ht="19.5" customHeight="1">
      <c r="A210" s="202"/>
      <c r="B210" s="202"/>
      <c r="C210" s="280"/>
      <c r="D210" s="280"/>
      <c r="E210" s="280"/>
      <c r="F210" s="202"/>
      <c r="G210" s="202"/>
      <c r="H210" s="202"/>
      <c r="I210" s="202"/>
      <c r="J210" s="202"/>
      <c r="K210" s="202"/>
      <c r="L210" s="202"/>
      <c r="M210" s="202"/>
      <c r="N210" s="202"/>
      <c r="O210" s="202"/>
      <c r="P210" s="196"/>
      <c r="Q210" s="196"/>
    </row>
    <row r="211" spans="1:17" ht="19.5" customHeight="1">
      <c r="A211" s="202"/>
      <c r="B211" s="202"/>
      <c r="C211" s="280"/>
      <c r="D211" s="280"/>
      <c r="E211" s="280"/>
      <c r="F211" s="202"/>
      <c r="G211" s="202"/>
      <c r="H211" s="202"/>
      <c r="I211" s="202"/>
      <c r="J211" s="202"/>
      <c r="K211" s="202"/>
      <c r="L211" s="202"/>
      <c r="M211" s="202"/>
      <c r="N211" s="202"/>
      <c r="O211" s="202"/>
      <c r="P211" s="196"/>
      <c r="Q211" s="196"/>
    </row>
    <row r="212" spans="1:17" ht="19.5" customHeight="1">
      <c r="A212" s="202"/>
      <c r="B212" s="202"/>
      <c r="C212" s="280"/>
      <c r="D212" s="280"/>
      <c r="E212" s="280"/>
      <c r="F212" s="202"/>
      <c r="G212" s="202"/>
      <c r="H212" s="202"/>
      <c r="I212" s="202"/>
      <c r="J212" s="202"/>
      <c r="K212" s="202"/>
      <c r="L212" s="202"/>
      <c r="M212" s="202"/>
      <c r="N212" s="202"/>
      <c r="O212" s="202"/>
      <c r="P212" s="196"/>
      <c r="Q212" s="196"/>
    </row>
    <row r="213" spans="1:17" ht="19.5" customHeight="1">
      <c r="A213" s="202"/>
      <c r="B213" s="202"/>
      <c r="C213" s="280"/>
      <c r="D213" s="280"/>
      <c r="E213" s="280"/>
      <c r="F213" s="202"/>
      <c r="G213" s="202"/>
      <c r="H213" s="202"/>
      <c r="I213" s="202"/>
      <c r="J213" s="202"/>
      <c r="K213" s="202"/>
      <c r="L213" s="202"/>
      <c r="M213" s="202"/>
      <c r="N213" s="202"/>
      <c r="O213" s="202"/>
      <c r="P213" s="196"/>
      <c r="Q213" s="196"/>
    </row>
    <row r="214" spans="1:17" ht="19.5" customHeight="1">
      <c r="A214" s="202"/>
      <c r="B214" s="202"/>
      <c r="C214" s="280"/>
      <c r="D214" s="280"/>
      <c r="E214" s="280"/>
      <c r="F214" s="202"/>
      <c r="G214" s="202"/>
      <c r="H214" s="202"/>
      <c r="I214" s="202"/>
      <c r="J214" s="202"/>
      <c r="K214" s="202"/>
      <c r="L214" s="202"/>
      <c r="M214" s="202"/>
      <c r="N214" s="202"/>
      <c r="O214" s="202"/>
      <c r="P214" s="196"/>
      <c r="Q214" s="196"/>
    </row>
    <row r="215" spans="1:17" ht="19.5" customHeight="1">
      <c r="A215" s="202"/>
      <c r="B215" s="202"/>
      <c r="C215" s="280"/>
      <c r="D215" s="280"/>
      <c r="E215" s="280"/>
      <c r="F215" s="202"/>
      <c r="G215" s="202"/>
      <c r="H215" s="202"/>
      <c r="I215" s="202"/>
      <c r="J215" s="202"/>
      <c r="K215" s="202"/>
      <c r="L215" s="202"/>
      <c r="M215" s="202"/>
      <c r="N215" s="202"/>
      <c r="O215" s="202"/>
      <c r="P215" s="196"/>
      <c r="Q215" s="196"/>
    </row>
    <row r="216" spans="1:17" ht="19.5" customHeight="1">
      <c r="A216" s="202"/>
      <c r="B216" s="202"/>
      <c r="C216" s="280"/>
      <c r="D216" s="280"/>
      <c r="E216" s="280"/>
      <c r="F216" s="202"/>
      <c r="G216" s="202"/>
      <c r="H216" s="202"/>
      <c r="I216" s="202"/>
      <c r="J216" s="202"/>
      <c r="K216" s="202"/>
      <c r="L216" s="202"/>
      <c r="M216" s="202"/>
      <c r="N216" s="202"/>
      <c r="O216" s="202"/>
      <c r="P216" s="196"/>
      <c r="Q216" s="196"/>
    </row>
    <row r="217" spans="1:17" ht="19.5" customHeight="1">
      <c r="A217" s="202"/>
      <c r="B217" s="202"/>
      <c r="C217" s="280"/>
      <c r="D217" s="280"/>
      <c r="E217" s="280"/>
      <c r="F217" s="202"/>
      <c r="G217" s="202"/>
      <c r="H217" s="202"/>
      <c r="I217" s="202"/>
      <c r="J217" s="202"/>
      <c r="K217" s="202"/>
      <c r="L217" s="202"/>
      <c r="M217" s="202"/>
      <c r="N217" s="202"/>
      <c r="O217" s="202"/>
      <c r="P217" s="196"/>
      <c r="Q217" s="196"/>
    </row>
    <row r="218" spans="1:17" ht="19.5" customHeight="1">
      <c r="A218" s="202"/>
      <c r="B218" s="202"/>
      <c r="C218" s="280"/>
      <c r="D218" s="280"/>
      <c r="E218" s="280"/>
      <c r="F218" s="202"/>
      <c r="G218" s="202"/>
      <c r="H218" s="202"/>
      <c r="I218" s="202"/>
      <c r="J218" s="202"/>
      <c r="K218" s="202"/>
      <c r="L218" s="202"/>
      <c r="M218" s="202"/>
      <c r="N218" s="202"/>
      <c r="O218" s="202"/>
      <c r="P218" s="196"/>
      <c r="Q218" s="196"/>
    </row>
    <row r="219" spans="1:17" ht="19.5" customHeight="1">
      <c r="A219" s="202"/>
      <c r="B219" s="202"/>
      <c r="C219" s="280"/>
      <c r="D219" s="280"/>
      <c r="E219" s="280"/>
      <c r="F219" s="202"/>
      <c r="G219" s="202"/>
      <c r="H219" s="202"/>
      <c r="I219" s="202"/>
      <c r="J219" s="202"/>
      <c r="K219" s="202"/>
      <c r="L219" s="202"/>
      <c r="M219" s="202"/>
      <c r="N219" s="202"/>
      <c r="O219" s="202"/>
      <c r="P219" s="196"/>
      <c r="Q219" s="196"/>
    </row>
    <row r="220" spans="1:17" ht="19.5" customHeight="1">
      <c r="A220" s="202"/>
      <c r="B220" s="202"/>
      <c r="C220" s="280"/>
      <c r="D220" s="280"/>
      <c r="E220" s="280"/>
      <c r="F220" s="202"/>
      <c r="G220" s="202"/>
      <c r="H220" s="202"/>
      <c r="I220" s="202"/>
      <c r="J220" s="202"/>
      <c r="K220" s="202"/>
      <c r="L220" s="202"/>
      <c r="M220" s="202"/>
      <c r="N220" s="202"/>
      <c r="O220" s="202"/>
      <c r="P220" s="196"/>
      <c r="Q220" s="196"/>
    </row>
    <row r="221" spans="1:17" ht="19.5" customHeight="1">
      <c r="A221" s="202"/>
      <c r="B221" s="202"/>
      <c r="C221" s="280"/>
      <c r="D221" s="280"/>
      <c r="E221" s="280"/>
      <c r="F221" s="202"/>
      <c r="G221" s="202"/>
      <c r="H221" s="202"/>
      <c r="I221" s="202"/>
      <c r="J221" s="202"/>
      <c r="K221" s="202"/>
      <c r="L221" s="202"/>
      <c r="M221" s="202"/>
      <c r="N221" s="202"/>
      <c r="O221" s="202"/>
      <c r="P221" s="196"/>
      <c r="Q221" s="196"/>
    </row>
    <row r="222" spans="1:17" ht="19.5" customHeight="1">
      <c r="A222" s="202"/>
      <c r="B222" s="202"/>
      <c r="C222" s="280"/>
      <c r="D222" s="280"/>
      <c r="E222" s="280"/>
      <c r="F222" s="202"/>
      <c r="G222" s="202"/>
      <c r="H222" s="202"/>
      <c r="I222" s="202"/>
      <c r="J222" s="202"/>
      <c r="K222" s="202"/>
      <c r="L222" s="202"/>
      <c r="M222" s="202"/>
      <c r="N222" s="202"/>
      <c r="O222" s="202"/>
      <c r="P222" s="196"/>
      <c r="Q222" s="196"/>
    </row>
    <row r="223" spans="1:17" ht="19.5" customHeight="1">
      <c r="A223" s="202"/>
      <c r="B223" s="202"/>
      <c r="C223" s="280"/>
      <c r="D223" s="280"/>
      <c r="E223" s="280"/>
      <c r="F223" s="202"/>
      <c r="G223" s="202"/>
      <c r="H223" s="202"/>
      <c r="I223" s="202"/>
      <c r="J223" s="202"/>
      <c r="K223" s="202"/>
      <c r="L223" s="202"/>
      <c r="M223" s="202"/>
      <c r="N223" s="202"/>
      <c r="O223" s="202"/>
      <c r="P223" s="196"/>
      <c r="Q223" s="196"/>
    </row>
    <row r="224" spans="1:17" ht="19.5" customHeight="1">
      <c r="A224" s="202"/>
      <c r="B224" s="202"/>
      <c r="C224" s="280"/>
      <c r="D224" s="280"/>
      <c r="E224" s="280"/>
      <c r="F224" s="202"/>
      <c r="G224" s="202"/>
      <c r="H224" s="202"/>
      <c r="I224" s="202"/>
      <c r="J224" s="202"/>
      <c r="K224" s="202"/>
      <c r="L224" s="202"/>
      <c r="M224" s="202"/>
      <c r="N224" s="202"/>
      <c r="O224" s="202"/>
      <c r="P224" s="196"/>
      <c r="Q224" s="196"/>
    </row>
    <row r="225" spans="1:17" ht="19.5" customHeight="1">
      <c r="A225" s="202"/>
      <c r="B225" s="202"/>
      <c r="C225" s="280"/>
      <c r="D225" s="280"/>
      <c r="E225" s="280"/>
      <c r="F225" s="202"/>
      <c r="G225" s="202"/>
      <c r="H225" s="202"/>
      <c r="I225" s="202"/>
      <c r="J225" s="202"/>
      <c r="K225" s="202"/>
      <c r="L225" s="202"/>
      <c r="M225" s="202"/>
      <c r="N225" s="202"/>
      <c r="O225" s="202"/>
      <c r="P225" s="196"/>
      <c r="Q225" s="196"/>
    </row>
    <row r="226" spans="1:17" ht="19.5" customHeight="1">
      <c r="A226" s="202"/>
      <c r="B226" s="202"/>
      <c r="C226" s="280"/>
      <c r="D226" s="280"/>
      <c r="E226" s="280"/>
      <c r="F226" s="202"/>
      <c r="G226" s="202"/>
      <c r="H226" s="202"/>
      <c r="I226" s="202"/>
      <c r="J226" s="202"/>
      <c r="K226" s="202"/>
      <c r="L226" s="202"/>
      <c r="M226" s="202"/>
      <c r="N226" s="202"/>
      <c r="O226" s="202"/>
      <c r="P226" s="196"/>
      <c r="Q226" s="196"/>
    </row>
    <row r="227" spans="1:17" ht="19.5" customHeight="1">
      <c r="A227" s="202"/>
      <c r="B227" s="202"/>
      <c r="C227" s="280"/>
      <c r="D227" s="280"/>
      <c r="E227" s="280"/>
      <c r="F227" s="202"/>
      <c r="G227" s="202"/>
      <c r="H227" s="202"/>
      <c r="I227" s="202"/>
      <c r="J227" s="202"/>
      <c r="K227" s="202"/>
      <c r="L227" s="202"/>
      <c r="M227" s="202"/>
      <c r="N227" s="202"/>
      <c r="O227" s="202"/>
      <c r="P227" s="196"/>
      <c r="Q227" s="196"/>
    </row>
    <row r="228" spans="1:17" ht="19.5" customHeight="1">
      <c r="A228" s="202"/>
      <c r="B228" s="202"/>
      <c r="C228" s="280"/>
      <c r="D228" s="280"/>
      <c r="E228" s="280"/>
      <c r="F228" s="202"/>
      <c r="G228" s="202"/>
      <c r="H228" s="202"/>
      <c r="I228" s="202"/>
      <c r="J228" s="202"/>
      <c r="K228" s="202"/>
      <c r="L228" s="202"/>
      <c r="M228" s="202"/>
      <c r="N228" s="202"/>
      <c r="O228" s="202"/>
      <c r="P228" s="196"/>
      <c r="Q228" s="196"/>
    </row>
    <row r="229" spans="1:17" ht="19.5" customHeight="1">
      <c r="A229" s="202"/>
      <c r="B229" s="202"/>
      <c r="C229" s="280"/>
      <c r="D229" s="280"/>
      <c r="E229" s="280"/>
      <c r="F229" s="202"/>
      <c r="G229" s="202"/>
      <c r="H229" s="202"/>
      <c r="I229" s="202"/>
      <c r="J229" s="202"/>
      <c r="K229" s="202"/>
      <c r="L229" s="202"/>
      <c r="M229" s="202"/>
      <c r="N229" s="202"/>
      <c r="O229" s="202"/>
      <c r="P229" s="196"/>
      <c r="Q229" s="196"/>
    </row>
    <row r="230" spans="1:17" ht="19.5" customHeight="1">
      <c r="A230" s="202"/>
      <c r="B230" s="202"/>
      <c r="C230" s="280"/>
      <c r="D230" s="280"/>
      <c r="E230" s="280"/>
      <c r="F230" s="202"/>
      <c r="G230" s="202"/>
      <c r="H230" s="202"/>
      <c r="I230" s="202"/>
      <c r="J230" s="202"/>
      <c r="K230" s="202"/>
      <c r="L230" s="202"/>
      <c r="M230" s="202"/>
      <c r="N230" s="202"/>
      <c r="O230" s="202"/>
      <c r="P230" s="196"/>
      <c r="Q230" s="196"/>
    </row>
    <row r="231" spans="1:17" ht="19.5" customHeight="1">
      <c r="A231" s="202"/>
      <c r="B231" s="202"/>
      <c r="C231" s="280"/>
      <c r="D231" s="280"/>
      <c r="E231" s="280"/>
      <c r="F231" s="202"/>
      <c r="G231" s="202"/>
      <c r="H231" s="202"/>
      <c r="I231" s="202"/>
      <c r="J231" s="202"/>
      <c r="K231" s="202"/>
      <c r="L231" s="202"/>
      <c r="M231" s="202"/>
      <c r="N231" s="202"/>
      <c r="O231" s="202"/>
      <c r="P231" s="196"/>
      <c r="Q231" s="196"/>
    </row>
    <row r="232" spans="1:17" ht="19.5" customHeight="1">
      <c r="A232" s="202"/>
      <c r="B232" s="202"/>
      <c r="C232" s="280"/>
      <c r="D232" s="280"/>
      <c r="E232" s="280"/>
      <c r="F232" s="202"/>
      <c r="G232" s="202"/>
      <c r="H232" s="202"/>
      <c r="I232" s="202"/>
      <c r="J232" s="202"/>
      <c r="K232" s="202"/>
      <c r="L232" s="202"/>
      <c r="M232" s="202"/>
      <c r="N232" s="202"/>
      <c r="O232" s="202"/>
      <c r="P232" s="196"/>
      <c r="Q232" s="196"/>
    </row>
    <row r="233" spans="1:17" ht="19.5" customHeight="1">
      <c r="A233" s="202"/>
      <c r="B233" s="202"/>
      <c r="C233" s="280"/>
      <c r="D233" s="280"/>
      <c r="E233" s="280"/>
      <c r="F233" s="202"/>
      <c r="G233" s="202"/>
      <c r="H233" s="202"/>
      <c r="I233" s="202"/>
      <c r="J233" s="202"/>
      <c r="K233" s="202"/>
      <c r="L233" s="202"/>
      <c r="M233" s="202"/>
      <c r="N233" s="202"/>
      <c r="O233" s="202"/>
      <c r="P233" s="196"/>
      <c r="Q233" s="196"/>
    </row>
    <row r="234" spans="1:17" ht="19.5" customHeight="1">
      <c r="A234" s="202"/>
      <c r="B234" s="202"/>
      <c r="C234" s="280"/>
      <c r="D234" s="280"/>
      <c r="E234" s="280"/>
      <c r="F234" s="202"/>
      <c r="G234" s="202"/>
      <c r="H234" s="202"/>
      <c r="I234" s="202"/>
      <c r="J234" s="202"/>
      <c r="K234" s="202"/>
      <c r="L234" s="202"/>
      <c r="M234" s="202"/>
      <c r="N234" s="202"/>
      <c r="O234" s="202"/>
      <c r="P234" s="196"/>
      <c r="Q234" s="196"/>
    </row>
    <row r="235" spans="1:17" ht="19.5" customHeight="1">
      <c r="A235" s="202"/>
      <c r="B235" s="202"/>
      <c r="C235" s="280"/>
      <c r="D235" s="280"/>
      <c r="E235" s="280"/>
      <c r="F235" s="202"/>
      <c r="G235" s="202"/>
      <c r="H235" s="202"/>
      <c r="I235" s="202"/>
      <c r="J235" s="202"/>
      <c r="K235" s="202"/>
      <c r="L235" s="202"/>
      <c r="M235" s="202"/>
      <c r="N235" s="202"/>
      <c r="O235" s="202"/>
      <c r="P235" s="196"/>
      <c r="Q235" s="196"/>
    </row>
    <row r="236" spans="1:17" ht="19.5" customHeight="1">
      <c r="A236" s="202"/>
      <c r="B236" s="202"/>
      <c r="C236" s="280"/>
      <c r="D236" s="280"/>
      <c r="E236" s="280"/>
      <c r="F236" s="202"/>
      <c r="G236" s="202"/>
      <c r="H236" s="202"/>
      <c r="I236" s="202"/>
      <c r="J236" s="202"/>
      <c r="K236" s="202"/>
      <c r="L236" s="202"/>
      <c r="M236" s="202"/>
      <c r="N236" s="202"/>
      <c r="O236" s="202"/>
      <c r="P236" s="196"/>
      <c r="Q236" s="196"/>
    </row>
    <row r="237" spans="1:17" ht="19.5" customHeight="1">
      <c r="A237" s="202"/>
      <c r="B237" s="202"/>
      <c r="C237" s="280"/>
      <c r="D237" s="280"/>
      <c r="E237" s="280"/>
      <c r="F237" s="202"/>
      <c r="G237" s="202"/>
      <c r="H237" s="202"/>
      <c r="I237" s="202"/>
      <c r="J237" s="202"/>
      <c r="K237" s="202"/>
      <c r="L237" s="202"/>
      <c r="M237" s="202"/>
      <c r="N237" s="202"/>
      <c r="O237" s="202"/>
      <c r="P237" s="196"/>
      <c r="Q237" s="196"/>
    </row>
    <row r="238" spans="1:17" ht="19.5" customHeight="1">
      <c r="A238" s="202"/>
      <c r="B238" s="202"/>
      <c r="C238" s="280"/>
      <c r="D238" s="280"/>
      <c r="E238" s="280"/>
      <c r="F238" s="202"/>
      <c r="G238" s="202"/>
      <c r="H238" s="202"/>
      <c r="I238" s="202"/>
      <c r="J238" s="202"/>
      <c r="K238" s="202"/>
      <c r="L238" s="202"/>
      <c r="M238" s="202"/>
      <c r="N238" s="202"/>
      <c r="O238" s="202"/>
      <c r="P238" s="196"/>
      <c r="Q238" s="196"/>
    </row>
    <row r="239" spans="1:17" ht="19.5" customHeight="1">
      <c r="A239" s="202"/>
      <c r="B239" s="202"/>
      <c r="C239" s="280"/>
      <c r="D239" s="280"/>
      <c r="E239" s="280"/>
      <c r="F239" s="202"/>
      <c r="G239" s="202"/>
      <c r="H239" s="202"/>
      <c r="I239" s="202"/>
      <c r="J239" s="202"/>
      <c r="K239" s="202"/>
      <c r="L239" s="202"/>
      <c r="M239" s="202"/>
      <c r="N239" s="202"/>
      <c r="O239" s="202"/>
      <c r="P239" s="196"/>
      <c r="Q239" s="196"/>
    </row>
    <row r="240" spans="1:17" ht="19.5" customHeight="1">
      <c r="A240" s="202"/>
      <c r="B240" s="202"/>
      <c r="C240" s="280"/>
      <c r="D240" s="280"/>
      <c r="E240" s="280"/>
      <c r="F240" s="202"/>
      <c r="G240" s="202"/>
      <c r="H240" s="202"/>
      <c r="I240" s="202"/>
      <c r="J240" s="202"/>
      <c r="K240" s="202"/>
      <c r="L240" s="202"/>
      <c r="M240" s="202"/>
      <c r="N240" s="202"/>
      <c r="O240" s="202"/>
      <c r="P240" s="196"/>
      <c r="Q240" s="196"/>
    </row>
    <row r="241" spans="1:17" ht="19.5" customHeight="1">
      <c r="A241" s="202"/>
      <c r="B241" s="202"/>
      <c r="C241" s="280"/>
      <c r="D241" s="280"/>
      <c r="E241" s="280"/>
      <c r="F241" s="202"/>
      <c r="G241" s="202"/>
      <c r="H241" s="202"/>
      <c r="I241" s="202"/>
      <c r="J241" s="202"/>
      <c r="K241" s="202"/>
      <c r="L241" s="202"/>
      <c r="M241" s="202"/>
      <c r="N241" s="202"/>
      <c r="O241" s="202"/>
      <c r="P241" s="196"/>
      <c r="Q241" s="196"/>
    </row>
    <row r="242" spans="1:17" ht="19.5" customHeight="1">
      <c r="A242" s="202"/>
      <c r="B242" s="202"/>
      <c r="C242" s="280"/>
      <c r="D242" s="280"/>
      <c r="E242" s="280"/>
      <c r="F242" s="202"/>
      <c r="G242" s="202"/>
      <c r="H242" s="202"/>
      <c r="I242" s="202"/>
      <c r="J242" s="202"/>
      <c r="K242" s="202"/>
      <c r="L242" s="202"/>
      <c r="M242" s="202"/>
      <c r="N242" s="202"/>
      <c r="O242" s="202"/>
      <c r="P242" s="196"/>
      <c r="Q242" s="196"/>
    </row>
    <row r="243" spans="1:17" ht="19.5" customHeight="1">
      <c r="A243" s="202"/>
      <c r="B243" s="202"/>
      <c r="C243" s="280"/>
      <c r="D243" s="280"/>
      <c r="E243" s="280"/>
      <c r="F243" s="202"/>
      <c r="G243" s="202"/>
      <c r="H243" s="202"/>
      <c r="I243" s="202"/>
      <c r="J243" s="202"/>
      <c r="K243" s="202"/>
      <c r="L243" s="202"/>
      <c r="M243" s="202"/>
      <c r="N243" s="202"/>
      <c r="O243" s="202"/>
      <c r="P243" s="196"/>
      <c r="Q243" s="196"/>
    </row>
    <row r="244" spans="1:17" ht="19.5" customHeight="1">
      <c r="A244" s="202"/>
      <c r="B244" s="202"/>
      <c r="C244" s="280"/>
      <c r="D244" s="280"/>
      <c r="E244" s="280"/>
      <c r="F244" s="202"/>
      <c r="G244" s="202"/>
      <c r="H244" s="202"/>
      <c r="I244" s="202"/>
      <c r="J244" s="202"/>
      <c r="K244" s="202"/>
      <c r="L244" s="202"/>
      <c r="M244" s="202"/>
      <c r="N244" s="202"/>
      <c r="O244" s="202"/>
      <c r="P244" s="196"/>
      <c r="Q244" s="196"/>
    </row>
    <row r="245" spans="1:17" ht="19.5" customHeight="1">
      <c r="A245" s="202"/>
      <c r="B245" s="202"/>
      <c r="C245" s="280"/>
      <c r="D245" s="280"/>
      <c r="E245" s="280"/>
      <c r="F245" s="202"/>
      <c r="G245" s="202"/>
      <c r="H245" s="202"/>
      <c r="I245" s="202"/>
      <c r="J245" s="202"/>
      <c r="K245" s="202"/>
      <c r="L245" s="202"/>
      <c r="M245" s="202"/>
      <c r="N245" s="202"/>
      <c r="O245" s="202"/>
      <c r="P245" s="196"/>
      <c r="Q245" s="196"/>
    </row>
    <row r="246" spans="1:17" ht="19.5" customHeight="1">
      <c r="A246" s="202"/>
      <c r="B246" s="202"/>
      <c r="C246" s="280"/>
      <c r="D246" s="280"/>
      <c r="E246" s="280"/>
      <c r="F246" s="202"/>
      <c r="G246" s="202"/>
      <c r="H246" s="202"/>
      <c r="I246" s="202"/>
      <c r="J246" s="202"/>
      <c r="K246" s="202"/>
      <c r="L246" s="202"/>
      <c r="M246" s="202"/>
      <c r="N246" s="202"/>
      <c r="O246" s="202"/>
      <c r="P246" s="196"/>
      <c r="Q246" s="196"/>
    </row>
    <row r="247" spans="1:17" ht="19.5" customHeight="1">
      <c r="A247" s="202"/>
      <c r="B247" s="202"/>
      <c r="C247" s="280"/>
      <c r="D247" s="280"/>
      <c r="E247" s="280"/>
      <c r="F247" s="202"/>
      <c r="G247" s="202"/>
      <c r="H247" s="202"/>
      <c r="I247" s="202"/>
      <c r="J247" s="202"/>
      <c r="K247" s="202"/>
      <c r="L247" s="202"/>
      <c r="M247" s="202"/>
      <c r="N247" s="202"/>
      <c r="O247" s="202"/>
      <c r="P247" s="196"/>
      <c r="Q247" s="196"/>
    </row>
    <row r="248" spans="1:17" ht="19.5" customHeight="1">
      <c r="A248" s="202"/>
      <c r="B248" s="202"/>
      <c r="C248" s="280"/>
      <c r="D248" s="280"/>
      <c r="E248" s="280"/>
      <c r="F248" s="202"/>
      <c r="G248" s="202"/>
      <c r="H248" s="202"/>
      <c r="I248" s="202"/>
      <c r="J248" s="202"/>
      <c r="K248" s="202"/>
      <c r="L248" s="202"/>
      <c r="M248" s="202"/>
      <c r="N248" s="202"/>
      <c r="O248" s="202"/>
      <c r="P248" s="196"/>
      <c r="Q248" s="196"/>
    </row>
    <row r="249" spans="1:17" ht="19.5" customHeight="1">
      <c r="A249" s="202"/>
      <c r="B249" s="202"/>
      <c r="C249" s="280"/>
      <c r="D249" s="280"/>
      <c r="E249" s="280"/>
      <c r="F249" s="202"/>
      <c r="G249" s="202"/>
      <c r="H249" s="202"/>
      <c r="I249" s="202"/>
      <c r="J249" s="202"/>
      <c r="K249" s="202"/>
      <c r="L249" s="202"/>
      <c r="M249" s="202"/>
      <c r="N249" s="202"/>
      <c r="O249" s="202"/>
      <c r="P249" s="196"/>
      <c r="Q249" s="196"/>
    </row>
    <row r="250" spans="1:17" ht="19.5" customHeight="1">
      <c r="A250" s="202"/>
      <c r="B250" s="202"/>
      <c r="C250" s="280"/>
      <c r="D250" s="280"/>
      <c r="E250" s="280"/>
      <c r="F250" s="202"/>
      <c r="G250" s="202"/>
      <c r="H250" s="202"/>
      <c r="I250" s="202"/>
      <c r="J250" s="202"/>
      <c r="K250" s="202"/>
      <c r="L250" s="202"/>
      <c r="M250" s="202"/>
      <c r="N250" s="202"/>
      <c r="O250" s="202"/>
      <c r="P250" s="196"/>
      <c r="Q250" s="196"/>
    </row>
    <row r="251" spans="1:17" ht="19.5" customHeight="1">
      <c r="A251" s="202"/>
      <c r="B251" s="202"/>
      <c r="C251" s="280"/>
      <c r="D251" s="280"/>
      <c r="E251" s="280"/>
      <c r="F251" s="202"/>
      <c r="G251" s="202"/>
      <c r="H251" s="202"/>
      <c r="I251" s="202"/>
      <c r="J251" s="202"/>
      <c r="K251" s="202"/>
      <c r="L251" s="202"/>
      <c r="M251" s="202"/>
      <c r="N251" s="202"/>
      <c r="O251" s="202"/>
      <c r="P251" s="196"/>
      <c r="Q251" s="196"/>
    </row>
    <row r="252" spans="1:17" ht="19.5" customHeight="1">
      <c r="A252" s="202"/>
      <c r="B252" s="202"/>
      <c r="C252" s="280"/>
      <c r="D252" s="280"/>
      <c r="E252" s="280"/>
      <c r="F252" s="202"/>
      <c r="G252" s="202"/>
      <c r="H252" s="202"/>
      <c r="I252" s="202"/>
      <c r="J252" s="202"/>
      <c r="K252" s="202"/>
      <c r="L252" s="202"/>
      <c r="M252" s="202"/>
      <c r="N252" s="202"/>
      <c r="O252" s="202"/>
      <c r="P252" s="196"/>
      <c r="Q252" s="196"/>
    </row>
    <row r="253" spans="1:17" ht="19.5" customHeight="1">
      <c r="A253" s="202"/>
      <c r="B253" s="202"/>
      <c r="C253" s="280"/>
      <c r="D253" s="280"/>
      <c r="E253" s="280"/>
      <c r="F253" s="202"/>
      <c r="G253" s="202"/>
      <c r="H253" s="202"/>
      <c r="I253" s="202"/>
      <c r="J253" s="202"/>
      <c r="K253" s="202"/>
      <c r="L253" s="202"/>
      <c r="M253" s="202"/>
      <c r="N253" s="202"/>
      <c r="O253" s="202"/>
      <c r="P253" s="196"/>
      <c r="Q253" s="196"/>
    </row>
    <row r="254" spans="1:17" ht="19.5" customHeight="1">
      <c r="A254" s="202"/>
      <c r="B254" s="202"/>
      <c r="C254" s="280"/>
      <c r="D254" s="280"/>
      <c r="E254" s="280"/>
      <c r="F254" s="202"/>
      <c r="G254" s="202"/>
      <c r="H254" s="202"/>
      <c r="I254" s="202"/>
      <c r="J254" s="202"/>
      <c r="K254" s="202"/>
      <c r="L254" s="202"/>
      <c r="M254" s="202"/>
      <c r="N254" s="202"/>
      <c r="O254" s="202"/>
      <c r="P254" s="196"/>
      <c r="Q254" s="196"/>
    </row>
    <row r="255" spans="1:17" ht="19.5" customHeight="1">
      <c r="A255" s="202"/>
      <c r="B255" s="202"/>
      <c r="C255" s="280"/>
      <c r="D255" s="280"/>
      <c r="E255" s="280"/>
      <c r="F255" s="202"/>
      <c r="G255" s="202"/>
      <c r="H255" s="202"/>
      <c r="I255" s="202"/>
      <c r="J255" s="202"/>
      <c r="K255" s="202"/>
      <c r="L255" s="202"/>
      <c r="M255" s="202"/>
      <c r="N255" s="202"/>
      <c r="O255" s="202"/>
      <c r="P255" s="196"/>
      <c r="Q255" s="196"/>
    </row>
    <row r="256" spans="1:17" ht="19.5" customHeight="1">
      <c r="A256" s="202"/>
      <c r="B256" s="202"/>
      <c r="C256" s="280"/>
      <c r="D256" s="280"/>
      <c r="E256" s="280"/>
      <c r="F256" s="202"/>
      <c r="G256" s="202"/>
      <c r="H256" s="202"/>
      <c r="I256" s="202"/>
      <c r="J256" s="202"/>
      <c r="K256" s="202"/>
      <c r="L256" s="202"/>
      <c r="M256" s="202"/>
      <c r="N256" s="202"/>
      <c r="O256" s="202"/>
      <c r="P256" s="196"/>
      <c r="Q256" s="196"/>
    </row>
    <row r="257" spans="1:17" ht="19.5" customHeight="1">
      <c r="A257" s="202"/>
      <c r="B257" s="202"/>
      <c r="C257" s="280"/>
      <c r="D257" s="280"/>
      <c r="E257" s="280"/>
      <c r="F257" s="202"/>
      <c r="G257" s="202"/>
      <c r="H257" s="202"/>
      <c r="I257" s="202"/>
      <c r="J257" s="202"/>
      <c r="K257" s="202"/>
      <c r="L257" s="202"/>
      <c r="M257" s="202"/>
      <c r="N257" s="202"/>
      <c r="O257" s="202"/>
      <c r="P257" s="196"/>
      <c r="Q257" s="196"/>
    </row>
    <row r="258" spans="1:17" ht="19.5" customHeight="1">
      <c r="A258" s="202"/>
      <c r="B258" s="202"/>
      <c r="C258" s="280"/>
      <c r="D258" s="280"/>
      <c r="E258" s="280"/>
      <c r="F258" s="202"/>
      <c r="G258" s="202"/>
      <c r="H258" s="202"/>
      <c r="I258" s="202"/>
      <c r="J258" s="202"/>
      <c r="K258" s="202"/>
      <c r="L258" s="202"/>
      <c r="M258" s="202"/>
      <c r="N258" s="202"/>
      <c r="O258" s="202"/>
      <c r="P258" s="196"/>
      <c r="Q258" s="196"/>
    </row>
    <row r="259" spans="1:17" ht="19.5" customHeight="1">
      <c r="A259" s="202"/>
      <c r="B259" s="202"/>
      <c r="C259" s="280"/>
      <c r="D259" s="280"/>
      <c r="E259" s="280"/>
      <c r="F259" s="202"/>
      <c r="G259" s="202"/>
      <c r="H259" s="202"/>
      <c r="I259" s="202"/>
      <c r="J259" s="202"/>
      <c r="K259" s="202"/>
      <c r="L259" s="202"/>
      <c r="M259" s="202"/>
      <c r="N259" s="202"/>
      <c r="O259" s="202"/>
      <c r="P259" s="196"/>
      <c r="Q259" s="196"/>
    </row>
    <row r="260" spans="1:17" ht="19.5" customHeight="1">
      <c r="A260" s="202"/>
      <c r="B260" s="202"/>
      <c r="C260" s="280"/>
      <c r="D260" s="280"/>
      <c r="E260" s="280"/>
      <c r="F260" s="202"/>
      <c r="G260" s="202"/>
      <c r="H260" s="202"/>
      <c r="I260" s="202"/>
      <c r="J260" s="202"/>
      <c r="K260" s="202"/>
      <c r="L260" s="202"/>
      <c r="M260" s="202"/>
      <c r="N260" s="202"/>
      <c r="O260" s="202"/>
      <c r="P260" s="196"/>
      <c r="Q260" s="196"/>
    </row>
    <row r="261" spans="1:17" ht="19.5" customHeight="1">
      <c r="A261" s="202"/>
      <c r="B261" s="202"/>
      <c r="C261" s="280"/>
      <c r="D261" s="280"/>
      <c r="E261" s="280"/>
      <c r="F261" s="202"/>
      <c r="G261" s="202"/>
      <c r="H261" s="202"/>
      <c r="I261" s="202"/>
      <c r="J261" s="202"/>
      <c r="K261" s="202"/>
      <c r="L261" s="202"/>
      <c r="M261" s="202"/>
      <c r="N261" s="202"/>
      <c r="O261" s="202"/>
      <c r="P261" s="196"/>
      <c r="Q261" s="196"/>
    </row>
    <row r="262" spans="1:17" ht="19.5" customHeight="1">
      <c r="A262" s="202"/>
      <c r="B262" s="202"/>
      <c r="C262" s="280"/>
      <c r="D262" s="280"/>
      <c r="E262" s="280"/>
      <c r="F262" s="202"/>
      <c r="G262" s="202"/>
      <c r="H262" s="202"/>
      <c r="I262" s="202"/>
      <c r="J262" s="202"/>
      <c r="K262" s="202"/>
      <c r="L262" s="202"/>
      <c r="M262" s="202"/>
      <c r="N262" s="202"/>
      <c r="O262" s="202"/>
      <c r="P262" s="196"/>
      <c r="Q262" s="196"/>
    </row>
    <row r="263" spans="1:17" ht="19.5" customHeight="1">
      <c r="A263" s="202"/>
      <c r="B263" s="202"/>
      <c r="C263" s="280"/>
      <c r="D263" s="280"/>
      <c r="E263" s="280"/>
      <c r="F263" s="202"/>
      <c r="G263" s="202"/>
      <c r="H263" s="202"/>
      <c r="I263" s="202"/>
      <c r="J263" s="202"/>
      <c r="K263" s="202"/>
      <c r="L263" s="202"/>
      <c r="M263" s="202"/>
      <c r="N263" s="202"/>
      <c r="O263" s="202"/>
      <c r="P263" s="196"/>
      <c r="Q263" s="196"/>
    </row>
    <row r="264" spans="1:17" ht="19.5" customHeight="1">
      <c r="A264" s="202"/>
      <c r="B264" s="202"/>
      <c r="C264" s="280"/>
      <c r="D264" s="280"/>
      <c r="E264" s="280"/>
      <c r="F264" s="202"/>
      <c r="G264" s="202"/>
      <c r="H264" s="202"/>
      <c r="I264" s="202"/>
      <c r="J264" s="202"/>
      <c r="K264" s="202"/>
      <c r="L264" s="202"/>
      <c r="M264" s="202"/>
      <c r="N264" s="202"/>
      <c r="O264" s="202"/>
      <c r="P264" s="196"/>
      <c r="Q264" s="196"/>
    </row>
    <row r="265" spans="1:17" ht="19.5" customHeight="1">
      <c r="A265" s="202"/>
      <c r="B265" s="202"/>
      <c r="C265" s="280"/>
      <c r="D265" s="280"/>
      <c r="E265" s="280"/>
      <c r="F265" s="202"/>
      <c r="G265" s="202"/>
      <c r="H265" s="202"/>
      <c r="I265" s="202"/>
      <c r="J265" s="202"/>
      <c r="K265" s="202"/>
      <c r="L265" s="202"/>
      <c r="M265" s="202"/>
      <c r="N265" s="202"/>
      <c r="O265" s="202"/>
      <c r="P265" s="196"/>
      <c r="Q265" s="196"/>
    </row>
    <row r="266" spans="1:17" ht="19.5" customHeight="1">
      <c r="A266" s="202"/>
      <c r="B266" s="202"/>
      <c r="C266" s="280"/>
      <c r="D266" s="280"/>
      <c r="E266" s="280"/>
      <c r="F266" s="202"/>
      <c r="G266" s="202"/>
      <c r="H266" s="202"/>
      <c r="I266" s="202"/>
      <c r="J266" s="202"/>
      <c r="K266" s="202"/>
      <c r="L266" s="202"/>
      <c r="M266" s="202"/>
      <c r="N266" s="202"/>
      <c r="O266" s="202"/>
      <c r="P266" s="196"/>
      <c r="Q266" s="196"/>
    </row>
    <row r="267" spans="1:17" ht="19.5" customHeight="1">
      <c r="A267" s="202"/>
      <c r="B267" s="202"/>
      <c r="C267" s="280"/>
      <c r="D267" s="280"/>
      <c r="E267" s="280"/>
      <c r="F267" s="202"/>
      <c r="G267" s="202"/>
      <c r="H267" s="202"/>
      <c r="I267" s="202"/>
      <c r="J267" s="202"/>
      <c r="K267" s="202"/>
      <c r="L267" s="202"/>
      <c r="M267" s="202"/>
      <c r="N267" s="202"/>
      <c r="O267" s="202"/>
      <c r="P267" s="196"/>
      <c r="Q267" s="196"/>
    </row>
    <row r="268" spans="1:17" ht="19.5" customHeight="1">
      <c r="A268" s="202"/>
      <c r="B268" s="202"/>
      <c r="C268" s="280"/>
      <c r="D268" s="280"/>
      <c r="E268" s="280"/>
      <c r="F268" s="202"/>
      <c r="G268" s="202"/>
      <c r="H268" s="202"/>
      <c r="I268" s="202"/>
      <c r="J268" s="202"/>
      <c r="K268" s="202"/>
      <c r="L268" s="202"/>
      <c r="M268" s="202"/>
      <c r="N268" s="202"/>
      <c r="O268" s="202"/>
      <c r="P268" s="196"/>
      <c r="Q268" s="196"/>
    </row>
    <row r="269" spans="1:17" ht="19.5" customHeight="1">
      <c r="A269" s="202"/>
      <c r="B269" s="202"/>
      <c r="C269" s="280"/>
      <c r="D269" s="280"/>
      <c r="E269" s="280"/>
      <c r="F269" s="202"/>
      <c r="G269" s="202"/>
      <c r="H269" s="202"/>
      <c r="I269" s="202"/>
      <c r="J269" s="202"/>
      <c r="K269" s="202"/>
      <c r="L269" s="202"/>
      <c r="M269" s="202"/>
      <c r="N269" s="202"/>
      <c r="O269" s="202"/>
      <c r="P269" s="196"/>
      <c r="Q269" s="196"/>
    </row>
    <row r="270" spans="1:17" ht="19.5" customHeight="1">
      <c r="A270" s="202"/>
      <c r="B270" s="202"/>
      <c r="C270" s="280"/>
      <c r="D270" s="280"/>
      <c r="E270" s="280"/>
      <c r="F270" s="202"/>
      <c r="G270" s="202"/>
      <c r="H270" s="202"/>
      <c r="I270" s="202"/>
      <c r="J270" s="202"/>
      <c r="K270" s="202"/>
      <c r="L270" s="202"/>
      <c r="M270" s="202"/>
      <c r="N270" s="202"/>
      <c r="O270" s="202"/>
      <c r="P270" s="196"/>
      <c r="Q270" s="196"/>
    </row>
    <row r="271" spans="1:17" ht="19.5" customHeight="1">
      <c r="A271" s="202"/>
      <c r="B271" s="202"/>
      <c r="C271" s="280"/>
      <c r="D271" s="280"/>
      <c r="E271" s="280"/>
      <c r="F271" s="202"/>
      <c r="G271" s="202"/>
      <c r="H271" s="202"/>
      <c r="I271" s="202"/>
      <c r="J271" s="202"/>
      <c r="K271" s="202"/>
      <c r="L271" s="202"/>
      <c r="M271" s="202"/>
      <c r="N271" s="202"/>
      <c r="O271" s="202"/>
      <c r="P271" s="196"/>
      <c r="Q271" s="196"/>
    </row>
    <row r="272" spans="1:17" ht="19.5" customHeight="1">
      <c r="A272" s="202"/>
      <c r="B272" s="202"/>
      <c r="C272" s="280"/>
      <c r="D272" s="280"/>
      <c r="E272" s="280"/>
      <c r="F272" s="202"/>
      <c r="G272" s="202"/>
      <c r="H272" s="202"/>
      <c r="I272" s="202"/>
      <c r="J272" s="202"/>
      <c r="K272" s="202"/>
      <c r="L272" s="202"/>
      <c r="M272" s="202"/>
      <c r="N272" s="202"/>
      <c r="O272" s="202"/>
      <c r="P272" s="196"/>
      <c r="Q272" s="196"/>
    </row>
    <row r="273" spans="1:17" ht="15.75" customHeight="1">
      <c r="A273" s="202"/>
      <c r="B273" s="202"/>
      <c r="C273" s="281"/>
      <c r="D273" s="281"/>
      <c r="E273" s="281"/>
      <c r="F273" s="202"/>
      <c r="G273" s="202"/>
      <c r="H273" s="202"/>
      <c r="I273" s="202"/>
      <c r="J273" s="202"/>
      <c r="K273" s="202"/>
      <c r="L273" s="202"/>
      <c r="M273" s="202"/>
      <c r="N273" s="202"/>
      <c r="O273" s="202"/>
      <c r="P273" s="196"/>
      <c r="Q273" s="196"/>
    </row>
    <row r="274" spans="1:17" ht="15.75" customHeight="1">
      <c r="A274" s="202"/>
      <c r="B274" s="202"/>
      <c r="C274" s="281"/>
      <c r="D274" s="281"/>
      <c r="E274" s="281"/>
      <c r="F274" s="202"/>
      <c r="G274" s="202"/>
      <c r="H274" s="202"/>
      <c r="I274" s="202"/>
      <c r="J274" s="202"/>
      <c r="K274" s="202"/>
      <c r="L274" s="202"/>
      <c r="M274" s="202"/>
      <c r="N274" s="202"/>
      <c r="O274" s="202"/>
      <c r="P274" s="196"/>
      <c r="Q274" s="196"/>
    </row>
    <row r="275" spans="1:17" ht="15.75" customHeight="1">
      <c r="A275" s="202"/>
      <c r="B275" s="202"/>
      <c r="C275" s="281"/>
      <c r="D275" s="281"/>
      <c r="E275" s="281"/>
      <c r="F275" s="202"/>
      <c r="G275" s="202"/>
      <c r="H275" s="202"/>
      <c r="I275" s="202"/>
      <c r="J275" s="202"/>
      <c r="K275" s="202"/>
      <c r="L275" s="202"/>
      <c r="M275" s="202"/>
      <c r="N275" s="202"/>
      <c r="O275" s="202"/>
      <c r="P275" s="196"/>
      <c r="Q275" s="196"/>
    </row>
    <row r="276" spans="1:17" ht="15.75" customHeight="1">
      <c r="A276" s="202"/>
      <c r="B276" s="202"/>
      <c r="C276" s="281"/>
      <c r="D276" s="281"/>
      <c r="E276" s="281"/>
      <c r="F276" s="202"/>
      <c r="G276" s="202"/>
      <c r="H276" s="202"/>
      <c r="I276" s="202"/>
      <c r="J276" s="202"/>
      <c r="K276" s="202"/>
      <c r="L276" s="202"/>
      <c r="M276" s="202"/>
      <c r="N276" s="202"/>
      <c r="O276" s="202"/>
      <c r="P276" s="196"/>
      <c r="Q276" s="196"/>
    </row>
    <row r="277" spans="1:17" ht="15.75" customHeight="1">
      <c r="A277" s="202"/>
      <c r="B277" s="202"/>
      <c r="C277" s="281"/>
      <c r="D277" s="281"/>
      <c r="E277" s="281"/>
      <c r="F277" s="202"/>
      <c r="G277" s="202"/>
      <c r="H277" s="202"/>
      <c r="I277" s="202"/>
      <c r="J277" s="202"/>
      <c r="K277" s="202"/>
      <c r="L277" s="202"/>
      <c r="M277" s="202"/>
      <c r="N277" s="202"/>
      <c r="O277" s="202"/>
      <c r="P277" s="196"/>
      <c r="Q277" s="196"/>
    </row>
    <row r="278" spans="1:17" ht="15.75" customHeight="1">
      <c r="A278" s="202"/>
      <c r="B278" s="202"/>
      <c r="C278" s="281"/>
      <c r="D278" s="281"/>
      <c r="E278" s="281"/>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4">
      <formula>G7="未更換"</formula>
    </cfRule>
    <cfRule type="expression" dxfId="360" priority="5">
      <formula>G7="已更換"</formula>
    </cfRule>
    <cfRule type="expression" dxfId="359" priority="1">
      <formula>G7="完工已補裝"</formula>
    </cfRule>
  </conditionalFormatting>
  <conditionalFormatting sqref="G7:G123">
    <cfRule type="expression" dxfId="358" priority="3">
      <formula>G7="已PM未更換"</formula>
    </cfRule>
  </conditionalFormatting>
  <conditionalFormatting sqref="H7:H123">
    <cfRule type="expression" dxfId="357" priority="2">
      <formula>H7&gt;2</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I2" sqref="I2"/>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292" customFormat="1" ht="20.25" customHeight="1">
      <c r="A1" s="326" t="s">
        <v>4045</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20</v>
      </c>
      <c r="V1" s="292">
        <v>19</v>
      </c>
      <c r="W1" s="292">
        <v>19</v>
      </c>
    </row>
    <row r="2" spans="1:23" s="292" customFormat="1" ht="21" customHeight="1">
      <c r="A2" s="297">
        <f>COUNTA(I7:I150)</f>
        <v>58</v>
      </c>
      <c r="B2" s="296">
        <v>4</v>
      </c>
      <c r="C2" s="297">
        <f>U1</f>
        <v>20</v>
      </c>
      <c r="D2" s="297">
        <f>E2</f>
        <v>19</v>
      </c>
      <c r="E2" s="296">
        <f>COUNTIF(C$7:C$150,"v")</f>
        <v>19</v>
      </c>
      <c r="F2" s="296">
        <f>IF((C2-E2)&lt;0,"0",(C2-E2))</f>
        <v>1</v>
      </c>
      <c r="G2" s="298" t="str">
        <f>ROUND(IF((E2/C2)&gt;1,1,(E2/C2))*100,0)&amp;"%"</f>
        <v>95%</v>
      </c>
      <c r="H2" s="297">
        <f>COUNTIFS(門市主檔!E:E,A1,門市主檔!Z:Z,"STAR")</f>
        <v>42</v>
      </c>
      <c r="I2" s="297">
        <f>COUNTIF($G$7:$G$150,"已更換")+COUNTIF($G$7:$G$150,"完工已補裝")</f>
        <v>20</v>
      </c>
      <c r="J2" s="297">
        <f>COUNTIF($G$7:$G$150,"未更換")+COUNTIF($G$7:$G$150,"已PM未更換")</f>
        <v>22</v>
      </c>
      <c r="K2" s="195"/>
      <c r="L2" s="195"/>
      <c r="M2" s="195"/>
      <c r="N2" s="195"/>
      <c r="O2" s="195"/>
      <c r="P2" s="196"/>
      <c r="Q2" s="196"/>
      <c r="R2" s="291">
        <v>45778</v>
      </c>
      <c r="S2" s="216"/>
      <c r="U2" s="291">
        <f ca="1">TODAY()</f>
        <v>45803</v>
      </c>
    </row>
    <row r="3" spans="1:23" s="292" customFormat="1" ht="21" customHeight="1">
      <c r="A3" s="293"/>
      <c r="B3" s="296">
        <v>5</v>
      </c>
      <c r="C3" s="297">
        <f>V1</f>
        <v>19</v>
      </c>
      <c r="D3" s="297">
        <f>A2-E2-D4</f>
        <v>19</v>
      </c>
      <c r="E3" s="296">
        <f>COUNTIF(D$7:D$150,"v")</f>
        <v>19</v>
      </c>
      <c r="F3" s="296">
        <f>IF((D3-E3)&lt;0,"0",(D3-E3))</f>
        <v>0</v>
      </c>
      <c r="G3" s="298" t="str">
        <f>ROUND(IF((E3/C3)&gt;1,1,(E3/C3))*100,0)&amp;"%"</f>
        <v>100%</v>
      </c>
      <c r="H3" s="299"/>
      <c r="I3" s="300"/>
      <c r="J3" s="300"/>
      <c r="K3" s="195"/>
      <c r="L3" s="195"/>
      <c r="M3" s="195"/>
      <c r="N3" s="195"/>
      <c r="O3" s="195"/>
      <c r="P3" s="196"/>
      <c r="Q3" s="196"/>
      <c r="R3" s="291">
        <v>45809</v>
      </c>
      <c r="S3" s="291"/>
    </row>
    <row r="4" spans="1:23" s="292" customFormat="1" ht="21" customHeight="1">
      <c r="A4" s="198"/>
      <c r="B4" s="296">
        <v>6</v>
      </c>
      <c r="C4" s="297">
        <f>W1</f>
        <v>19</v>
      </c>
      <c r="D4" s="297">
        <f>A2-E2-E3</f>
        <v>20</v>
      </c>
      <c r="E4" s="296">
        <f>COUNTIF(E$7:E$150,"v")</f>
        <v>0</v>
      </c>
      <c r="F4" s="296">
        <f>IF((D4-E4)&lt;0,"0",(D4-E4))</f>
        <v>20</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58</v>
      </c>
      <c r="D5" s="329">
        <f>SUM(D2:D4)</f>
        <v>58</v>
      </c>
      <c r="E5" s="329">
        <f t="shared" ref="E5:F5" si="0">SUM(E2:E4)</f>
        <v>38</v>
      </c>
      <c r="F5" s="329">
        <f t="shared" si="0"/>
        <v>21</v>
      </c>
      <c r="G5" s="330" t="str">
        <f>ROUND(IF((E5/C5)&gt;1,1,(E5/C5))*100,0)&amp;"%"</f>
        <v>66%</v>
      </c>
      <c r="H5" s="331"/>
      <c r="I5" s="331"/>
      <c r="J5" s="332"/>
      <c r="K5" s="195"/>
      <c r="L5" s="195"/>
      <c r="M5" s="195"/>
      <c r="N5" s="195"/>
      <c r="O5" s="195"/>
      <c r="P5" s="196"/>
      <c r="Q5" s="196"/>
      <c r="R5" s="294" t="s">
        <v>5168</v>
      </c>
      <c r="S5" s="295" t="str" cm="1">
        <f t="array" ref="S5">IFERROR(HYPERLINK("#" &amp; ADDRESS(MIN(IF(ISNUMBER(SEARCH(R5, A6:J187)), ROW(A6:J187), 10000000000)), MIN(IF(ISNUMBER(SEARCH(R5, A6:J187)), COLUMN(A6:J187), 10000000000))), "搜索"), "未找到")</f>
        <v>未找到</v>
      </c>
    </row>
    <row r="6" spans="1:23" ht="25.5" customHeight="1">
      <c r="A6" s="199" t="s">
        <v>0</v>
      </c>
      <c r="B6" s="199" t="s">
        <v>1</v>
      </c>
      <c r="C6" s="199" t="s">
        <v>5030</v>
      </c>
      <c r="D6" s="199" t="s">
        <v>5031</v>
      </c>
      <c r="E6" s="199" t="s">
        <v>5032</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38" si="1">IF(COUNTBLANK(C7:E7)=3,"未保養","")</f>
        <v>未保養</v>
      </c>
      <c r="G7" s="201" t="str">
        <f>IF(VLOOKUP(A7,門市主檔!A:O,15,FALSE)="完工已補裝", "完工已補裝",
IF(AND(VLOOKUP(A7,門市主檔!A:Z,26,FALSE)="STAR", VLOOKUP(A7,門市主檔!A:R,18,FALSE)=""),
    IF(OR(C7="V", D7="V", E7="V"), "已PM未更換", "未更換"),
    IF(VLOOKUP(A7,門市主檔!A:Z,26,FALSE)&lt;&gt;"STAR", "無專案", "已更換")
))</f>
        <v>未更換</v>
      </c>
      <c r="H7" s="263">
        <f>VLOOKUP(A7,門市主檔!A:V,22,FALSE)</f>
        <v>1</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IF(VLOOKUP(A8,門市主檔!A:O,15,FALSE)="完工已補裝", "完工已補裝",
IF(AND(VLOOKUP(A8,門市主檔!A:Z,26,FALSE)="STAR", VLOOKUP(A8,門市主檔!A:R,18,FALSE)=""),
    IF(OR(C8="V", D8="V", E8="V"), "已PM未更換", "未更換"),
    IF(VLOOKUP(A8,門市主檔!A:Z,26,FALSE)&lt;&gt;"STAR", "無專案", "已更換")
))</f>
        <v>未更換</v>
      </c>
      <c r="H8" s="263">
        <f>VLOOKUP(A8,門市主檔!A:V,22,FALSE)</f>
        <v>1</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IF(VLOOKUP(A9,門市主檔!A:O,15,FALSE)="完工已補裝", "完工已補裝",
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IF(VLOOKUP(A10,門市主檔!A:O,15,FALSE)="完工已補裝", "完工已補裝",
IF(AND(VLOOKUP(A10,門市主檔!A:Z,26,FALSE)="STAR", VLOOKUP(A10,門市主檔!A:R,18,FALSE)=""),
    IF(OR(C10="V", D10="V", E10="V"), "已PM未更換", "未更換"),
    IF(VLOOKUP(A10,門市主檔!A:Z,26,FALSE)&lt;&gt;"STAR", "無專案", "已更換")
))</f>
        <v>未更換</v>
      </c>
      <c r="H10" s="263">
        <f>VLOOKUP(A10,門市主檔!A:V,22,FALSE)</f>
        <v>1</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IF(VLOOKUP(A11,門市主檔!A:O,15,FALSE)="完工已補裝", "完工已補裝",
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五股區</v>
      </c>
      <c r="J11" s="209">
        <v>45670.493055555555</v>
      </c>
      <c r="K11" s="202"/>
      <c r="L11" s="202"/>
      <c r="M11" s="202"/>
      <c r="N11" s="202"/>
      <c r="O11" s="202"/>
      <c r="P11" s="196" t="s">
        <v>51</v>
      </c>
      <c r="Q11" s="196"/>
    </row>
    <row r="12" spans="1:23" ht="21.6" customHeight="1">
      <c r="A12" s="201">
        <v>4819</v>
      </c>
      <c r="B12" s="201" t="str">
        <f>VLOOKUP(A12,門市主檔!A:B,2,FALSE)</f>
        <v>五股凌雲店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IF(VLOOKUP(A12,門市主檔!A:O,15,FALSE)="完工已補裝", "完工已補裝",
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五股區</v>
      </c>
      <c r="J12" s="209">
        <v>45670.482638888891</v>
      </c>
      <c r="K12" s="202"/>
      <c r="L12" s="202"/>
      <c r="M12" s="202"/>
      <c r="N12" s="202"/>
      <c r="O12" s="202"/>
      <c r="P12" s="196" t="s">
        <v>51</v>
      </c>
      <c r="Q12" s="196"/>
    </row>
    <row r="13" spans="1:23" ht="21.6" customHeight="1">
      <c r="A13" s="201">
        <v>4316</v>
      </c>
      <c r="B13" s="201" t="str">
        <f>VLOOKUP(A13,門市主檔!A:B,2,FALSE)</f>
        <v>五股工商店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 t="shared" si="1"/>
        <v>未保養</v>
      </c>
      <c r="G13" s="201" t="str">
        <f>IF(VLOOKUP(A13,門市主檔!A:O,15,FALSE)="完工已補裝", "完工已補裝",
IF(AND(VLOOKUP(A13,門市主檔!A:Z,26,FALSE)="STAR", VLOOKUP(A13,門市主檔!A:R,18,FALSE)=""),
    IF(OR(C13="V", D13="V", E13="V"), "已PM未更換", "未更換"),
    IF(VLOOKUP(A13,門市主檔!A:Z,26,FALSE)&lt;&gt;"STAR", "無專案", "已更換")
))</f>
        <v>已更換</v>
      </c>
      <c r="H13" s="263">
        <f>VLOOKUP(A13,門市主檔!A:V,22,FALSE)</f>
        <v>0</v>
      </c>
      <c r="I13" s="201" t="str">
        <f>VLOOKUP(A13,'0919門市清單主檔'!B:V,21,FALSE)</f>
        <v>五股區</v>
      </c>
      <c r="J13" s="209">
        <v>45692.666666666664</v>
      </c>
      <c r="K13" s="202"/>
      <c r="L13" s="202"/>
      <c r="M13" s="202"/>
      <c r="N13" s="202"/>
      <c r="O13" s="202"/>
      <c r="P13" s="196" t="s">
        <v>51</v>
      </c>
      <c r="Q13" s="196"/>
    </row>
    <row r="14" spans="1:23" ht="21.6" customHeight="1">
      <c r="A14" s="201">
        <v>4154</v>
      </c>
      <c r="B14" s="201" t="str">
        <f>VLOOKUP(A14,門市主檔!A:B,2,FALSE)</f>
        <v>林口麗園店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IF(VLOOKUP(A14,門市主檔!A:O,15,FALSE)="完工已補裝", "完工已補裝",
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林口區</v>
      </c>
      <c r="J14" s="209">
        <v>45728.458333333336</v>
      </c>
      <c r="K14" s="196"/>
      <c r="L14" s="196"/>
      <c r="M14" s="196"/>
      <c r="N14" s="196"/>
      <c r="O14" s="196"/>
      <c r="P14" s="196" t="s">
        <v>51</v>
      </c>
      <c r="Q14" s="196"/>
    </row>
    <row r="15" spans="1:23" ht="21.6" customHeight="1">
      <c r="A15" s="201" t="s">
        <v>1744</v>
      </c>
      <c r="B15" s="201" t="str">
        <f>VLOOKUP(A15,門市主檔!A:B,2,FALSE)</f>
        <v>林口顧家店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 t="shared" si="1"/>
        <v>未保養</v>
      </c>
      <c r="G15" s="201" t="str">
        <f>IF(VLOOKUP(A15,門市主檔!A:O,15,FALSE)="完工已補裝", "完工已補裝",
IF(AND(VLOOKUP(A15,門市主檔!A:Z,26,FALSE)="STAR", VLOOKUP(A15,門市主檔!A:R,18,FALSE)=""),
    IF(OR(C15="V", D15="V", E15="V"), "已PM未更換", "未更換"),
    IF(VLOOKUP(A15,門市主檔!A:Z,26,FALSE)&lt;&gt;"STAR", "無專案", "已更換")
))</f>
        <v>無專案</v>
      </c>
      <c r="H15" s="263">
        <f>VLOOKUP(A15,門市主檔!A:V,22,FALSE)</f>
        <v>0</v>
      </c>
      <c r="I15" s="201" t="str">
        <f>VLOOKUP(A15,'0919門市清單主檔'!B:V,21,FALSE)</f>
        <v>林口區</v>
      </c>
      <c r="J15" s="209">
        <v>45728.472222222219</v>
      </c>
      <c r="K15" s="196"/>
      <c r="L15" s="196"/>
      <c r="M15" s="196"/>
      <c r="N15" s="196"/>
      <c r="O15" s="196"/>
      <c r="P15" s="196" t="s">
        <v>51</v>
      </c>
      <c r="Q15" s="196"/>
    </row>
    <row r="16" spans="1:23" ht="21.6" customHeight="1">
      <c r="A16" s="201" t="s">
        <v>41</v>
      </c>
      <c r="B16" s="201" t="str">
        <f>VLOOKUP(A16,門市主檔!A:B,2,FALSE)</f>
        <v>車麗屋林口店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IF(VLOOKUP(A16,門市主檔!A:O,15,FALSE)="完工已補裝", "完工已補裝",
IF(AND(VLOOKUP(A16,門市主檔!A:Z,26,FALSE)="STAR", VLOOKUP(A16,門市主檔!A:R,18,FALSE)=""),
    IF(OR(C16="V", D16="V", E16="V"), "已PM未更換", "未更換"),
    IF(VLOOKUP(A16,門市主檔!A:Z,26,FALSE)&lt;&gt;"STAR", "無專案", "已更換")
))</f>
        <v>無專案</v>
      </c>
      <c r="H16" s="263">
        <f>VLOOKUP(A16,門市主檔!A:V,22,FALSE)</f>
        <v>0</v>
      </c>
      <c r="I16" s="201" t="str">
        <f>VLOOKUP(A16,'0919門市清單主檔'!B:V,21,FALSE)</f>
        <v>林口區</v>
      </c>
      <c r="J16" s="209">
        <v>45728.458333333336</v>
      </c>
      <c r="K16" s="196"/>
      <c r="L16" s="196"/>
      <c r="M16" s="196"/>
      <c r="N16" s="196"/>
      <c r="O16" s="196"/>
      <c r="P16" s="196" t="s">
        <v>51</v>
      </c>
      <c r="Q16" s="196"/>
    </row>
    <row r="17" spans="1:20" ht="21.6" customHeight="1">
      <c r="A17" s="201">
        <v>4057</v>
      </c>
      <c r="B17" s="201" t="str">
        <f>VLOOKUP(A17,門市主檔!A:B,2,FALSE)</f>
        <v>林口香澄店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IF(VLOOKUP(A17,門市主檔!A:O,15,FALSE)="完工已補裝", "完工已補裝",
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林口區</v>
      </c>
      <c r="J17" s="209">
        <v>45679.465277777781</v>
      </c>
      <c r="K17" s="196"/>
      <c r="L17" s="196"/>
      <c r="M17" s="196"/>
      <c r="N17" s="196"/>
      <c r="O17" s="196"/>
      <c r="P17" s="196" t="s">
        <v>51</v>
      </c>
      <c r="Q17" s="196"/>
      <c r="R17" s="203"/>
      <c r="S17" s="203"/>
      <c r="T17" s="203"/>
    </row>
    <row r="18" spans="1:20" ht="21.6" customHeight="1">
      <c r="A18" s="201">
        <v>4538</v>
      </c>
      <c r="B18" s="201" t="str">
        <f>VLOOKUP(A18,門市主檔!A:B,2,FALSE)</f>
        <v>林口童樂店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IF(VLOOKUP(A18,門市主檔!A:O,15,FALSE)="完工已補裝", "完工已補裝",
IF(AND(VLOOKUP(A18,門市主檔!A:Z,26,FALSE)="STAR", VLOOKUP(A18,門市主檔!A:R,18,FALSE)=""),
    IF(OR(C18="V", D18="V", E18="V"), "已PM未更換", "未更換"),
    IF(VLOOKUP(A18,門市主檔!A:Z,26,FALSE)&lt;&gt;"STAR", "無專案", "已更換")
))</f>
        <v>無專案</v>
      </c>
      <c r="H18" s="263">
        <f>VLOOKUP(A18,門市主檔!A:V,22,FALSE)</f>
        <v>0</v>
      </c>
      <c r="I18" s="201" t="str">
        <f>VLOOKUP(A18,'0919門市清單主檔'!B:V,21,FALSE)</f>
        <v>林口區</v>
      </c>
      <c r="J18" s="209">
        <v>45693.479166666664</v>
      </c>
      <c r="K18" s="196"/>
      <c r="L18" s="196"/>
      <c r="M18" s="196"/>
      <c r="N18" s="196"/>
      <c r="O18" s="196"/>
      <c r="P18" s="196" t="s">
        <v>51</v>
      </c>
      <c r="Q18" s="196"/>
    </row>
    <row r="19" spans="1:20" ht="21.6" customHeight="1">
      <c r="A19" s="201">
        <v>4679</v>
      </c>
      <c r="B19" s="201" t="str">
        <f>VLOOKUP(A19,門市主檔!A:B,2,FALSE)</f>
        <v>新莊幸運店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IF(VLOOKUP(A19,門市主檔!A:O,15,FALSE)="完工已補裝", "完工已補裝",
IF(AND(VLOOKUP(A19,門市主檔!A:Z,26,FALSE)="STAR", VLOOKUP(A19,門市主檔!A:R,18,FALSE)=""),
    IF(OR(C19="V", D19="V", E19="V"), "已PM未更換", "未更換"),
    IF(VLOOKUP(A19,門市主檔!A:Z,26,FALSE)&lt;&gt;"STAR", "無專案", "已更換")
))</f>
        <v>無專案</v>
      </c>
      <c r="H19" s="263">
        <f>VLOOKUP(A19,門市主檔!A:V,22,FALSE)</f>
        <v>0</v>
      </c>
      <c r="I19" s="201" t="str">
        <f>VLOOKUP(A19,'0919門市清單主檔'!B:V,21,FALSE)</f>
        <v>新莊區</v>
      </c>
      <c r="J19" s="209">
        <v>45741.631944444445</v>
      </c>
      <c r="K19" s="196"/>
      <c r="L19" s="196"/>
      <c r="M19" s="196"/>
      <c r="N19" s="196"/>
      <c r="O19" s="196"/>
      <c r="P19" s="196" t="s">
        <v>51</v>
      </c>
      <c r="Q19" s="196"/>
    </row>
    <row r="20" spans="1:20" ht="21.6" customHeight="1">
      <c r="A20" s="201">
        <v>4228</v>
      </c>
      <c r="B20" s="201" t="str">
        <f>VLOOKUP(A20,門市主檔!A:B,2,FALSE)</f>
        <v>新莊頭前公園</v>
      </c>
      <c r="C20" s="279" t="str">
        <f>IF(COUNTIFS(IM!$F:$F,A20,IM!$AD:$AD,"O",IM!$X:$X,"&gt;="&amp;$R$1, IM!$X:$X,"&lt;"&amp;$R$2)&gt;0,"V","")</f>
        <v/>
      </c>
      <c r="D20" s="279" t="str">
        <f>IF(AND(C20&lt;&gt;"V", COUNTIFS(IM!$F:$F,A20, IM!$AD:$AD, "O", IM!$X:$X, "&gt;="&amp;$R$2, IM!$X:$X, "&lt;"&amp;$R$3)&gt;0), "V", "")</f>
        <v>V</v>
      </c>
      <c r="E20" s="279" t="str">
        <f>IF(AND(C20&lt;&gt;"V",D20&lt;&gt;"V", COUNTIFS(IM!$F:$F, A20, IM!$AD:$AD, "O", IM!$X:$X, "&gt;="&amp;$R$3, IM!$X:$X, "&lt;"&amp;$R$5)&gt;0), "V", "")</f>
        <v/>
      </c>
      <c r="F20" s="201" t="str">
        <f t="shared" si="1"/>
        <v/>
      </c>
      <c r="G20" s="201" t="str">
        <f>IF(VLOOKUP(A20,門市主檔!A:O,15,FALSE)="完工已補裝", "完工已補裝",
IF(AND(VLOOKUP(A20,門市主檔!A:Z,26,FALSE)="STAR", VLOOKUP(A20,門市主檔!A:R,18,FALSE)=""),
    IF(OR(C20="V", D20="V", E20="V"), "已PM未更換", "未更換"),
    IF(VLOOKUP(A20,門市主檔!A:Z,26,FALSE)&lt;&gt;"STAR", "無專案", "已更換")
))</f>
        <v>已更換</v>
      </c>
      <c r="H20" s="263">
        <f>VLOOKUP(A20,門市主檔!A:V,22,FALSE)</f>
        <v>2</v>
      </c>
      <c r="I20" s="201" t="str">
        <f>VLOOKUP(A20,'0919門市清單主檔'!B:V,21,FALSE)</f>
        <v>新莊區</v>
      </c>
      <c r="J20" s="209">
        <v>45741.645833333336</v>
      </c>
      <c r="K20" s="196"/>
      <c r="L20" s="196"/>
      <c r="M20" s="196"/>
      <c r="N20" s="196"/>
      <c r="O20" s="196"/>
      <c r="P20" s="196" t="s">
        <v>51</v>
      </c>
      <c r="Q20" s="196"/>
    </row>
    <row r="21" spans="1:20" ht="21.6" customHeight="1">
      <c r="A21" s="201" t="s">
        <v>46</v>
      </c>
      <c r="B21" s="201" t="str">
        <f>VLOOKUP(A21,門市主檔!A:B,2,FALSE)</f>
        <v>車麗屋新莊店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IF(VLOOKUP(A21,門市主檔!A:O,15,FALSE)="完工已補裝", "完工已補裝",
IF(AND(VLOOKUP(A21,門市主檔!A:Z,26,FALSE)="STAR", VLOOKUP(A21,門市主檔!A:R,18,FALSE)=""),
    IF(OR(C21="V", D21="V", E21="V"), "已PM未更換", "未更換"),
    IF(VLOOKUP(A21,門市主檔!A:Z,26,FALSE)&lt;&gt;"STAR", "無專案", "已更換")
))</f>
        <v>無專案</v>
      </c>
      <c r="H21" s="263">
        <f>VLOOKUP(A21,門市主檔!A:V,22,FALSE)</f>
        <v>0</v>
      </c>
      <c r="I21" s="201" t="str">
        <f>VLOOKUP(A21,'0919門市清單主檔'!B:V,21,FALSE)</f>
        <v>新莊區</v>
      </c>
      <c r="J21" s="209">
        <v>45737.618055555555</v>
      </c>
      <c r="K21" s="196"/>
      <c r="L21" s="196"/>
      <c r="M21" s="196"/>
      <c r="N21" s="196"/>
      <c r="O21" s="196"/>
      <c r="P21" s="196" t="s">
        <v>51</v>
      </c>
      <c r="Q21" s="196"/>
    </row>
    <row r="22" spans="1:20" ht="21.6" customHeight="1">
      <c r="A22" s="201">
        <v>4552</v>
      </c>
      <c r="B22" s="201" t="str">
        <f>VLOOKUP(A22,門市主檔!A:B,2,FALSE)</f>
        <v>新莊福慧店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IF(VLOOKUP(A22,門市主檔!A:O,15,FALSE)="完工已補裝", "完工已補裝",
IF(AND(VLOOKUP(A22,門市主檔!A:Z,26,FALSE)="STAR", VLOOKUP(A22,門市主檔!A:R,18,FALSE)=""),
    IF(OR(C22="V", D22="V", E22="V"), "已PM未更換", "未更換"),
    IF(VLOOKUP(A22,門市主檔!A:Z,26,FALSE)&lt;&gt;"STAR", "無專案", "已更換")
))</f>
        <v>未更換</v>
      </c>
      <c r="H22" s="263">
        <f>VLOOKUP(A22,門市主檔!A:V,22,FALSE)</f>
        <v>1</v>
      </c>
      <c r="I22" s="201" t="str">
        <f>VLOOKUP(A22,'0919門市清單主檔'!B:V,21,FALSE)</f>
        <v>新莊區</v>
      </c>
      <c r="J22" s="209">
        <v>45737.597222222219</v>
      </c>
      <c r="K22" s="196"/>
      <c r="L22" s="196"/>
      <c r="M22" s="196"/>
      <c r="N22" s="196"/>
      <c r="O22" s="196"/>
      <c r="P22" s="196" t="s">
        <v>51</v>
      </c>
      <c r="Q22" s="196"/>
    </row>
    <row r="23" spans="1:20" ht="21.6" customHeight="1">
      <c r="A23" s="201">
        <v>4341</v>
      </c>
      <c r="B23" s="201" t="str">
        <f>VLOOKUP(A23,門市主檔!A:B,2,FALSE)</f>
        <v>新莊莊美店</v>
      </c>
      <c r="C23" s="279" t="str">
        <f>IF(COUNTIFS(IM!$F:$F,A23,IM!$AD:$AD,"O",IM!$X:$X,"&gt;="&amp;$R$1, IM!$X:$X,"&lt;"&amp;$R$2)&gt;0,"V","")</f>
        <v/>
      </c>
      <c r="D23" s="279" t="str">
        <f>IF(AND(C23&lt;&gt;"V", COUNTIFS(IM!$F:$F,A23, IM!$AD:$AD, "O", IM!$X:$X, "&gt;="&amp;$R$2, IM!$X:$X, "&lt;"&amp;$R$3)&gt;0), "V", "")</f>
        <v>V</v>
      </c>
      <c r="E23" s="279" t="str">
        <f>IF(AND(C23&lt;&gt;"V",D23&lt;&gt;"V", COUNTIFS(IM!$F:$F, A23, IM!$AD:$AD, "O", IM!$X:$X, "&gt;="&amp;$R$3, IM!$X:$X, "&lt;"&amp;$R$5)&gt;0), "V", "")</f>
        <v/>
      </c>
      <c r="F23" s="201" t="str">
        <f t="shared" si="1"/>
        <v/>
      </c>
      <c r="G23" s="201" t="str">
        <f>IF(VLOOKUP(A23,門市主檔!A:O,15,FALSE)="完工已補裝", "完工已補裝",
IF(AND(VLOOKUP(A23,門市主檔!A:Z,26,FALSE)="STAR", VLOOKUP(A23,門市主檔!A:R,18,FALSE)=""),
    IF(OR(C23="V", D23="V", E23="V"), "已PM未更換", "未更換"),
    IF(VLOOKUP(A23,門市主檔!A:Z,26,FALSE)&lt;&gt;"STAR", "無專案", "已更換")
))</f>
        <v>已更換</v>
      </c>
      <c r="H23" s="263">
        <f>VLOOKUP(A23,門市主檔!A:V,22,FALSE)</f>
        <v>2</v>
      </c>
      <c r="I23" s="201" t="str">
        <f>VLOOKUP(A23,'0919門市清單主檔'!B:V,21,FALSE)</f>
        <v>新莊區</v>
      </c>
      <c r="J23" s="209">
        <v>45736.673611111109</v>
      </c>
      <c r="K23" s="196"/>
      <c r="L23" s="196"/>
      <c r="M23" s="196"/>
      <c r="N23" s="196"/>
      <c r="O23" s="196"/>
      <c r="P23" s="196" t="s">
        <v>51</v>
      </c>
      <c r="Q23" s="196"/>
    </row>
    <row r="24" spans="1:20" ht="21.6" customHeight="1">
      <c r="A24" s="201">
        <v>4194</v>
      </c>
      <c r="B24" s="201" t="str">
        <f>VLOOKUP(A24,門市主檔!A:B,2,FALSE)</f>
        <v>新莊鼎苑店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IF(VLOOKUP(A24,門市主檔!A:O,15,FALSE)="完工已補裝", "完工已補裝",
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新莊區</v>
      </c>
      <c r="J24" s="209">
        <v>45700.604166666664</v>
      </c>
      <c r="K24" s="196"/>
      <c r="L24" s="196"/>
      <c r="M24" s="196"/>
      <c r="N24" s="196"/>
      <c r="O24" s="196"/>
      <c r="P24" s="196" t="s">
        <v>51</v>
      </c>
      <c r="Q24" s="196"/>
    </row>
    <row r="25" spans="1:20" ht="21.6" customHeight="1">
      <c r="A25" s="201">
        <v>4701</v>
      </c>
      <c r="B25" s="201" t="str">
        <f>VLOOKUP(A25,門市主檔!A:B,2,FALSE)</f>
        <v>新莊昌平店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IF(VLOOKUP(A25,門市主檔!A:O,15,FALSE)="完工已補裝", "完工已補裝",
IF(AND(VLOOKUP(A25,門市主檔!A:Z,26,FALSE)="STAR", VLOOKUP(A25,門市主檔!A:R,18,FALSE)=""),
    IF(OR(C25="V", D25="V", E25="V"), "已PM未更換", "未更換"),
    IF(VLOOKUP(A25,門市主檔!A:Z,26,FALSE)&lt;&gt;"STAR", "無專案", "已更換")
))</f>
        <v>無專案</v>
      </c>
      <c r="H25" s="263">
        <f>VLOOKUP(A25,門市主檔!A:V,22,FALSE)</f>
        <v>0</v>
      </c>
      <c r="I25" s="201" t="str">
        <f>VLOOKUP(A25,'0919門市清單主檔'!B:V,21,FALSE)</f>
        <v>新莊區</v>
      </c>
      <c r="J25" s="209">
        <v>45712.604166666664</v>
      </c>
      <c r="K25" s="196"/>
      <c r="L25" s="196"/>
      <c r="M25" s="196"/>
      <c r="N25" s="196"/>
      <c r="O25" s="196"/>
      <c r="P25" s="196" t="s">
        <v>51</v>
      </c>
      <c r="Q25" s="196"/>
    </row>
    <row r="26" spans="1:20" ht="21.6" customHeight="1">
      <c r="A26" s="201">
        <v>3999</v>
      </c>
      <c r="B26" s="201" t="str">
        <f>VLOOKUP(A26,門市主檔!A:B,2,FALSE)</f>
        <v>新莊福祐店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IF(VLOOKUP(A26,門市主檔!A:O,15,FALSE)="完工已補裝", "完工已補裝",
IF(AND(VLOOKUP(A26,門市主檔!A:Z,26,FALSE)="STAR", VLOOKUP(A26,門市主檔!A:R,18,FALSE)=""),
    IF(OR(C26="V", D26="V", E26="V"), "已PM未更換", "未更換"),
    IF(VLOOKUP(A26,門市主檔!A:Z,26,FALSE)&lt;&gt;"STAR", "無專案", "已更換")
))</f>
        <v>未更換</v>
      </c>
      <c r="H26" s="263">
        <f>VLOOKUP(A26,門市主檔!A:V,22,FALSE)</f>
        <v>1</v>
      </c>
      <c r="I26" s="201" t="str">
        <f>VLOOKUP(A26,'0919門市清單主檔'!B:V,21,FALSE)</f>
        <v>新莊區</v>
      </c>
      <c r="J26" s="209">
        <v>45712.618055555555</v>
      </c>
      <c r="K26" s="196"/>
      <c r="L26" s="196"/>
      <c r="M26" s="196"/>
      <c r="N26" s="196"/>
      <c r="O26" s="196"/>
      <c r="P26" s="196" t="s">
        <v>51</v>
      </c>
      <c r="Q26" s="196"/>
    </row>
    <row r="27" spans="1:20" ht="21.6" customHeight="1">
      <c r="A27" s="201">
        <v>4144</v>
      </c>
      <c r="B27" s="201" t="str">
        <f>VLOOKUP(A27,門市主檔!A:B,2,FALSE)</f>
        <v>新莊頭前店</v>
      </c>
      <c r="C27" s="279" t="str">
        <f>IF(COUNTIFS(IM!$F:$F,A27,IM!$AD:$AD,"O",IM!$X:$X,"&gt;="&amp;$R$1, IM!$X:$X,"&lt;"&amp;$R$2)&gt;0,"V","")</f>
        <v/>
      </c>
      <c r="D27" s="279" t="str">
        <f>IF(AND(C27&lt;&gt;"V", COUNTIFS(IM!$F:$F,A27, IM!$AD:$AD, "O", IM!$X:$X, "&gt;="&amp;$R$2, IM!$X:$X, "&lt;"&amp;$R$3)&gt;0), "V", "")</f>
        <v/>
      </c>
      <c r="E27" s="279" t="str">
        <f>IF(AND(C27&lt;&gt;"V",D27&lt;&gt;"V", COUNTIFS(IM!$F:$F, A27, IM!$AD:$AD, "O", IM!$X:$X, "&gt;="&amp;$R$3, IM!$X:$X, "&lt;"&amp;$R$5)&gt;0), "V", "")</f>
        <v/>
      </c>
      <c r="F27" s="201" t="str">
        <f t="shared" si="1"/>
        <v>未保養</v>
      </c>
      <c r="G27" s="201" t="str">
        <f>IF(VLOOKUP(A27,門市主檔!A:O,15,FALSE)="完工已補裝", "完工已補裝",
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新莊區</v>
      </c>
      <c r="J27" s="209">
        <v>45691.5625</v>
      </c>
      <c r="K27" s="196"/>
      <c r="L27" s="196"/>
      <c r="M27" s="196"/>
      <c r="N27" s="196"/>
      <c r="O27" s="196"/>
      <c r="P27" s="196" t="s">
        <v>51</v>
      </c>
      <c r="Q27" s="196"/>
    </row>
    <row r="28" spans="1:20" ht="21.6" customHeight="1">
      <c r="A28" s="201">
        <v>3785</v>
      </c>
      <c r="B28" s="201" t="str">
        <f>VLOOKUP(A28,門市主檔!A:B,2,FALSE)</f>
        <v>北縣莊榮店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 t="shared" si="1"/>
        <v>未保養</v>
      </c>
      <c r="G28" s="201" t="str">
        <f>IF(VLOOKUP(A28,門市主檔!A:O,15,FALSE)="完工已補裝", "完工已補裝",
IF(AND(VLOOKUP(A28,門市主檔!A:Z,26,FALSE)="STAR", VLOOKUP(A28,門市主檔!A:R,18,FALSE)=""),
    IF(OR(C28="V", D28="V", E28="V"), "已PM未更換", "未更換"),
    IF(VLOOKUP(A28,門市主檔!A:Z,26,FALSE)&lt;&gt;"STAR", "無專案", "已更換")
))</f>
        <v>無專案</v>
      </c>
      <c r="H28" s="263">
        <f>VLOOKUP(A28,門市主檔!A:V,22,FALSE)</f>
        <v>0</v>
      </c>
      <c r="I28" s="201" t="str">
        <f>VLOOKUP(A28,'0919門市清單主檔'!B:V,21,FALSE)</f>
        <v>新莊區</v>
      </c>
      <c r="J28" s="209">
        <v>45695.652777777781</v>
      </c>
      <c r="K28" s="196"/>
      <c r="L28" s="196"/>
      <c r="M28" s="196"/>
      <c r="N28" s="196"/>
      <c r="O28" s="196"/>
      <c r="P28" s="196" t="s">
        <v>51</v>
      </c>
      <c r="Q28" s="196"/>
    </row>
    <row r="29" spans="1:20" ht="21.6" customHeight="1">
      <c r="A29" s="201">
        <v>4483</v>
      </c>
      <c r="B29" s="201" t="str">
        <f>VLOOKUP(A29,門市主檔!A:B,2,FALSE)</f>
        <v>林口築夢店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 t="shared" si="1"/>
        <v/>
      </c>
      <c r="G29" s="201" t="str">
        <f>IF(VLOOKUP(A29,門市主檔!A:O,15,FALSE)="完工已補裝", "完工已補裝",
IF(AND(VLOOKUP(A29,門市主檔!A:Z,26,FALSE)="STAR", VLOOKUP(A29,門市主檔!A:R,18,FALSE)=""),
    IF(OR(C29="V", D29="V", E29="V"), "已PM未更換", "未更換"),
    IF(VLOOKUP(A29,門市主檔!A:Z,26,FALSE)&lt;&gt;"STAR", "無專案", "已更換")
))</f>
        <v>已更換</v>
      </c>
      <c r="H29" s="263">
        <f>VLOOKUP(A29,門市主檔!A:V,22,FALSE)</f>
        <v>1</v>
      </c>
      <c r="I29" s="201" t="str">
        <f>VLOOKUP(A29,'0919門市清單主檔'!B:V,21,FALSE)</f>
        <v>林口區</v>
      </c>
      <c r="J29" s="209">
        <v>45728.5</v>
      </c>
      <c r="K29" s="196"/>
      <c r="L29" s="196"/>
      <c r="M29" s="196"/>
      <c r="N29" s="196"/>
      <c r="O29" s="196"/>
      <c r="P29" s="196" t="s">
        <v>51</v>
      </c>
      <c r="Q29" s="196"/>
    </row>
    <row r="30" spans="1:20" ht="21.6" customHeight="1">
      <c r="A30" s="201">
        <v>4514</v>
      </c>
      <c r="B30" s="201" t="str">
        <f>VLOOKUP(A30,門市主檔!A:B,2,FALSE)</f>
        <v>林口老師店</v>
      </c>
      <c r="C30" s="279" t="str">
        <f>IF(COUNTIFS(IM!$F:$F,A30,IM!$AD:$AD,"O",IM!$X:$X,"&gt;="&amp;$R$1, IM!$X:$X,"&lt;"&amp;$R$2)&gt;0,"V","")</f>
        <v/>
      </c>
      <c r="D30" s="279" t="str">
        <f>IF(AND(C30&lt;&gt;"V", COUNTIFS(IM!$F:$F,A30, IM!$AD:$AD, "O", IM!$X:$X, "&gt;="&amp;$R$2, IM!$X:$X, "&lt;"&amp;$R$3)&gt;0), "V", "")</f>
        <v>V</v>
      </c>
      <c r="E30" s="279" t="str">
        <f>IF(AND(C30&lt;&gt;"V",D30&lt;&gt;"V", COUNTIFS(IM!$F:$F, A30, IM!$AD:$AD, "O", IM!$X:$X, "&gt;="&amp;$R$3, IM!$X:$X, "&lt;"&amp;$R$5)&gt;0), "V", "")</f>
        <v/>
      </c>
      <c r="F30" s="201" t="str">
        <f t="shared" si="1"/>
        <v/>
      </c>
      <c r="G30" s="201" t="str">
        <f>IF(VLOOKUP(A30,門市主檔!A:O,15,FALSE)="完工已補裝", "完工已補裝",
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林口區</v>
      </c>
      <c r="J30" s="209">
        <v>45693.548611111109</v>
      </c>
      <c r="K30" s="196"/>
      <c r="L30" s="196"/>
      <c r="M30" s="196"/>
      <c r="N30" s="196"/>
      <c r="O30" s="196"/>
      <c r="P30" s="196" t="s">
        <v>51</v>
      </c>
      <c r="Q30" s="196"/>
    </row>
    <row r="31" spans="1:20" ht="21.6" customHeight="1">
      <c r="A31" s="201">
        <v>3137</v>
      </c>
      <c r="B31" s="201" t="str">
        <f>VLOOKUP(A31,門市主檔!A:B,2,FALSE)</f>
        <v>北縣黎明店</v>
      </c>
      <c r="C31" s="279" t="str">
        <f>IF(COUNTIFS(IM!$F:$F,A31,IM!$AD:$AD,"O",IM!$X:$X,"&gt;="&amp;$R$1, IM!$X:$X,"&lt;"&amp;$R$2)&gt;0,"V","")</f>
        <v/>
      </c>
      <c r="D31" s="279" t="str">
        <f>IF(AND(C31&lt;&gt;"V", COUNTIFS(IM!$F:$F,A31, IM!$AD:$AD, "O", IM!$X:$X, "&gt;="&amp;$R$2, IM!$X:$X, "&lt;"&amp;$R$3)&gt;0), "V", "")</f>
        <v>V</v>
      </c>
      <c r="E31" s="279" t="str">
        <f>IF(AND(C31&lt;&gt;"V",D31&lt;&gt;"V", COUNTIFS(IM!$F:$F, A31, IM!$AD:$AD, "O", IM!$X:$X, "&gt;="&amp;$R$3, IM!$X:$X, "&lt;"&amp;$R$5)&gt;0), "V", "")</f>
        <v/>
      </c>
      <c r="F31" s="201" t="str">
        <f t="shared" si="1"/>
        <v/>
      </c>
      <c r="G31" s="201" t="str">
        <f>IF(VLOOKUP(A31,門市主檔!A:O,15,FALSE)="完工已補裝", "完工已補裝",
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泰山區</v>
      </c>
      <c r="J31" s="209">
        <v>45728.583333333336</v>
      </c>
      <c r="K31" s="196"/>
      <c r="L31" s="196"/>
      <c r="M31" s="196"/>
      <c r="N31" s="196"/>
      <c r="O31" s="196"/>
      <c r="P31" s="196" t="s">
        <v>51</v>
      </c>
      <c r="Q31" s="196"/>
    </row>
    <row r="32" spans="1:20" ht="21.6" customHeight="1">
      <c r="A32" s="201">
        <v>3380</v>
      </c>
      <c r="B32" s="201" t="str">
        <f>VLOOKUP(A32,門市主檔!A:B,2,FALSE)</f>
        <v>北縣莊勝店</v>
      </c>
      <c r="C32" s="279" t="str">
        <f>IF(COUNTIFS(IM!$F:$F,A32,IM!$AD:$AD,"O",IM!$X:$X,"&gt;="&amp;$R$1, IM!$X:$X,"&lt;"&amp;$R$2)&gt;0,"V","")</f>
        <v/>
      </c>
      <c r="D32" s="279" t="str">
        <f>IF(AND(C32&lt;&gt;"V", COUNTIFS(IM!$F:$F,A32, IM!$AD:$AD, "O", IM!$X:$X, "&gt;="&amp;$R$2, IM!$X:$X, "&lt;"&amp;$R$3)&gt;0), "V", "")</f>
        <v>V</v>
      </c>
      <c r="E32" s="279" t="str">
        <f>IF(AND(C32&lt;&gt;"V",D32&lt;&gt;"V", COUNTIFS(IM!$F:$F, A32, IM!$AD:$AD, "O", IM!$X:$X, "&gt;="&amp;$R$3, IM!$X:$X, "&lt;"&amp;$R$5)&gt;0), "V", "")</f>
        <v/>
      </c>
      <c r="F32" s="201" t="str">
        <f t="shared" si="1"/>
        <v/>
      </c>
      <c r="G32" s="201" t="str">
        <f>IF(VLOOKUP(A32,門市主檔!A:O,15,FALSE)="完工已補裝", "完工已補裝",
IF(AND(VLOOKUP(A32,門市主檔!A:Z,26,FALSE)="STAR", VLOOKUP(A32,門市主檔!A:R,18,FALSE)=""),
    IF(OR(C32="V", D32="V", E32="V"), "已PM未更換", "未更換"),
    IF(VLOOKUP(A32,門市主檔!A:Z,26,FALSE)&lt;&gt;"STAR", "無專案", "已更換")
))</f>
        <v>已更換</v>
      </c>
      <c r="H32" s="263">
        <f>VLOOKUP(A32,門市主檔!A:V,22,FALSE)</f>
        <v>1</v>
      </c>
      <c r="I32" s="201" t="str">
        <f>VLOOKUP(A32,'0919門市清單主檔'!B:V,21,FALSE)</f>
        <v>新莊區</v>
      </c>
      <c r="J32" s="209">
        <v>45663.673611111109</v>
      </c>
      <c r="K32" s="196"/>
      <c r="L32" s="196"/>
      <c r="M32" s="196"/>
      <c r="N32" s="196"/>
      <c r="O32" s="196"/>
      <c r="P32" s="196" t="s">
        <v>51</v>
      </c>
      <c r="Q32" s="196"/>
    </row>
    <row r="33" spans="1:17" ht="21.6" customHeight="1">
      <c r="A33" s="201">
        <v>5057</v>
      </c>
      <c r="B33" s="201" t="str">
        <f>VLOOKUP(A33,門市主檔!A:B,2,FALSE)</f>
        <v>新莊中港店</v>
      </c>
      <c r="C33" s="279" t="str">
        <f>IF(COUNTIFS(IM!$F:$F,A33,IM!$AD:$AD,"O",IM!$X:$X,"&gt;="&amp;$R$1, IM!$X:$X,"&lt;"&amp;$R$2)&gt;0,"V","")</f>
        <v/>
      </c>
      <c r="D33" s="279" t="str">
        <f>IF(AND(C33&lt;&gt;"V", COUNTIFS(IM!$F:$F,A33, IM!$AD:$AD, "O", IM!$X:$X, "&gt;="&amp;$R$2, IM!$X:$X, "&lt;"&amp;$R$3)&gt;0), "V", "")</f>
        <v>V</v>
      </c>
      <c r="E33" s="279" t="str">
        <f>IF(AND(C33&lt;&gt;"V",D33&lt;&gt;"V", COUNTIFS(IM!$F:$F, A33, IM!$AD:$AD, "O", IM!$X:$X, "&gt;="&amp;$R$3, IM!$X:$X, "&lt;"&amp;$R$5)&gt;0), "V", "")</f>
        <v/>
      </c>
      <c r="F33" s="201" t="str">
        <f t="shared" si="1"/>
        <v/>
      </c>
      <c r="G33" s="201"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63">
        <f>VLOOKUP(A33,門市主檔!A:V,22,FALSE)</f>
        <v>2</v>
      </c>
      <c r="I33" s="201" t="str">
        <f>VLOOKUP(A33,'0919門市清單主檔'!B:V,21,FALSE)</f>
        <v>新莊區</v>
      </c>
      <c r="J33" s="209">
        <v>45730.666666666664</v>
      </c>
      <c r="K33" s="196"/>
      <c r="L33" s="196"/>
      <c r="M33" s="196"/>
      <c r="N33" s="196"/>
      <c r="O33" s="196"/>
      <c r="P33" s="196" t="s">
        <v>51</v>
      </c>
      <c r="Q33" s="196"/>
    </row>
    <row r="34" spans="1:17" ht="21.6" customHeight="1">
      <c r="A34" s="201">
        <v>2390</v>
      </c>
      <c r="B34" s="201" t="str">
        <f>VLOOKUP(A34,門市主檔!A:B,2,FALSE)</f>
        <v>五股產業園區</v>
      </c>
      <c r="C34" s="279" t="str">
        <f>IF(COUNTIFS(IM!$F:$F,A34,IM!$AD:$AD,"O",IM!$X:$X,"&gt;="&amp;$R$1, IM!$X:$X,"&lt;"&amp;$R$2)&gt;0,"V","")</f>
        <v/>
      </c>
      <c r="D34" s="279" t="str">
        <f>IF(AND(C34&lt;&gt;"V", COUNTIFS(IM!$F:$F,A34, IM!$AD:$AD, "O", IM!$X:$X, "&gt;="&amp;$R$2, IM!$X:$X, "&lt;"&amp;$R$3)&gt;0), "V", "")</f>
        <v>V</v>
      </c>
      <c r="E34" s="279" t="str">
        <f>IF(AND(C34&lt;&gt;"V",D34&lt;&gt;"V", COUNTIFS(IM!$F:$F, A34, IM!$AD:$AD, "O", IM!$X:$X, "&gt;="&amp;$R$3, IM!$X:$X, "&lt;"&amp;$R$5)&gt;0), "V", "")</f>
        <v/>
      </c>
      <c r="F34" s="201" t="str">
        <f t="shared" si="1"/>
        <v/>
      </c>
      <c r="G34" s="201"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63">
        <f>VLOOKUP(A34,門市主檔!A:V,22,FALSE)</f>
        <v>1</v>
      </c>
      <c r="I34" s="201" t="str">
        <f>VLOOKUP(A34,'0919門市清單主檔'!B:V,21,FALSE)</f>
        <v>五股區</v>
      </c>
      <c r="J34" s="209">
        <v>45670.444444444445</v>
      </c>
      <c r="K34" s="202"/>
      <c r="L34" s="202"/>
      <c r="M34" s="202"/>
      <c r="N34" s="202"/>
      <c r="O34" s="202"/>
      <c r="P34" s="196" t="s">
        <v>51</v>
      </c>
      <c r="Q34" s="196"/>
    </row>
    <row r="35" spans="1:17" ht="21.6" customHeight="1">
      <c r="A35" s="201">
        <v>2691</v>
      </c>
      <c r="B35" s="201" t="str">
        <f>VLOOKUP(A35,門市主檔!A:B,2,FALSE)</f>
        <v>五股興珍店</v>
      </c>
      <c r="C35" s="279" t="str">
        <f>IF(COUNTIFS(IM!$F:$F,A35,IM!$AD:$AD,"O",IM!$X:$X,"&gt;="&amp;$R$1, IM!$X:$X,"&lt;"&amp;$R$2)&gt;0,"V","")</f>
        <v/>
      </c>
      <c r="D35" s="279" t="str">
        <f>IF(AND(C35&lt;&gt;"V", COUNTIFS(IM!$F:$F,A35, IM!$AD:$AD, "O", IM!$X:$X, "&gt;="&amp;$R$2, IM!$X:$X, "&lt;"&amp;$R$3)&gt;0), "V", "")</f>
        <v>V</v>
      </c>
      <c r="E35" s="279" t="str">
        <f>IF(AND(C35&lt;&gt;"V",D35&lt;&gt;"V", COUNTIFS(IM!$F:$F, A35, IM!$AD:$AD, "O", IM!$X:$X, "&gt;="&amp;$R$3, IM!$X:$X, "&lt;"&amp;$R$5)&gt;0), "V", "")</f>
        <v/>
      </c>
      <c r="F35" s="201" t="str">
        <f t="shared" si="1"/>
        <v/>
      </c>
      <c r="G35" s="201"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63">
        <f>VLOOKUP(A35,門市主檔!A:V,22,FALSE)</f>
        <v>2</v>
      </c>
      <c r="I35" s="201" t="str">
        <f>VLOOKUP(A35,'0919門市清單主檔'!B:V,21,FALSE)</f>
        <v>五股區</v>
      </c>
      <c r="J35" s="209">
        <v>45670.430555555555</v>
      </c>
      <c r="K35" s="202"/>
      <c r="L35" s="202"/>
      <c r="M35" s="202"/>
      <c r="N35" s="202"/>
      <c r="O35" s="202"/>
      <c r="P35" s="196" t="s">
        <v>51</v>
      </c>
      <c r="Q35" s="196"/>
    </row>
    <row r="36" spans="1:17" ht="21.6" customHeight="1">
      <c r="A36" s="201">
        <v>5291</v>
      </c>
      <c r="B36" s="201" t="str">
        <f>VLOOKUP(A36,門市主檔!A:B,2,FALSE)</f>
        <v>新莊國家置地</v>
      </c>
      <c r="C36" s="279" t="str">
        <f>IF(COUNTIFS(IM!$F:$F,A36,IM!$AD:$AD,"O",IM!$X:$X,"&gt;="&amp;$R$1, IM!$X:$X,"&lt;"&amp;$R$2)&gt;0,"V","")</f>
        <v/>
      </c>
      <c r="D36" s="279" t="str">
        <f>IF(AND(C36&lt;&gt;"V", COUNTIFS(IM!$F:$F,A36, IM!$AD:$AD, "O", IM!$X:$X, "&gt;="&amp;$R$2, IM!$X:$X, "&lt;"&amp;$R$3)&gt;0), "V", "")</f>
        <v>V</v>
      </c>
      <c r="E36" s="279" t="str">
        <f>IF(AND(C36&lt;&gt;"V",D36&lt;&gt;"V", COUNTIFS(IM!$F:$F, A36, IM!$AD:$AD, "O", IM!$X:$X, "&gt;="&amp;$R$3, IM!$X:$X, "&lt;"&amp;$R$5)&gt;0), "V", "")</f>
        <v/>
      </c>
      <c r="F36" s="201" t="str">
        <f t="shared" si="1"/>
        <v/>
      </c>
      <c r="G36" s="201" t="str">
        <f>IF(VLOOKUP(A36,門市主檔!A:O,15,FALSE)="完工已補裝", "完工已補裝",
IF(AND(VLOOKUP(A36,門市主檔!A:Z,26,FALSE)="STAR", VLOOKUP(A36,門市主檔!A:R,18,FALSE)=""),
    IF(OR(C36="V", D36="V", E36="V"), "已PM未更換", "未更換"),
    IF(VLOOKUP(A36,門市主檔!A:Z,26,FALSE)&lt;&gt;"STAR", "無專案", "已更換")
))</f>
        <v>無專案</v>
      </c>
      <c r="H36" s="263">
        <f>VLOOKUP(A36,門市主檔!A:V,22,FALSE)</f>
        <v>0</v>
      </c>
      <c r="I36" s="201" t="str">
        <f>VLOOKUP(A36,'0919門市清單主檔'!B:V,21,FALSE)</f>
        <v>新莊區</v>
      </c>
      <c r="J36" s="210" t="s">
        <v>5027</v>
      </c>
      <c r="K36" s="196"/>
      <c r="L36" s="196"/>
      <c r="M36" s="196"/>
      <c r="N36" s="196"/>
      <c r="O36" s="196"/>
      <c r="P36" s="196" t="s">
        <v>51</v>
      </c>
      <c r="Q36" s="196"/>
    </row>
    <row r="37" spans="1:17" ht="21.6" customHeight="1">
      <c r="A37" s="201">
        <v>2743</v>
      </c>
      <c r="B37" s="201" t="str">
        <f>VLOOKUP(A37,門市主檔!A:B,2,FALSE)</f>
        <v>新莊豐年店</v>
      </c>
      <c r="C37" s="279" t="str">
        <f>IF(COUNTIFS(IM!$F:$F,A37,IM!$AD:$AD,"O",IM!$X:$X,"&gt;="&amp;$R$1, IM!$X:$X,"&lt;"&amp;$R$2)&gt;0,"V","")</f>
        <v/>
      </c>
      <c r="D37" s="279" t="str">
        <f>IF(AND(C37&lt;&gt;"V", COUNTIFS(IM!$F:$F,A37, IM!$AD:$AD, "O", IM!$X:$X, "&gt;="&amp;$R$2, IM!$X:$X, "&lt;"&amp;$R$3)&gt;0), "V", "")</f>
        <v>V</v>
      </c>
      <c r="E37" s="279" t="str">
        <f>IF(AND(C37&lt;&gt;"V",D37&lt;&gt;"V", COUNTIFS(IM!$F:$F, A37, IM!$AD:$AD, "O", IM!$X:$X, "&gt;="&amp;$R$3, IM!$X:$X, "&lt;"&amp;$R$5)&gt;0), "V", "")</f>
        <v/>
      </c>
      <c r="F37" s="201" t="str">
        <f t="shared" si="1"/>
        <v/>
      </c>
      <c r="G37" s="201"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63">
        <f>VLOOKUP(A37,門市主檔!A:V,22,FALSE)</f>
        <v>1</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79" t="str">
        <f>IF(COUNTIFS(IM!$F:$F,A38,IM!$AD:$AD,"O",IM!$X:$X,"&gt;="&amp;$R$1, IM!$X:$X,"&lt;"&amp;$R$2)&gt;0,"V","")</f>
        <v/>
      </c>
      <c r="D38" s="279" t="str">
        <f>IF(AND(C38&lt;&gt;"V", COUNTIFS(IM!$F:$F,A38, IM!$AD:$AD, "O", IM!$X:$X, "&gt;="&amp;$R$2, IM!$X:$X, "&lt;"&amp;$R$3)&gt;0), "V", "")</f>
        <v>V</v>
      </c>
      <c r="E38" s="279" t="str">
        <f>IF(AND(C38&lt;&gt;"V",D38&lt;&gt;"V", COUNTIFS(IM!$F:$F, A38, IM!$AD:$AD, "O", IM!$X:$X, "&gt;="&amp;$R$3, IM!$X:$X, "&lt;"&amp;$R$5)&gt;0), "V", "")</f>
        <v/>
      </c>
      <c r="F38" s="201" t="str">
        <f t="shared" si="1"/>
        <v/>
      </c>
      <c r="G38" s="201"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63">
        <f>VLOOKUP(A38,門市主檔!A:V,22,FALSE)</f>
        <v>2</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79" t="str">
        <f>IF(COUNTIFS(IM!$F:$F,A39,IM!$AD:$AD,"O",IM!$X:$X,"&gt;="&amp;$R$1, IM!$X:$X,"&lt;"&amp;$R$2)&gt;0,"V","")</f>
        <v/>
      </c>
      <c r="D39" s="279" t="str">
        <f>IF(AND(C39&lt;&gt;"V", COUNTIFS(IM!$F:$F,A39, IM!$AD:$AD, "O", IM!$X:$X, "&gt;="&amp;$R$2, IM!$X:$X, "&lt;"&amp;$R$3)&gt;0), "V", "")</f>
        <v>V</v>
      </c>
      <c r="E39" s="279" t="str">
        <f>IF(AND(C39&lt;&gt;"V",D39&lt;&gt;"V", COUNTIFS(IM!$F:$F, A39, IM!$AD:$AD, "O", IM!$X:$X, "&gt;="&amp;$R$3, IM!$X:$X, "&lt;"&amp;$R$5)&gt;0), "V", "")</f>
        <v/>
      </c>
      <c r="F39" s="201" t="str">
        <f t="shared" ref="F39:F64" si="2">IF(COUNTBLANK(C39:E39)=3,"未保養","")</f>
        <v/>
      </c>
      <c r="G39" s="201" t="str">
        <f>IF(VLOOKUP(A39,門市主檔!A:O,15,FALSE)="完工已補裝", "完工已補裝",
IF(AND(VLOOKUP(A39,門市主檔!A:Z,26,FALSE)="STAR", VLOOKUP(A39,門市主檔!A:R,18,FALSE)=""),
    IF(OR(C39="V", D39="V", E39="V"), "已PM未更換", "未更換"),
    IF(VLOOKUP(A39,門市主檔!A:Z,26,FALSE)&lt;&gt;"STAR", "無專案", "已更換")
))</f>
        <v>無專案</v>
      </c>
      <c r="H39" s="263">
        <f>VLOOKUP(A39,門市主檔!A:V,22,FALSE)</f>
        <v>0</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79" t="str">
        <f>IF(COUNTIFS(IM!$F:$F,A40,IM!$AD:$AD,"O",IM!$X:$X,"&gt;="&amp;$R$1, IM!$X:$X,"&lt;"&amp;$R$2)&gt;0,"V","")</f>
        <v/>
      </c>
      <c r="D40" s="279" t="str">
        <f>IF(AND(C40&lt;&gt;"V", COUNTIFS(IM!$F:$F,A40, IM!$AD:$AD, "O", IM!$X:$X, "&gt;="&amp;$R$2, IM!$X:$X, "&lt;"&amp;$R$3)&gt;0), "V", "")</f>
        <v>V</v>
      </c>
      <c r="E40" s="279" t="str">
        <f>IF(AND(C40&lt;&gt;"V",D40&lt;&gt;"V", COUNTIFS(IM!$F:$F, A40, IM!$AD:$AD, "O", IM!$X:$X, "&gt;="&amp;$R$3, IM!$X:$X, "&lt;"&amp;$R$5)&gt;0), "V", "")</f>
        <v/>
      </c>
      <c r="F40" s="201" t="str">
        <f t="shared" si="2"/>
        <v/>
      </c>
      <c r="G40" s="201"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63">
        <f>VLOOKUP(A40,門市主檔!A:V,22,FALSE)</f>
        <v>2</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79" t="str">
        <f>IF(COUNTIFS(IM!$F:$F,A41,IM!$AD:$AD,"O",IM!$X:$X,"&gt;="&amp;$R$1, IM!$X:$X,"&lt;"&amp;$R$2)&gt;0,"V","")</f>
        <v/>
      </c>
      <c r="D41" s="279" t="str">
        <f>IF(AND(C41&lt;&gt;"V", COUNTIFS(IM!$F:$F,A41, IM!$AD:$AD, "O", IM!$X:$X, "&gt;="&amp;$R$2, IM!$X:$X, "&lt;"&amp;$R$3)&gt;0), "V", "")</f>
        <v>V</v>
      </c>
      <c r="E41" s="279" t="str">
        <f>IF(AND(C41&lt;&gt;"V",D41&lt;&gt;"V", COUNTIFS(IM!$F:$F, A41, IM!$AD:$AD, "O", IM!$X:$X, "&gt;="&amp;$R$3, IM!$X:$X, "&lt;"&amp;$R$5)&gt;0), "V", "")</f>
        <v/>
      </c>
      <c r="F41" s="201" t="str">
        <f t="shared" si="2"/>
        <v/>
      </c>
      <c r="G41" s="201"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63">
        <f>VLOOKUP(A41,門市主檔!A:V,22,FALSE)</f>
        <v>2</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79" t="str">
        <f>IF(COUNTIFS(IM!$F:$F,A42,IM!$AD:$AD,"O",IM!$X:$X,"&gt;="&amp;$R$1, IM!$X:$X,"&lt;"&amp;$R$2)&gt;0,"V","")</f>
        <v/>
      </c>
      <c r="D42" s="279" t="str">
        <f>IF(AND(C42&lt;&gt;"V", COUNTIFS(IM!$F:$F,A42, IM!$AD:$AD, "O", IM!$X:$X, "&gt;="&amp;$R$2, IM!$X:$X, "&lt;"&amp;$R$3)&gt;0), "V", "")</f>
        <v>V</v>
      </c>
      <c r="E42" s="279" t="str">
        <f>IF(AND(C42&lt;&gt;"V",D42&lt;&gt;"V", COUNTIFS(IM!$F:$F, A42, IM!$AD:$AD, "O", IM!$X:$X, "&gt;="&amp;$R$3, IM!$X:$X, "&lt;"&amp;$R$5)&gt;0), "V", "")</f>
        <v/>
      </c>
      <c r="F42" s="201" t="str">
        <f t="shared" si="2"/>
        <v/>
      </c>
      <c r="G42" s="201"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63">
        <f>VLOOKUP(A42,門市主檔!A:V,22,FALSE)</f>
        <v>2</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79" t="str">
        <f>IF(COUNTIFS(IM!$F:$F,A43,IM!$AD:$AD,"O",IM!$X:$X,"&gt;="&amp;$R$1, IM!$X:$X,"&lt;"&amp;$R$2)&gt;0,"V","")</f>
        <v/>
      </c>
      <c r="D43" s="279" t="str">
        <f>IF(AND(C43&lt;&gt;"V", COUNTIFS(IM!$F:$F,A43, IM!$AD:$AD, "O", IM!$X:$X, "&gt;="&amp;$R$2, IM!$X:$X, "&lt;"&amp;$R$3)&gt;0), "V", "")</f>
        <v>V</v>
      </c>
      <c r="E43" s="279" t="str">
        <f>IF(AND(C43&lt;&gt;"V",D43&lt;&gt;"V", COUNTIFS(IM!$F:$F, A43, IM!$AD:$AD, "O", IM!$X:$X, "&gt;="&amp;$R$3, IM!$X:$X, "&lt;"&amp;$R$5)&gt;0), "V", "")</f>
        <v/>
      </c>
      <c r="F43" s="201" t="str">
        <f t="shared" si="2"/>
        <v/>
      </c>
      <c r="G43" s="201"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63">
        <f>VLOOKUP(A43,門市主檔!A:V,22,FALSE)</f>
        <v>1</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79" t="str">
        <f>IF(COUNTIFS(IM!$F:$F,A44,IM!$AD:$AD,"O",IM!$X:$X,"&gt;="&amp;$R$1, IM!$X:$X,"&lt;"&amp;$R$2)&gt;0,"V","")</f>
        <v/>
      </c>
      <c r="D44" s="279" t="str">
        <f>IF(AND(C44&lt;&gt;"V", COUNTIFS(IM!$F:$F,A44, IM!$AD:$AD, "O", IM!$X:$X, "&gt;="&amp;$R$2, IM!$X:$X, "&lt;"&amp;$R$3)&gt;0), "V", "")</f>
        <v>V</v>
      </c>
      <c r="E44" s="279" t="str">
        <f>IF(AND(C44&lt;&gt;"V",D44&lt;&gt;"V", COUNTIFS(IM!$F:$F, A44, IM!$AD:$AD, "O", IM!$X:$X, "&gt;="&amp;$R$3, IM!$X:$X, "&lt;"&amp;$R$5)&gt;0), "V", "")</f>
        <v/>
      </c>
      <c r="F44" s="201" t="str">
        <f t="shared" si="2"/>
        <v/>
      </c>
      <c r="G44" s="201"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63">
        <f>VLOOKUP(A44,門市主檔!A:V,22,FALSE)</f>
        <v>1</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79" t="str">
        <f>IF(COUNTIFS(IM!$F:$F,A45,IM!$AD:$AD,"O",IM!$X:$X,"&gt;="&amp;$R$1, IM!$X:$X,"&lt;"&amp;$R$2)&gt;0,"V","")</f>
        <v>V</v>
      </c>
      <c r="D45" s="279" t="str">
        <f>IF(AND(C45&lt;&gt;"V", COUNTIFS(IM!$F:$F,A45, IM!$AD:$AD, "O", IM!$X:$X, "&gt;="&amp;$R$2, IM!$X:$X, "&lt;"&amp;$R$3)&gt;0), "V", "")</f>
        <v/>
      </c>
      <c r="E45" s="279" t="str">
        <f>IF(AND(C45&lt;&gt;"V",D45&lt;&gt;"V", COUNTIFS(IM!$F:$F, A45, IM!$AD:$AD, "O", IM!$X:$X, "&gt;="&amp;$R$3, IM!$X:$X, "&lt;"&amp;$R$5)&gt;0), "V", "")</f>
        <v/>
      </c>
      <c r="F45" s="201" t="str">
        <f t="shared" si="2"/>
        <v/>
      </c>
      <c r="G45" s="201" t="str">
        <f>IF(VLOOKUP(A45,門市主檔!A:O,15,FALSE)="完工已補裝", "完工已補裝",
IF(AND(VLOOKUP(A45,門市主檔!A:Z,26,FALSE)="STAR", VLOOKUP(A45,門市主檔!A:R,18,FALSE)=""),
    IF(OR(C45="V", D45="V", E45="V"), "已PM未更換", "未更換"),
    IF(VLOOKUP(A45,門市主檔!A:Z,26,FALSE)&lt;&gt;"STAR", "無專案", "已更換")
))</f>
        <v>無專案</v>
      </c>
      <c r="H45" s="263">
        <f>VLOOKUP(A45,門市主檔!A:V,22,FALSE)</f>
        <v>0</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79" t="str">
        <f>IF(COUNTIFS(IM!$F:$F,A46,IM!$AD:$AD,"O",IM!$X:$X,"&gt;="&amp;$R$1, IM!$X:$X,"&lt;"&amp;$R$2)&gt;0,"V","")</f>
        <v/>
      </c>
      <c r="D46" s="279" t="str">
        <f>IF(AND(C46&lt;&gt;"V", COUNTIFS(IM!$F:$F,A46, IM!$AD:$AD, "O", IM!$X:$X, "&gt;="&amp;$R$2, IM!$X:$X, "&lt;"&amp;$R$3)&gt;0), "V", "")</f>
        <v>V</v>
      </c>
      <c r="E46" s="279" t="str">
        <f>IF(AND(C46&lt;&gt;"V",D46&lt;&gt;"V", COUNTIFS(IM!$F:$F, A46, IM!$AD:$AD, "O", IM!$X:$X, "&gt;="&amp;$R$3, IM!$X:$X, "&lt;"&amp;$R$5)&gt;0), "V", "")</f>
        <v/>
      </c>
      <c r="F46" s="201" t="str">
        <f t="shared" si="2"/>
        <v/>
      </c>
      <c r="G46" s="201"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79" t="str">
        <f>IF(COUNTIFS(IM!$F:$F,A47,IM!$AD:$AD,"O",IM!$X:$X,"&gt;="&amp;$R$1, IM!$X:$X,"&lt;"&amp;$R$2)&gt;0,"V","")</f>
        <v>V</v>
      </c>
      <c r="D47" s="279" t="str">
        <f>IF(AND(C47&lt;&gt;"V", COUNTIFS(IM!$F:$F,A47, IM!$AD:$AD, "O", IM!$X:$X, "&gt;="&amp;$R$2, IM!$X:$X, "&lt;"&amp;$R$3)&gt;0), "V", "")</f>
        <v/>
      </c>
      <c r="E47" s="279" t="str">
        <f>IF(AND(C47&lt;&gt;"V",D47&lt;&gt;"V", COUNTIFS(IM!$F:$F, A47, IM!$AD:$AD, "O", IM!$X:$X, "&gt;="&amp;$R$3, IM!$X:$X, "&lt;"&amp;$R$5)&gt;0), "V", "")</f>
        <v/>
      </c>
      <c r="F47" s="201" t="str">
        <f t="shared" si="2"/>
        <v/>
      </c>
      <c r="G47" s="201" t="str">
        <f>IF(VLOOKUP(A47,門市主檔!A:O,15,FALSE)="完工已補裝", "完工已補裝",
IF(AND(VLOOKUP(A47,門市主檔!A:Z,26,FALSE)="STAR", VLOOKUP(A47,門市主檔!A:R,18,FALSE)=""),
    IF(OR(C47="V", D47="V", E47="V"), "已PM未更換", "未更換"),
    IF(VLOOKUP(A47,門市主檔!A:Z,26,FALSE)&lt;&gt;"STAR", "無專案", "已更換")
))</f>
        <v>已更換</v>
      </c>
      <c r="H47" s="263">
        <f>VLOOKUP(A47,門市主檔!A:V,22,FALSE)</f>
        <v>1</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79" t="str">
        <f>IF(COUNTIFS(IM!$F:$F,A48,IM!$AD:$AD,"O",IM!$X:$X,"&gt;="&amp;$R$1, IM!$X:$X,"&lt;"&amp;$R$2)&gt;0,"V","")</f>
        <v>V</v>
      </c>
      <c r="D48" s="279" t="str">
        <f>IF(AND(C48&lt;&gt;"V", COUNTIFS(IM!$F:$F,A48, IM!$AD:$AD, "O", IM!$X:$X, "&gt;="&amp;$R$2, IM!$X:$X, "&lt;"&amp;$R$3)&gt;0), "V", "")</f>
        <v/>
      </c>
      <c r="E48" s="279" t="str">
        <f>IF(AND(C48&lt;&gt;"V",D48&lt;&gt;"V", COUNTIFS(IM!$F:$F, A48, IM!$AD:$AD, "O", IM!$X:$X, "&gt;="&amp;$R$3, IM!$X:$X, "&lt;"&amp;$R$5)&gt;0), "V", "")</f>
        <v/>
      </c>
      <c r="F48" s="201" t="str">
        <f t="shared" si="2"/>
        <v/>
      </c>
      <c r="G48" s="201" t="str">
        <f>IF(VLOOKUP(A48,門市主檔!A:O,15,FALSE)="完工已補裝", "完工已補裝",
IF(AND(VLOOKUP(A48,門市主檔!A:Z,26,FALSE)="STAR", VLOOKUP(A48,門市主檔!A:R,18,FALSE)=""),
    IF(OR(C48="V", D48="V", E48="V"), "已PM未更換", "未更換"),
    IF(VLOOKUP(A48,門市主檔!A:Z,26,FALSE)&lt;&gt;"STAR", "無專案", "已更換")
))</f>
        <v>已更換</v>
      </c>
      <c r="H48" s="263">
        <f>VLOOKUP(A48,門市主檔!A:V,22,FALSE)</f>
        <v>2</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79" t="str">
        <f>IF(COUNTIFS(IM!$F:$F,A49,IM!$AD:$AD,"O",IM!$X:$X,"&gt;="&amp;$R$1, IM!$X:$X,"&lt;"&amp;$R$2)&gt;0,"V","")</f>
        <v>V</v>
      </c>
      <c r="D49" s="279" t="str">
        <f>IF(AND(C49&lt;&gt;"V", COUNTIFS(IM!$F:$F,A49, IM!$AD:$AD, "O", IM!$X:$X, "&gt;="&amp;$R$2, IM!$X:$X, "&lt;"&amp;$R$3)&gt;0), "V", "")</f>
        <v/>
      </c>
      <c r="E49" s="279" t="str">
        <f>IF(AND(C49&lt;&gt;"V",D49&lt;&gt;"V", COUNTIFS(IM!$F:$F, A49, IM!$AD:$AD, "O", IM!$X:$X, "&gt;="&amp;$R$3, IM!$X:$X, "&lt;"&amp;$R$5)&gt;0), "V", "")</f>
        <v/>
      </c>
      <c r="F49" s="201" t="str">
        <f t="shared" si="2"/>
        <v/>
      </c>
      <c r="G49" s="201" t="str">
        <f>IF(VLOOKUP(A49,門市主檔!A:O,15,FALSE)="完工已補裝", "完工已補裝",
IF(AND(VLOOKUP(A49,門市主檔!A:Z,26,FALSE)="STAR", VLOOKUP(A49,門市主檔!A:R,18,FALSE)=""),
    IF(OR(C49="V", D49="V", E49="V"), "已PM未更換", "未更換"),
    IF(VLOOKUP(A49,門市主檔!A:Z,26,FALSE)&lt;&gt;"STAR", "無專案", "已更換")
))</f>
        <v>已更換</v>
      </c>
      <c r="H49" s="263">
        <f>VLOOKUP(A49,門市主檔!A:V,22,FALSE)</f>
        <v>2</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79" t="str">
        <f>IF(COUNTIFS(IM!$F:$F,A50,IM!$AD:$AD,"O",IM!$X:$X,"&gt;="&amp;$R$1, IM!$X:$X,"&lt;"&amp;$R$2)&gt;0,"V","")</f>
        <v>V</v>
      </c>
      <c r="D50" s="279" t="str">
        <f>IF(AND(C50&lt;&gt;"V", COUNTIFS(IM!$F:$F,A50, IM!$AD:$AD, "O", IM!$X:$X, "&gt;="&amp;$R$2, IM!$X:$X, "&lt;"&amp;$R$3)&gt;0), "V", "")</f>
        <v/>
      </c>
      <c r="E50" s="279" t="str">
        <f>IF(AND(C50&lt;&gt;"V",D50&lt;&gt;"V", COUNTIFS(IM!$F:$F, A50, IM!$AD:$AD, "O", IM!$X:$X, "&gt;="&amp;$R$3, IM!$X:$X, "&lt;"&amp;$R$5)&gt;0), "V", "")</f>
        <v/>
      </c>
      <c r="F50" s="201" t="str">
        <f t="shared" si="2"/>
        <v/>
      </c>
      <c r="G50" s="201" t="str">
        <f>IF(VLOOKUP(A50,門市主檔!A:O,15,FALSE)="完工已補裝", "完工已補裝",
IF(AND(VLOOKUP(A50,門市主檔!A:Z,26,FALSE)="STAR", VLOOKUP(A50,門市主檔!A:R,18,FALSE)=""),
    IF(OR(C50="V", D50="V", E50="V"), "已PM未更換", "未更換"),
    IF(VLOOKUP(A50,門市主檔!A:Z,26,FALSE)&lt;&gt;"STAR", "無專案", "已更換")
))</f>
        <v>已更換</v>
      </c>
      <c r="H50" s="263">
        <f>VLOOKUP(A50,門市主檔!A:V,22,FALSE)</f>
        <v>2</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79" t="str">
        <f>IF(COUNTIFS(IM!$F:$F,A51,IM!$AD:$AD,"O",IM!$X:$X,"&gt;="&amp;$R$1, IM!$X:$X,"&lt;"&amp;$R$2)&gt;0,"V","")</f>
        <v>V</v>
      </c>
      <c r="D51" s="279" t="str">
        <f>IF(AND(C51&lt;&gt;"V", COUNTIFS(IM!$F:$F,A51, IM!$AD:$AD, "O", IM!$X:$X, "&gt;="&amp;$R$2, IM!$X:$X, "&lt;"&amp;$R$3)&gt;0), "V", "")</f>
        <v/>
      </c>
      <c r="E51" s="279" t="str">
        <f>IF(AND(C51&lt;&gt;"V",D51&lt;&gt;"V", COUNTIFS(IM!$F:$F, A51, IM!$AD:$AD, "O", IM!$X:$X, "&gt;="&amp;$R$3, IM!$X:$X, "&lt;"&amp;$R$5)&gt;0), "V", "")</f>
        <v/>
      </c>
      <c r="F51" s="201" t="str">
        <f t="shared" si="2"/>
        <v/>
      </c>
      <c r="G51" s="201" t="str">
        <f>IF(VLOOKUP(A51,門市主檔!A:O,15,FALSE)="完工已補裝", "完工已補裝",
IF(AND(VLOOKUP(A51,門市主檔!A:Z,26,FALSE)="STAR", VLOOKUP(A51,門市主檔!A:R,18,FALSE)=""),
    IF(OR(C51="V", D51="V", E51="V"), "已PM未更換", "未更換"),
    IF(VLOOKUP(A51,門市主檔!A:Z,26,FALSE)&lt;&gt;"STAR", "無專案", "已更換")
))</f>
        <v>已更換</v>
      </c>
      <c r="H51" s="263">
        <f>VLOOKUP(A51,門市主檔!A:V,22,FALSE)</f>
        <v>2</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79" t="str">
        <f>IF(COUNTIFS(IM!$F:$F,A52,IM!$AD:$AD,"O",IM!$X:$X,"&gt;="&amp;$R$1, IM!$X:$X,"&lt;"&amp;$R$2)&gt;0,"V","")</f>
        <v>V</v>
      </c>
      <c r="D52" s="279" t="str">
        <f>IF(AND(C52&lt;&gt;"V", COUNTIFS(IM!$F:$F,A52, IM!$AD:$AD, "O", IM!$X:$X, "&gt;="&amp;$R$2, IM!$X:$X, "&lt;"&amp;$R$3)&gt;0), "V", "")</f>
        <v/>
      </c>
      <c r="E52" s="279" t="str">
        <f>IF(AND(C52&lt;&gt;"V",D52&lt;&gt;"V", COUNTIFS(IM!$F:$F, A52, IM!$AD:$AD, "O", IM!$X:$X, "&gt;="&amp;$R$3, IM!$X:$X, "&lt;"&amp;$R$5)&gt;0), "V", "")</f>
        <v/>
      </c>
      <c r="F52" s="201" t="str">
        <f t="shared" si="2"/>
        <v/>
      </c>
      <c r="G52" s="201" t="str">
        <f>IF(VLOOKUP(A52,門市主檔!A:O,15,FALSE)="完工已補裝", "完工已補裝",
IF(AND(VLOOKUP(A52,門市主檔!A:Z,26,FALSE)="STAR", VLOOKUP(A52,門市主檔!A:R,18,FALSE)=""),
    IF(OR(C52="V", D52="V", E52="V"), "已PM未更換", "未更換"),
    IF(VLOOKUP(A52,門市主檔!A:Z,26,FALSE)&lt;&gt;"STAR", "無專案", "已更換")
))</f>
        <v>已更換</v>
      </c>
      <c r="H52" s="263">
        <f>VLOOKUP(A52,門市主檔!A:V,22,FALSE)</f>
        <v>1</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79" t="str">
        <f>IF(COUNTIFS(IM!$F:$F,A53,IM!$AD:$AD,"O",IM!$X:$X,"&gt;="&amp;$R$1, IM!$X:$X,"&lt;"&amp;$R$2)&gt;0,"V","")</f>
        <v>V</v>
      </c>
      <c r="D53" s="279" t="str">
        <f>IF(AND(C53&lt;&gt;"V", COUNTIFS(IM!$F:$F,A53, IM!$AD:$AD, "O", IM!$X:$X, "&gt;="&amp;$R$2, IM!$X:$X, "&lt;"&amp;$R$3)&gt;0), "V", "")</f>
        <v/>
      </c>
      <c r="E53" s="279" t="str">
        <f>IF(AND(C53&lt;&gt;"V",D53&lt;&gt;"V", COUNTIFS(IM!$F:$F, A53, IM!$AD:$AD, "O", IM!$X:$X, "&gt;="&amp;$R$3, IM!$X:$X, "&lt;"&amp;$R$5)&gt;0), "V", "")</f>
        <v/>
      </c>
      <c r="F53" s="201" t="str">
        <f t="shared" si="2"/>
        <v/>
      </c>
      <c r="G53" s="201" t="str">
        <f>IF(VLOOKUP(A53,門市主檔!A:O,15,FALSE)="完工已補裝", "完工已補裝",
IF(AND(VLOOKUP(A53,門市主檔!A:Z,26,FALSE)="STAR", VLOOKUP(A53,門市主檔!A:R,18,FALSE)=""),
    IF(OR(C53="V", D53="V", E53="V"), "已PM未更換", "未更換"),
    IF(VLOOKUP(A53,門市主檔!A:Z,26,FALSE)&lt;&gt;"STAR", "無專案", "已更換")
))</f>
        <v>無專案</v>
      </c>
      <c r="H53" s="263">
        <f>VLOOKUP(A53,門市主檔!A:V,22,FALSE)</f>
        <v>0</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79" t="str">
        <f>IF(COUNTIFS(IM!$F:$F,A54,IM!$AD:$AD,"O",IM!$X:$X,"&gt;="&amp;$R$1, IM!$X:$X,"&lt;"&amp;$R$2)&gt;0,"V","")</f>
        <v>V</v>
      </c>
      <c r="D54" s="279" t="str">
        <f>IF(AND(C54&lt;&gt;"V", COUNTIFS(IM!$F:$F,A54, IM!$AD:$AD, "O", IM!$X:$X, "&gt;="&amp;$R$2, IM!$X:$X, "&lt;"&amp;$R$3)&gt;0), "V", "")</f>
        <v/>
      </c>
      <c r="E54" s="279" t="str">
        <f>IF(AND(C54&lt;&gt;"V",D54&lt;&gt;"V", COUNTIFS(IM!$F:$F, A54, IM!$AD:$AD, "O", IM!$X:$X, "&gt;="&amp;$R$3, IM!$X:$X, "&lt;"&amp;$R$5)&gt;0), "V", "")</f>
        <v/>
      </c>
      <c r="F54" s="201" t="str">
        <f t="shared" si="2"/>
        <v/>
      </c>
      <c r="G54" s="201" t="str">
        <f>IF(VLOOKUP(A54,門市主檔!A:O,15,FALSE)="完工已補裝", "完工已補裝",
IF(AND(VLOOKUP(A54,門市主檔!A:Z,26,FALSE)="STAR", VLOOKUP(A54,門市主檔!A:R,18,FALSE)=""),
    IF(OR(C54="V", D54="V", E54="V"), "已PM未更換", "未更換"),
    IF(VLOOKUP(A54,門市主檔!A:Z,26,FALSE)&lt;&gt;"STAR", "無專案", "已更換")
))</f>
        <v>已更換</v>
      </c>
      <c r="H54" s="263">
        <f>VLOOKUP(A54,門市主檔!A:V,22,FALSE)</f>
        <v>1</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79" t="str">
        <f>IF(COUNTIFS(IM!$F:$F,A55,IM!$AD:$AD,"O",IM!$X:$X,"&gt;="&amp;$R$1, IM!$X:$X,"&lt;"&amp;$R$2)&gt;0,"V","")</f>
        <v>V</v>
      </c>
      <c r="D55" s="279" t="str">
        <f>IF(AND(C55&lt;&gt;"V", COUNTIFS(IM!$F:$F,A55, IM!$AD:$AD, "O", IM!$X:$X, "&gt;="&amp;$R$2, IM!$X:$X, "&lt;"&amp;$R$3)&gt;0), "V", "")</f>
        <v/>
      </c>
      <c r="E55" s="279" t="str">
        <f>IF(AND(C55&lt;&gt;"V",D55&lt;&gt;"V", COUNTIFS(IM!$F:$F, A55, IM!$AD:$AD, "O", IM!$X:$X, "&gt;="&amp;$R$3, IM!$X:$X, "&lt;"&amp;$R$5)&gt;0), "V", "")</f>
        <v/>
      </c>
      <c r="F55" s="201" t="str">
        <f t="shared" si="2"/>
        <v/>
      </c>
      <c r="G55" s="201" t="str">
        <f>IF(VLOOKUP(A55,門市主檔!A:O,15,FALSE)="完工已補裝", "完工已補裝",
IF(AND(VLOOKUP(A55,門市主檔!A:Z,26,FALSE)="STAR", VLOOKUP(A55,門市主檔!A:R,18,FALSE)=""),
    IF(OR(C55="V", D55="V", E55="V"), "已PM未更換", "未更換"),
    IF(VLOOKUP(A55,門市主檔!A:Z,26,FALSE)&lt;&gt;"STAR", "無專案", "已更換")
))</f>
        <v>已更換</v>
      </c>
      <c r="H55" s="263">
        <f>VLOOKUP(A55,門市主檔!A:V,22,FALSE)</f>
        <v>1</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79" t="str">
        <f>IF(COUNTIFS(IM!$F:$F,A56,IM!$AD:$AD,"O",IM!$X:$X,"&gt;="&amp;$R$1, IM!$X:$X,"&lt;"&amp;$R$2)&gt;0,"V","")</f>
        <v>V</v>
      </c>
      <c r="D56" s="279" t="str">
        <f>IF(AND(C56&lt;&gt;"V", COUNTIFS(IM!$F:$F,A56, IM!$AD:$AD, "O", IM!$X:$X, "&gt;="&amp;$R$2, IM!$X:$X, "&lt;"&amp;$R$3)&gt;0), "V", "")</f>
        <v/>
      </c>
      <c r="E56" s="279" t="str">
        <f>IF(AND(C56&lt;&gt;"V",D56&lt;&gt;"V", COUNTIFS(IM!$F:$F, A56, IM!$AD:$AD, "O", IM!$X:$X, "&gt;="&amp;$R$3, IM!$X:$X, "&lt;"&amp;$R$5)&gt;0), "V", "")</f>
        <v/>
      </c>
      <c r="F56" s="201" t="str">
        <f t="shared" si="2"/>
        <v/>
      </c>
      <c r="G56" s="201" t="str">
        <f>IF(VLOOKUP(A56,門市主檔!A:O,15,FALSE)="完工已補裝", "完工已補裝",
IF(AND(VLOOKUP(A56,門市主檔!A:Z,26,FALSE)="STAR", VLOOKUP(A56,門市主檔!A:R,18,FALSE)=""),
    IF(OR(C56="V", D56="V", E56="V"), "已PM未更換", "未更換"),
    IF(VLOOKUP(A56,門市主檔!A:Z,26,FALSE)&lt;&gt;"STAR", "無專案", "已更換")
))</f>
        <v>無專案</v>
      </c>
      <c r="H56" s="263">
        <f>VLOOKUP(A56,門市主檔!A:V,22,FALSE)</f>
        <v>0</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79" t="str">
        <f>IF(COUNTIFS(IM!$F:$F,A57,IM!$AD:$AD,"O",IM!$X:$X,"&gt;="&amp;$R$1, IM!$X:$X,"&lt;"&amp;$R$2)&gt;0,"V","")</f>
        <v>V</v>
      </c>
      <c r="D57" s="279" t="str">
        <f>IF(AND(C57&lt;&gt;"V", COUNTIFS(IM!$F:$F,A57, IM!$AD:$AD, "O", IM!$X:$X, "&gt;="&amp;$R$2, IM!$X:$X, "&lt;"&amp;$R$3)&gt;0), "V", "")</f>
        <v/>
      </c>
      <c r="E57" s="279" t="str">
        <f>IF(AND(C57&lt;&gt;"V",D57&lt;&gt;"V", COUNTIFS(IM!$F:$F, A57, IM!$AD:$AD, "O", IM!$X:$X, "&gt;="&amp;$R$3, IM!$X:$X, "&lt;"&amp;$R$5)&gt;0), "V", "")</f>
        <v/>
      </c>
      <c r="F57" s="201" t="str">
        <f t="shared" si="2"/>
        <v/>
      </c>
      <c r="G57" s="201" t="str">
        <f>IF(VLOOKUP(A57,門市主檔!A:O,15,FALSE)="完工已補裝", "完工已補裝",
IF(AND(VLOOKUP(A57,門市主檔!A:Z,26,FALSE)="STAR", VLOOKUP(A57,門市主檔!A:R,18,FALSE)=""),
    IF(OR(C57="V", D57="V", E57="V"), "已PM未更換", "未更換"),
    IF(VLOOKUP(A57,門市主檔!A:Z,26,FALSE)&lt;&gt;"STAR", "無專案", "已更換")
))</f>
        <v>已更換</v>
      </c>
      <c r="H57" s="263">
        <f>VLOOKUP(A57,門市主檔!A:V,22,FALSE)</f>
        <v>2</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79" t="str">
        <f>IF(COUNTIFS(IM!$F:$F,A58,IM!$AD:$AD,"O",IM!$X:$X,"&gt;="&amp;$R$1, IM!$X:$X,"&lt;"&amp;$R$2)&gt;0,"V","")</f>
        <v>V</v>
      </c>
      <c r="D58" s="279" t="str">
        <f>IF(AND(C58&lt;&gt;"V", COUNTIFS(IM!$F:$F,A58, IM!$AD:$AD, "O", IM!$X:$X, "&gt;="&amp;$R$2, IM!$X:$X, "&lt;"&amp;$R$3)&gt;0), "V", "")</f>
        <v/>
      </c>
      <c r="E58" s="279" t="str">
        <f>IF(AND(C58&lt;&gt;"V",D58&lt;&gt;"V", COUNTIFS(IM!$F:$F, A58, IM!$AD:$AD, "O", IM!$X:$X, "&gt;="&amp;$R$3, IM!$X:$X, "&lt;"&amp;$R$5)&gt;0), "V", "")</f>
        <v/>
      </c>
      <c r="F58" s="201" t="str">
        <f t="shared" si="2"/>
        <v/>
      </c>
      <c r="G58" s="201" t="str">
        <f>IF(VLOOKUP(A58,門市主檔!A:O,15,FALSE)="完工已補裝", "完工已補裝",
IF(AND(VLOOKUP(A58,門市主檔!A:Z,26,FALSE)="STAR", VLOOKUP(A58,門市主檔!A:R,18,FALSE)=""),
    IF(OR(C58="V", D58="V", E58="V"), "已PM未更換", "未更換"),
    IF(VLOOKUP(A58,門市主檔!A:Z,26,FALSE)&lt;&gt;"STAR", "無專案", "已更換")
))</f>
        <v>已更換</v>
      </c>
      <c r="H58" s="263">
        <f>VLOOKUP(A58,門市主檔!A:V,22,FALSE)</f>
        <v>2</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79" t="str">
        <f>IF(COUNTIFS(IM!$F:$F,A59,IM!$AD:$AD,"O",IM!$X:$X,"&gt;="&amp;$R$1, IM!$X:$X,"&lt;"&amp;$R$2)&gt;0,"V","")</f>
        <v>V</v>
      </c>
      <c r="D59" s="279" t="str">
        <f>IF(AND(C59&lt;&gt;"V", COUNTIFS(IM!$F:$F,A59, IM!$AD:$AD, "O", IM!$X:$X, "&gt;="&amp;$R$2, IM!$X:$X, "&lt;"&amp;$R$3)&gt;0), "V", "")</f>
        <v/>
      </c>
      <c r="E59" s="279" t="str">
        <f>IF(AND(C59&lt;&gt;"V",D59&lt;&gt;"V", COUNTIFS(IM!$F:$F, A59, IM!$AD:$AD, "O", IM!$X:$X, "&gt;="&amp;$R$3, IM!$X:$X, "&lt;"&amp;$R$5)&gt;0), "V", "")</f>
        <v/>
      </c>
      <c r="F59" s="201" t="str">
        <f t="shared" si="2"/>
        <v/>
      </c>
      <c r="G59" s="201" t="str">
        <f>IF(VLOOKUP(A59,門市主檔!A:O,15,FALSE)="完工已補裝", "完工已補裝",
IF(AND(VLOOKUP(A59,門市主檔!A:Z,26,FALSE)="STAR", VLOOKUP(A59,門市主檔!A:R,18,FALSE)=""),
    IF(OR(C59="V", D59="V", E59="V"), "已PM未更換", "未更換"),
    IF(VLOOKUP(A59,門市主檔!A:Z,26,FALSE)&lt;&gt;"STAR", "無專案", "已更換")
))</f>
        <v>已更換</v>
      </c>
      <c r="H59" s="263">
        <f>VLOOKUP(A59,門市主檔!A:V,22,FALSE)</f>
        <v>2</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79" t="str">
        <f>IF(COUNTIFS(IM!$F:$F,A60,IM!$AD:$AD,"O",IM!$X:$X,"&gt;="&amp;$R$1, IM!$X:$X,"&lt;"&amp;$R$2)&gt;0,"V","")</f>
        <v>V</v>
      </c>
      <c r="D60" s="279" t="str">
        <f>IF(AND(C60&lt;&gt;"V", COUNTIFS(IM!$F:$F,A60, IM!$AD:$AD, "O", IM!$X:$X, "&gt;="&amp;$R$2, IM!$X:$X, "&lt;"&amp;$R$3)&gt;0), "V", "")</f>
        <v/>
      </c>
      <c r="E60" s="279" t="str">
        <f>IF(AND(C60&lt;&gt;"V",D60&lt;&gt;"V", COUNTIFS(IM!$F:$F, A60, IM!$AD:$AD, "O", IM!$X:$X, "&gt;="&amp;$R$3, IM!$X:$X, "&lt;"&amp;$R$5)&gt;0), "V", "")</f>
        <v/>
      </c>
      <c r="F60" s="201" t="str">
        <f t="shared" si="2"/>
        <v/>
      </c>
      <c r="G60" s="201" t="str">
        <f>IF(VLOOKUP(A60,門市主檔!A:O,15,FALSE)="完工已補裝", "完工已補裝",
IF(AND(VLOOKUP(A60,門市主檔!A:Z,26,FALSE)="STAR", VLOOKUP(A60,門市主檔!A:R,18,FALSE)=""),
    IF(OR(C60="V", D60="V", E60="V"), "已PM未更換", "未更換"),
    IF(VLOOKUP(A60,門市主檔!A:Z,26,FALSE)&lt;&gt;"STAR", "無專案", "已更換")
))</f>
        <v>已更換</v>
      </c>
      <c r="H60" s="263">
        <f>VLOOKUP(A60,門市主檔!A:V,22,FALSE)</f>
        <v>2</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79" t="str">
        <f>IF(COUNTIFS(IM!$F:$F,A61,IM!$AD:$AD,"O",IM!$X:$X,"&gt;="&amp;$R$1, IM!$X:$X,"&lt;"&amp;$R$2)&gt;0,"V","")</f>
        <v>V</v>
      </c>
      <c r="D61" s="279" t="str">
        <f>IF(AND(C61&lt;&gt;"V", COUNTIFS(IM!$F:$F,A61, IM!$AD:$AD, "O", IM!$X:$X, "&gt;="&amp;$R$2, IM!$X:$X, "&lt;"&amp;$R$3)&gt;0), "V", "")</f>
        <v/>
      </c>
      <c r="E61" s="279" t="str">
        <f>IF(AND(C61&lt;&gt;"V",D61&lt;&gt;"V", COUNTIFS(IM!$F:$F, A61, IM!$AD:$AD, "O", IM!$X:$X, "&gt;="&amp;$R$3, IM!$X:$X, "&lt;"&amp;$R$5)&gt;0), "V", "")</f>
        <v/>
      </c>
      <c r="F61" s="201" t="str">
        <f t="shared" si="2"/>
        <v/>
      </c>
      <c r="G61" s="201" t="str">
        <f>IF(VLOOKUP(A61,門市主檔!A:O,15,FALSE)="完工已補裝", "完工已補裝",
IF(AND(VLOOKUP(A61,門市主檔!A:Z,26,FALSE)="STAR", VLOOKUP(A61,門市主檔!A:R,18,FALSE)=""),
    IF(OR(C61="V", D61="V", E61="V"), "已PM未更換", "未更換"),
    IF(VLOOKUP(A61,門市主檔!A:Z,26,FALSE)&lt;&gt;"STAR", "無專案", "已更換")
))</f>
        <v>已更換</v>
      </c>
      <c r="H61" s="263">
        <f>VLOOKUP(A61,門市主檔!A:V,22,FALSE)</f>
        <v>2</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79" t="str">
        <f>IF(COUNTIFS(IM!$F:$F,A62,IM!$AD:$AD,"O",IM!$X:$X,"&gt;="&amp;$R$1, IM!$X:$X,"&lt;"&amp;$R$2)&gt;0,"V","")</f>
        <v>V</v>
      </c>
      <c r="D62" s="279" t="str">
        <f>IF(AND(C62&lt;&gt;"V", COUNTIFS(IM!$F:$F,A62, IM!$AD:$AD, "O", IM!$X:$X, "&gt;="&amp;$R$2, IM!$X:$X, "&lt;"&amp;$R$3)&gt;0), "V", "")</f>
        <v/>
      </c>
      <c r="E62" s="279" t="str">
        <f>IF(AND(C62&lt;&gt;"V",D62&lt;&gt;"V", COUNTIFS(IM!$F:$F, A62, IM!$AD:$AD, "O", IM!$X:$X, "&gt;="&amp;$R$3, IM!$X:$X, "&lt;"&amp;$R$5)&gt;0), "V", "")</f>
        <v/>
      </c>
      <c r="F62" s="201" t="str">
        <f t="shared" si="2"/>
        <v/>
      </c>
      <c r="G62" s="201" t="str">
        <f>IF(VLOOKUP(A62,門市主檔!A:O,15,FALSE)="完工已補裝", "完工已補裝",
IF(AND(VLOOKUP(A62,門市主檔!A:Z,26,FALSE)="STAR", VLOOKUP(A62,門市主檔!A:R,18,FALSE)=""),
    IF(OR(C62="V", D62="V", E62="V"), "已PM未更換", "未更換"),
    IF(VLOOKUP(A62,門市主檔!A:Z,26,FALSE)&lt;&gt;"STAR", "無專案", "已更換")
))</f>
        <v>無專案</v>
      </c>
      <c r="H62" s="263">
        <f>VLOOKUP(A62,門市主檔!A:V,22,FALSE)</f>
        <v>0</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79" t="str">
        <f>IF(COUNTIFS(IM!$F:$F,A63,IM!$AD:$AD,"O",IM!$X:$X,"&gt;="&amp;$R$1, IM!$X:$X,"&lt;"&amp;$R$2)&gt;0,"V","")</f>
        <v>V</v>
      </c>
      <c r="D63" s="279" t="str">
        <f>IF(AND(C63&lt;&gt;"V", COUNTIFS(IM!$F:$F,A63, IM!$AD:$AD, "O", IM!$X:$X, "&gt;="&amp;$R$2, IM!$X:$X, "&lt;"&amp;$R$3)&gt;0), "V", "")</f>
        <v/>
      </c>
      <c r="E63" s="279" t="str">
        <f>IF(AND(C63&lt;&gt;"V",D63&lt;&gt;"V", COUNTIFS(IM!$F:$F, A63, IM!$AD:$AD, "O", IM!$X:$X, "&gt;="&amp;$R$3, IM!$X:$X, "&lt;"&amp;$R$5)&gt;0), "V", "")</f>
        <v/>
      </c>
      <c r="F63" s="201" t="str">
        <f t="shared" si="2"/>
        <v/>
      </c>
      <c r="G63" s="201" t="str">
        <f>IF(VLOOKUP(A63,門市主檔!A:O,15,FALSE)="完工已補裝", "完工已補裝",
IF(AND(VLOOKUP(A63,門市主檔!A:Z,26,FALSE)="STAR", VLOOKUP(A63,門市主檔!A:R,18,FALSE)=""),
    IF(OR(C63="V", D63="V", E63="V"), "已PM未更換", "未更換"),
    IF(VLOOKUP(A63,門市主檔!A:Z,26,FALSE)&lt;&gt;"STAR", "無專案", "已更換")
))</f>
        <v>已更換</v>
      </c>
      <c r="H63" s="263">
        <f>VLOOKUP(A63,門市主檔!A:V,22,FALSE)</f>
        <v>2</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79" t="str">
        <f>IF(COUNTIFS(IM!$F:$F,A64,IM!$AD:$AD,"O",IM!$X:$X,"&gt;="&amp;$R$1, IM!$X:$X,"&lt;"&amp;$R$2)&gt;0,"V","")</f>
        <v>V</v>
      </c>
      <c r="D64" s="279" t="str">
        <f>IF(AND(C64&lt;&gt;"V", COUNTIFS(IM!$F:$F,A64, IM!$AD:$AD, "O", IM!$X:$X, "&gt;="&amp;$R$2, IM!$X:$X, "&lt;"&amp;$R$3)&gt;0), "V", "")</f>
        <v/>
      </c>
      <c r="E64" s="279" t="str">
        <f>IF(AND(C64&lt;&gt;"V",D64&lt;&gt;"V", COUNTIFS(IM!$F:$F, A64, IM!$AD:$AD, "O", IM!$X:$X, "&gt;="&amp;$R$3, IM!$X:$X, "&lt;"&amp;$R$5)&gt;0), "V", "")</f>
        <v/>
      </c>
      <c r="F64" s="201" t="str">
        <f t="shared" si="2"/>
        <v/>
      </c>
      <c r="G64" s="201" t="str">
        <f>IF(VLOOKUP(A64,門市主檔!A:O,15,FALSE)="完工已補裝", "完工已補裝",
IF(AND(VLOOKUP(A64,門市主檔!A:Z,26,FALSE)="STAR", VLOOKUP(A64,門市主檔!A:R,18,FALSE)=""),
    IF(OR(C64="V", D64="V", E64="V"), "已PM未更換", "未更換"),
    IF(VLOOKUP(A64,門市主檔!A:Z,26,FALSE)&lt;&gt;"STAR", "無專案", "已更換")
))</f>
        <v>無專案</v>
      </c>
      <c r="H64" s="263">
        <f>VLOOKUP(A64,門市主檔!A:V,22,FALSE)</f>
        <v>0</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83"/>
      <c r="D65" s="283"/>
      <c r="E65" s="283"/>
      <c r="F65" s="196"/>
      <c r="G65" s="196"/>
      <c r="H65" s="196"/>
      <c r="I65" s="196"/>
      <c r="J65" s="196"/>
      <c r="K65" s="196"/>
      <c r="L65" s="196"/>
      <c r="M65" s="196"/>
      <c r="N65" s="196"/>
      <c r="O65" s="196"/>
      <c r="P65" s="196"/>
      <c r="Q65" s="196"/>
    </row>
    <row r="66" spans="1:17" ht="15.75" customHeight="1">
      <c r="A66" s="196"/>
      <c r="B66" s="196"/>
      <c r="C66" s="283"/>
      <c r="D66" s="283"/>
      <c r="E66" s="283"/>
      <c r="F66" s="196"/>
      <c r="G66" s="196"/>
      <c r="H66" s="196"/>
      <c r="I66" s="196"/>
      <c r="J66" s="196"/>
      <c r="K66" s="196"/>
      <c r="L66" s="196"/>
      <c r="M66" s="196"/>
      <c r="N66" s="196"/>
      <c r="O66" s="196"/>
      <c r="P66" s="196"/>
      <c r="Q66" s="196"/>
    </row>
    <row r="67" spans="1:17" ht="15.75" customHeight="1">
      <c r="A67" s="196"/>
      <c r="B67" s="196"/>
      <c r="C67" s="283"/>
      <c r="D67" s="283"/>
      <c r="E67" s="283"/>
      <c r="F67" s="196"/>
      <c r="G67" s="196"/>
      <c r="H67" s="196"/>
      <c r="I67" s="196"/>
      <c r="J67" s="196"/>
      <c r="K67" s="196"/>
      <c r="L67" s="196"/>
      <c r="M67" s="196"/>
      <c r="N67" s="196"/>
      <c r="O67" s="196"/>
      <c r="P67" s="196"/>
      <c r="Q67" s="196"/>
    </row>
    <row r="68" spans="1:17" ht="15.75" customHeight="1">
      <c r="A68" s="196"/>
      <c r="B68" s="196"/>
      <c r="C68" s="283"/>
      <c r="D68" s="283"/>
      <c r="E68" s="283"/>
      <c r="F68" s="196"/>
      <c r="G68" s="196"/>
      <c r="H68" s="196"/>
      <c r="I68" s="196"/>
      <c r="J68" s="196"/>
      <c r="K68" s="196"/>
      <c r="L68" s="196"/>
      <c r="M68" s="196"/>
      <c r="N68" s="196"/>
      <c r="O68" s="196"/>
      <c r="P68" s="196"/>
      <c r="Q68" s="196"/>
    </row>
    <row r="69" spans="1:17" ht="15.75" customHeight="1">
      <c r="A69" s="196"/>
      <c r="B69" s="196"/>
      <c r="C69" s="283"/>
      <c r="D69" s="283"/>
      <c r="E69" s="283"/>
      <c r="F69" s="196"/>
      <c r="G69" s="196"/>
      <c r="H69" s="196"/>
      <c r="I69" s="196"/>
      <c r="J69" s="196"/>
      <c r="K69" s="196"/>
      <c r="L69" s="196"/>
      <c r="M69" s="196"/>
      <c r="N69" s="196"/>
      <c r="O69" s="196"/>
      <c r="P69" s="196"/>
      <c r="Q69" s="196"/>
    </row>
    <row r="70" spans="1:17" ht="15.75" customHeight="1">
      <c r="A70" s="196"/>
      <c r="B70" s="196"/>
      <c r="C70" s="283"/>
      <c r="D70" s="283"/>
      <c r="E70" s="283"/>
      <c r="F70" s="196"/>
      <c r="G70" s="196"/>
      <c r="H70" s="196"/>
      <c r="I70" s="196"/>
      <c r="J70" s="196"/>
      <c r="K70" s="196"/>
      <c r="L70" s="196"/>
      <c r="M70" s="196"/>
      <c r="N70" s="196"/>
      <c r="O70" s="196"/>
      <c r="P70" s="196"/>
      <c r="Q70" s="196"/>
    </row>
    <row r="71" spans="1:17" ht="15.75" customHeight="1">
      <c r="A71" s="196"/>
      <c r="B71" s="196"/>
      <c r="C71" s="283"/>
      <c r="D71" s="283"/>
      <c r="E71" s="283"/>
      <c r="F71" s="196"/>
      <c r="G71" s="196"/>
      <c r="H71" s="196"/>
      <c r="I71" s="196"/>
      <c r="J71" s="196"/>
      <c r="K71" s="196"/>
      <c r="L71" s="196"/>
      <c r="M71" s="196"/>
      <c r="N71" s="196"/>
      <c r="O71" s="196"/>
      <c r="P71" s="196"/>
      <c r="Q71" s="196"/>
    </row>
    <row r="72" spans="1:17" ht="15.75" customHeight="1">
      <c r="A72" s="196"/>
      <c r="B72" s="196"/>
      <c r="C72" s="283"/>
      <c r="D72" s="283"/>
      <c r="E72" s="283"/>
      <c r="F72" s="196"/>
      <c r="G72" s="196"/>
      <c r="H72" s="196"/>
      <c r="I72" s="196"/>
      <c r="J72" s="196"/>
      <c r="K72" s="196"/>
      <c r="L72" s="196"/>
      <c r="M72" s="196"/>
      <c r="N72" s="196"/>
      <c r="O72" s="196"/>
      <c r="P72" s="196"/>
      <c r="Q72" s="196"/>
    </row>
    <row r="73" spans="1:17" ht="15.75" customHeight="1">
      <c r="A73" s="196"/>
      <c r="B73" s="196"/>
      <c r="C73" s="283"/>
      <c r="D73" s="283"/>
      <c r="E73" s="283"/>
      <c r="F73" s="196"/>
      <c r="G73" s="196"/>
      <c r="H73" s="196"/>
      <c r="I73" s="196"/>
      <c r="J73" s="196"/>
      <c r="K73" s="196"/>
      <c r="L73" s="196"/>
      <c r="M73" s="196"/>
      <c r="N73" s="196"/>
      <c r="O73" s="196"/>
      <c r="P73" s="196"/>
      <c r="Q73" s="196"/>
    </row>
    <row r="74" spans="1:17" ht="15.75" customHeight="1">
      <c r="A74" s="196"/>
      <c r="B74" s="196"/>
      <c r="C74" s="283"/>
      <c r="D74" s="283"/>
      <c r="E74" s="283"/>
      <c r="F74" s="196"/>
      <c r="G74" s="196"/>
      <c r="H74" s="196"/>
      <c r="I74" s="196"/>
      <c r="J74" s="196"/>
      <c r="K74" s="196"/>
      <c r="L74" s="196"/>
      <c r="M74" s="196"/>
      <c r="N74" s="196"/>
      <c r="O74" s="196"/>
      <c r="P74" s="196"/>
      <c r="Q74" s="196"/>
    </row>
    <row r="75" spans="1:17" ht="15.75" customHeight="1">
      <c r="A75" s="196"/>
      <c r="B75" s="196"/>
      <c r="C75" s="283"/>
      <c r="D75" s="283"/>
      <c r="E75" s="283"/>
      <c r="F75" s="196"/>
      <c r="G75" s="196"/>
      <c r="H75" s="196"/>
      <c r="I75" s="196"/>
      <c r="J75" s="196"/>
      <c r="K75" s="196"/>
      <c r="L75" s="196"/>
      <c r="M75" s="196"/>
      <c r="N75" s="196"/>
      <c r="O75" s="196"/>
      <c r="P75" s="196"/>
      <c r="Q75" s="196"/>
    </row>
    <row r="76" spans="1:17" ht="15.75" customHeight="1">
      <c r="A76" s="196"/>
      <c r="B76" s="196"/>
      <c r="C76" s="283"/>
      <c r="D76" s="283"/>
      <c r="E76" s="283"/>
      <c r="F76" s="196"/>
      <c r="G76" s="196"/>
      <c r="H76" s="196"/>
      <c r="I76" s="196"/>
      <c r="J76" s="196"/>
      <c r="K76" s="196"/>
      <c r="L76" s="196"/>
      <c r="M76" s="196"/>
      <c r="N76" s="196"/>
      <c r="O76" s="196"/>
      <c r="P76" s="196"/>
      <c r="Q76" s="196"/>
    </row>
    <row r="77" spans="1:17" ht="15.75" customHeight="1">
      <c r="A77" s="196"/>
      <c r="B77" s="196"/>
      <c r="C77" s="283"/>
      <c r="D77" s="283"/>
      <c r="E77" s="283"/>
      <c r="F77" s="196"/>
      <c r="G77" s="196"/>
      <c r="H77" s="196"/>
      <c r="I77" s="196"/>
      <c r="J77" s="196"/>
      <c r="K77" s="196"/>
      <c r="L77" s="196"/>
      <c r="M77" s="196"/>
      <c r="N77" s="196"/>
      <c r="O77" s="196"/>
      <c r="P77" s="196"/>
      <c r="Q77" s="196"/>
    </row>
    <row r="78" spans="1:17" ht="15.75" customHeight="1">
      <c r="A78" s="196"/>
      <c r="B78" s="196"/>
      <c r="C78" s="283"/>
      <c r="D78" s="283"/>
      <c r="E78" s="283"/>
      <c r="F78" s="196"/>
      <c r="G78" s="196"/>
      <c r="H78" s="196"/>
      <c r="I78" s="196"/>
      <c r="J78" s="196"/>
      <c r="K78" s="196"/>
      <c r="L78" s="196"/>
      <c r="M78" s="196"/>
      <c r="N78" s="196"/>
      <c r="O78" s="196"/>
      <c r="P78" s="196"/>
      <c r="Q78" s="196"/>
    </row>
    <row r="79" spans="1:17" ht="15.75" customHeight="1">
      <c r="A79" s="196"/>
      <c r="B79" s="196"/>
      <c r="C79" s="283"/>
      <c r="D79" s="283"/>
      <c r="E79" s="283"/>
      <c r="F79" s="196"/>
      <c r="G79" s="196"/>
      <c r="H79" s="196"/>
      <c r="I79" s="196"/>
      <c r="J79" s="196"/>
      <c r="K79" s="196"/>
      <c r="L79" s="196"/>
      <c r="M79" s="196"/>
      <c r="N79" s="196"/>
      <c r="O79" s="196"/>
      <c r="P79" s="196"/>
      <c r="Q79" s="196"/>
    </row>
    <row r="80" spans="1:17" ht="15.75" customHeight="1">
      <c r="A80" s="196"/>
      <c r="B80" s="196"/>
      <c r="C80" s="283"/>
      <c r="D80" s="283"/>
      <c r="E80" s="283"/>
      <c r="F80" s="196"/>
      <c r="G80" s="196"/>
      <c r="H80" s="196"/>
      <c r="I80" s="196"/>
      <c r="J80" s="196"/>
      <c r="K80" s="196"/>
      <c r="L80" s="196"/>
      <c r="M80" s="196"/>
      <c r="N80" s="196"/>
      <c r="O80" s="196"/>
      <c r="P80" s="196"/>
      <c r="Q80" s="196"/>
    </row>
    <row r="81" spans="1:17" ht="15.75" customHeight="1">
      <c r="A81" s="196"/>
      <c r="B81" s="196"/>
      <c r="C81" s="283"/>
      <c r="D81" s="283"/>
      <c r="E81" s="283"/>
      <c r="F81" s="196"/>
      <c r="G81" s="196"/>
      <c r="H81" s="196"/>
      <c r="I81" s="196"/>
      <c r="J81" s="196"/>
      <c r="K81" s="196"/>
      <c r="L81" s="196"/>
      <c r="M81" s="196"/>
      <c r="N81" s="196"/>
      <c r="O81" s="196"/>
      <c r="P81" s="196"/>
      <c r="Q81" s="196"/>
    </row>
    <row r="82" spans="1:17" ht="15.75" customHeight="1">
      <c r="A82" s="196"/>
      <c r="B82" s="196"/>
      <c r="C82" s="283"/>
      <c r="D82" s="283"/>
      <c r="E82" s="283"/>
      <c r="F82" s="196"/>
      <c r="G82" s="196"/>
      <c r="H82" s="196"/>
      <c r="I82" s="196"/>
      <c r="J82" s="196"/>
      <c r="K82" s="196"/>
      <c r="L82" s="196"/>
      <c r="M82" s="196"/>
      <c r="N82" s="196"/>
      <c r="O82" s="196"/>
      <c r="P82" s="196"/>
      <c r="Q82" s="196"/>
    </row>
    <row r="83" spans="1:17" ht="15.75" customHeight="1">
      <c r="A83" s="196"/>
      <c r="B83" s="196"/>
      <c r="C83" s="283"/>
      <c r="D83" s="283"/>
      <c r="E83" s="283"/>
      <c r="F83" s="196"/>
      <c r="G83" s="196"/>
      <c r="H83" s="196"/>
      <c r="I83" s="196"/>
      <c r="J83" s="196"/>
      <c r="K83" s="196"/>
      <c r="L83" s="196"/>
      <c r="M83" s="196"/>
      <c r="N83" s="196"/>
      <c r="O83" s="196"/>
      <c r="P83" s="196"/>
      <c r="Q83" s="196"/>
    </row>
    <row r="84" spans="1:17" ht="15.75" customHeight="1">
      <c r="A84" s="196"/>
      <c r="B84" s="196"/>
      <c r="C84" s="283"/>
      <c r="D84" s="283"/>
      <c r="E84" s="283"/>
      <c r="F84" s="196"/>
      <c r="G84" s="196"/>
      <c r="H84" s="196"/>
      <c r="I84" s="196"/>
      <c r="J84" s="196"/>
      <c r="K84" s="196"/>
      <c r="L84" s="196"/>
      <c r="M84" s="196"/>
      <c r="N84" s="196"/>
      <c r="O84" s="196"/>
      <c r="P84" s="196"/>
      <c r="Q84" s="196"/>
    </row>
    <row r="85" spans="1:17" ht="15.75" customHeight="1">
      <c r="A85" s="196"/>
      <c r="B85" s="196"/>
      <c r="C85" s="283"/>
      <c r="D85" s="283"/>
      <c r="E85" s="283"/>
      <c r="F85" s="196"/>
      <c r="G85" s="196"/>
      <c r="H85" s="196"/>
      <c r="I85" s="196"/>
      <c r="J85" s="196"/>
      <c r="K85" s="196"/>
      <c r="L85" s="196"/>
      <c r="M85" s="196"/>
      <c r="N85" s="196"/>
      <c r="O85" s="196"/>
      <c r="P85" s="196"/>
      <c r="Q85" s="196"/>
    </row>
    <row r="86" spans="1:17" ht="15.75" customHeight="1">
      <c r="A86" s="196"/>
      <c r="B86" s="196"/>
      <c r="C86" s="283"/>
      <c r="D86" s="283"/>
      <c r="E86" s="283"/>
      <c r="F86" s="196"/>
      <c r="G86" s="196"/>
      <c r="H86" s="196"/>
      <c r="I86" s="196"/>
      <c r="J86" s="196"/>
      <c r="K86" s="196"/>
      <c r="L86" s="196"/>
      <c r="M86" s="196"/>
      <c r="N86" s="196"/>
      <c r="O86" s="196"/>
      <c r="P86" s="196"/>
      <c r="Q86" s="196"/>
    </row>
    <row r="87" spans="1:17" ht="15.75" customHeight="1">
      <c r="A87" s="196"/>
      <c r="B87" s="196"/>
      <c r="C87" s="283"/>
      <c r="D87" s="283"/>
      <c r="E87" s="283"/>
      <c r="F87" s="196"/>
      <c r="G87" s="196"/>
      <c r="H87" s="196"/>
      <c r="I87" s="196"/>
      <c r="J87" s="196"/>
      <c r="K87" s="196"/>
      <c r="L87" s="196"/>
      <c r="M87" s="196"/>
      <c r="N87" s="196"/>
      <c r="O87" s="196"/>
      <c r="P87" s="196"/>
      <c r="Q87" s="196"/>
    </row>
    <row r="88" spans="1:17" ht="15.75" customHeight="1">
      <c r="A88" s="196"/>
      <c r="B88" s="196"/>
      <c r="C88" s="283"/>
      <c r="D88" s="283"/>
      <c r="E88" s="283"/>
      <c r="F88" s="196"/>
      <c r="G88" s="196"/>
      <c r="H88" s="196"/>
      <c r="I88" s="196"/>
      <c r="J88" s="196"/>
      <c r="K88" s="196"/>
      <c r="L88" s="196"/>
      <c r="M88" s="196"/>
      <c r="N88" s="196"/>
      <c r="O88" s="196"/>
      <c r="P88" s="196"/>
      <c r="Q88" s="196"/>
    </row>
    <row r="89" spans="1:17" ht="15.75" customHeight="1">
      <c r="A89" s="196"/>
      <c r="B89" s="196"/>
      <c r="C89" s="283"/>
      <c r="D89" s="283"/>
      <c r="E89" s="283"/>
      <c r="F89" s="196"/>
      <c r="G89" s="196"/>
      <c r="H89" s="196"/>
      <c r="I89" s="196"/>
      <c r="J89" s="196"/>
      <c r="K89" s="196"/>
      <c r="L89" s="196"/>
      <c r="M89" s="196"/>
      <c r="N89" s="196"/>
      <c r="O89" s="196"/>
      <c r="P89" s="196"/>
      <c r="Q89" s="196"/>
    </row>
    <row r="90" spans="1:17" ht="15.75" customHeight="1">
      <c r="A90" s="196"/>
      <c r="B90" s="196"/>
      <c r="C90" s="283"/>
      <c r="D90" s="283"/>
      <c r="E90" s="283"/>
      <c r="F90" s="196"/>
      <c r="G90" s="196"/>
      <c r="H90" s="196"/>
      <c r="I90" s="196"/>
      <c r="J90" s="196"/>
      <c r="K90" s="196"/>
      <c r="L90" s="196"/>
      <c r="M90" s="196"/>
      <c r="N90" s="196"/>
      <c r="O90" s="196"/>
      <c r="P90" s="196"/>
      <c r="Q90" s="196"/>
    </row>
    <row r="91" spans="1:17" ht="15.75" customHeight="1">
      <c r="A91" s="196"/>
      <c r="B91" s="196"/>
      <c r="C91" s="283"/>
      <c r="D91" s="283"/>
      <c r="E91" s="283"/>
      <c r="F91" s="196"/>
      <c r="G91" s="196"/>
      <c r="H91" s="196"/>
      <c r="I91" s="196"/>
      <c r="J91" s="196"/>
      <c r="K91" s="196"/>
      <c r="L91" s="196"/>
      <c r="M91" s="196"/>
      <c r="N91" s="196"/>
      <c r="O91" s="196"/>
      <c r="P91" s="196"/>
      <c r="Q91" s="196"/>
    </row>
    <row r="92" spans="1:17" ht="15.75" customHeight="1">
      <c r="A92" s="196"/>
      <c r="B92" s="196"/>
      <c r="C92" s="283"/>
      <c r="D92" s="283"/>
      <c r="E92" s="283"/>
      <c r="F92" s="196"/>
      <c r="G92" s="196"/>
      <c r="H92" s="196"/>
      <c r="I92" s="196"/>
      <c r="J92" s="196"/>
      <c r="K92" s="196"/>
      <c r="L92" s="196"/>
      <c r="M92" s="196"/>
      <c r="N92" s="196"/>
      <c r="O92" s="196"/>
      <c r="P92" s="196"/>
      <c r="Q92" s="196"/>
    </row>
    <row r="93" spans="1:17" ht="15.75" customHeight="1">
      <c r="A93" s="196"/>
      <c r="B93" s="196"/>
      <c r="C93" s="283"/>
      <c r="D93" s="283"/>
      <c r="E93" s="283"/>
      <c r="F93" s="196"/>
      <c r="G93" s="196"/>
      <c r="H93" s="196"/>
      <c r="I93" s="196"/>
      <c r="J93" s="196"/>
      <c r="K93" s="196"/>
      <c r="L93" s="196"/>
      <c r="M93" s="196"/>
      <c r="N93" s="196"/>
      <c r="O93" s="196"/>
      <c r="P93" s="196"/>
      <c r="Q93" s="196"/>
    </row>
    <row r="94" spans="1:17" ht="15.75" customHeight="1">
      <c r="A94" s="196"/>
      <c r="B94" s="196"/>
      <c r="C94" s="283"/>
      <c r="D94" s="283"/>
      <c r="E94" s="283"/>
      <c r="F94" s="196"/>
      <c r="G94" s="196"/>
      <c r="H94" s="196"/>
      <c r="I94" s="196"/>
      <c r="J94" s="196"/>
      <c r="K94" s="196"/>
      <c r="L94" s="196"/>
      <c r="M94" s="196"/>
      <c r="N94" s="196"/>
      <c r="O94" s="196"/>
      <c r="P94" s="196"/>
      <c r="Q94" s="196"/>
    </row>
    <row r="95" spans="1:17" ht="15.75" customHeight="1">
      <c r="A95" s="196"/>
      <c r="B95" s="196"/>
      <c r="C95" s="283"/>
      <c r="D95" s="283"/>
      <c r="E95" s="283"/>
      <c r="F95" s="196"/>
      <c r="G95" s="196"/>
      <c r="H95" s="196"/>
      <c r="I95" s="196"/>
      <c r="J95" s="196"/>
      <c r="K95" s="196"/>
      <c r="L95" s="196"/>
      <c r="M95" s="196"/>
      <c r="N95" s="196"/>
      <c r="O95" s="196"/>
      <c r="P95" s="196"/>
      <c r="Q95" s="196"/>
    </row>
    <row r="96" spans="1:17" ht="15.75" customHeight="1">
      <c r="A96" s="196"/>
      <c r="B96" s="196"/>
      <c r="C96" s="283"/>
      <c r="D96" s="283"/>
      <c r="E96" s="283"/>
      <c r="F96" s="196"/>
      <c r="G96" s="196"/>
      <c r="H96" s="196"/>
      <c r="I96" s="196"/>
      <c r="J96" s="196"/>
      <c r="K96" s="196"/>
      <c r="L96" s="196"/>
      <c r="M96" s="196"/>
      <c r="N96" s="196"/>
      <c r="O96" s="196"/>
      <c r="P96" s="196"/>
      <c r="Q96" s="196"/>
    </row>
    <row r="97" spans="1:17" ht="15.75" customHeight="1">
      <c r="A97" s="196"/>
      <c r="B97" s="196"/>
      <c r="C97" s="283"/>
      <c r="D97" s="283"/>
      <c r="E97" s="283"/>
      <c r="F97" s="196"/>
      <c r="G97" s="196"/>
      <c r="H97" s="196"/>
      <c r="I97" s="196"/>
      <c r="J97" s="196"/>
      <c r="K97" s="196"/>
      <c r="L97" s="196"/>
      <c r="M97" s="196"/>
      <c r="N97" s="196"/>
      <c r="O97" s="196"/>
      <c r="P97" s="196"/>
      <c r="Q97" s="196"/>
    </row>
    <row r="98" spans="1:17" ht="15.75" customHeight="1">
      <c r="A98" s="196"/>
      <c r="B98" s="196"/>
      <c r="C98" s="283"/>
      <c r="D98" s="283"/>
      <c r="E98" s="283"/>
      <c r="F98" s="196"/>
      <c r="G98" s="196"/>
      <c r="H98" s="196"/>
      <c r="I98" s="196"/>
      <c r="J98" s="196"/>
      <c r="K98" s="196"/>
      <c r="L98" s="196"/>
      <c r="M98" s="196"/>
      <c r="N98" s="196"/>
      <c r="O98" s="196"/>
      <c r="P98" s="196"/>
      <c r="Q98" s="196"/>
    </row>
    <row r="99" spans="1:17" ht="15.75" customHeight="1">
      <c r="A99" s="196"/>
      <c r="B99" s="196"/>
      <c r="C99" s="283"/>
      <c r="D99" s="283"/>
      <c r="E99" s="283"/>
      <c r="F99" s="196"/>
      <c r="G99" s="196"/>
      <c r="H99" s="196"/>
      <c r="I99" s="196"/>
      <c r="J99" s="196"/>
      <c r="K99" s="196"/>
      <c r="L99" s="196"/>
      <c r="M99" s="196"/>
      <c r="N99" s="196"/>
      <c r="O99" s="196"/>
      <c r="P99" s="196"/>
      <c r="Q99" s="196"/>
    </row>
    <row r="100" spans="1:17" ht="15.75" customHeight="1">
      <c r="A100" s="196"/>
      <c r="B100" s="196"/>
      <c r="C100" s="283"/>
      <c r="D100" s="283"/>
      <c r="E100" s="283"/>
      <c r="F100" s="196"/>
      <c r="G100" s="196"/>
      <c r="H100" s="196"/>
      <c r="I100" s="196"/>
      <c r="J100" s="196"/>
      <c r="K100" s="196"/>
      <c r="L100" s="196"/>
      <c r="M100" s="196"/>
      <c r="N100" s="196"/>
      <c r="O100" s="196"/>
      <c r="P100" s="196"/>
      <c r="Q100" s="196"/>
    </row>
    <row r="101" spans="1:17" ht="15.75" customHeight="1">
      <c r="A101" s="196"/>
      <c r="B101" s="196"/>
      <c r="C101" s="283"/>
      <c r="D101" s="283"/>
      <c r="E101" s="283"/>
      <c r="F101" s="196"/>
      <c r="G101" s="196"/>
      <c r="H101" s="196"/>
      <c r="I101" s="196"/>
      <c r="J101" s="196"/>
      <c r="K101" s="196"/>
      <c r="L101" s="196"/>
      <c r="M101" s="196"/>
      <c r="N101" s="196"/>
      <c r="O101" s="196"/>
      <c r="P101" s="196"/>
      <c r="Q101" s="196"/>
    </row>
    <row r="102" spans="1:17" ht="15.75" customHeight="1">
      <c r="A102" s="196"/>
      <c r="B102" s="196"/>
      <c r="C102" s="283"/>
      <c r="D102" s="283"/>
      <c r="E102" s="283"/>
      <c r="F102" s="196"/>
      <c r="G102" s="196"/>
      <c r="H102" s="196"/>
      <c r="I102" s="196"/>
      <c r="J102" s="196"/>
      <c r="K102" s="196"/>
      <c r="L102" s="196"/>
      <c r="M102" s="196"/>
      <c r="N102" s="196"/>
      <c r="O102" s="196"/>
      <c r="P102" s="196"/>
      <c r="Q102" s="196"/>
    </row>
    <row r="103" spans="1:17" ht="15.75" customHeight="1">
      <c r="A103" s="196"/>
      <c r="B103" s="196"/>
      <c r="C103" s="283"/>
      <c r="D103" s="283"/>
      <c r="E103" s="283"/>
      <c r="F103" s="196"/>
      <c r="G103" s="196"/>
      <c r="H103" s="196"/>
      <c r="I103" s="196"/>
      <c r="J103" s="196"/>
      <c r="K103" s="196"/>
      <c r="L103" s="196"/>
      <c r="M103" s="196"/>
      <c r="N103" s="196"/>
      <c r="O103" s="196"/>
      <c r="P103" s="196"/>
      <c r="Q103" s="196"/>
    </row>
    <row r="104" spans="1:17" ht="15.75" customHeight="1">
      <c r="A104" s="196"/>
      <c r="B104" s="196"/>
      <c r="C104" s="283"/>
      <c r="D104" s="283"/>
      <c r="E104" s="283"/>
      <c r="F104" s="196"/>
      <c r="G104" s="196"/>
      <c r="H104" s="196"/>
      <c r="I104" s="196"/>
      <c r="J104" s="196"/>
      <c r="K104" s="196"/>
      <c r="L104" s="196"/>
      <c r="M104" s="196"/>
      <c r="N104" s="196"/>
      <c r="O104" s="196"/>
      <c r="P104" s="196"/>
      <c r="Q104" s="196"/>
    </row>
    <row r="105" spans="1:17" ht="15.75" customHeight="1">
      <c r="A105" s="196"/>
      <c r="B105" s="196"/>
      <c r="C105" s="283"/>
      <c r="D105" s="283"/>
      <c r="E105" s="283"/>
      <c r="F105" s="196"/>
      <c r="G105" s="196"/>
      <c r="H105" s="196"/>
      <c r="I105" s="196"/>
      <c r="J105" s="196"/>
      <c r="K105" s="196"/>
      <c r="L105" s="196"/>
      <c r="M105" s="196"/>
      <c r="N105" s="196"/>
      <c r="O105" s="196"/>
      <c r="P105" s="196"/>
      <c r="Q105" s="196"/>
    </row>
    <row r="106" spans="1:17" ht="15.75" customHeight="1">
      <c r="A106" s="196"/>
      <c r="B106" s="196"/>
      <c r="C106" s="283"/>
      <c r="D106" s="283"/>
      <c r="E106" s="283"/>
      <c r="F106" s="196"/>
      <c r="G106" s="196"/>
      <c r="H106" s="196"/>
      <c r="I106" s="196"/>
      <c r="J106" s="196"/>
      <c r="K106" s="196"/>
      <c r="L106" s="196"/>
      <c r="M106" s="196"/>
      <c r="N106" s="196"/>
      <c r="O106" s="196"/>
      <c r="P106" s="196"/>
      <c r="Q106" s="196"/>
    </row>
    <row r="107" spans="1:17" ht="15.75" customHeight="1">
      <c r="A107" s="196"/>
      <c r="B107" s="196"/>
      <c r="C107" s="283"/>
      <c r="D107" s="283"/>
      <c r="E107" s="283"/>
      <c r="F107" s="196"/>
      <c r="G107" s="196"/>
      <c r="H107" s="196"/>
      <c r="I107" s="196"/>
      <c r="J107" s="196"/>
      <c r="K107" s="196"/>
      <c r="L107" s="196"/>
      <c r="M107" s="196"/>
      <c r="N107" s="196"/>
      <c r="O107" s="196"/>
      <c r="P107" s="196"/>
      <c r="Q107" s="196"/>
    </row>
    <row r="108" spans="1:17" ht="15.75" customHeight="1">
      <c r="A108" s="196"/>
      <c r="B108" s="196"/>
      <c r="C108" s="283"/>
      <c r="D108" s="283"/>
      <c r="E108" s="283"/>
      <c r="F108" s="196"/>
      <c r="G108" s="196"/>
      <c r="H108" s="196"/>
      <c r="I108" s="196"/>
      <c r="J108" s="196"/>
      <c r="K108" s="196"/>
      <c r="L108" s="196"/>
      <c r="M108" s="196"/>
      <c r="N108" s="196"/>
      <c r="O108" s="196"/>
      <c r="P108" s="196"/>
      <c r="Q108" s="196"/>
    </row>
    <row r="109" spans="1:17" ht="15.75" customHeight="1">
      <c r="A109" s="196"/>
      <c r="B109" s="196"/>
      <c r="C109" s="283"/>
      <c r="D109" s="283"/>
      <c r="E109" s="283"/>
      <c r="F109" s="196"/>
      <c r="G109" s="196"/>
      <c r="H109" s="196"/>
      <c r="I109" s="196"/>
      <c r="J109" s="196"/>
      <c r="K109" s="196"/>
      <c r="L109" s="196"/>
      <c r="M109" s="196"/>
      <c r="N109" s="196"/>
      <c r="O109" s="196"/>
      <c r="P109" s="196"/>
      <c r="Q109" s="196"/>
    </row>
    <row r="110" spans="1:17" ht="15.75" customHeight="1">
      <c r="A110" s="196"/>
      <c r="B110" s="196"/>
      <c r="C110" s="283"/>
      <c r="D110" s="283"/>
      <c r="E110" s="283"/>
      <c r="F110" s="196"/>
      <c r="G110" s="196"/>
      <c r="H110" s="196"/>
      <c r="I110" s="196"/>
      <c r="J110" s="196"/>
      <c r="K110" s="196"/>
      <c r="L110" s="196"/>
      <c r="M110" s="196"/>
      <c r="N110" s="196"/>
      <c r="O110" s="196"/>
      <c r="P110" s="196"/>
      <c r="Q110" s="196"/>
    </row>
    <row r="111" spans="1:17" ht="15.75" customHeight="1">
      <c r="A111" s="196"/>
      <c r="B111" s="196"/>
      <c r="C111" s="283"/>
      <c r="D111" s="283"/>
      <c r="E111" s="283"/>
      <c r="F111" s="196"/>
      <c r="G111" s="196"/>
      <c r="H111" s="196"/>
      <c r="I111" s="196"/>
      <c r="J111" s="196"/>
      <c r="K111" s="196"/>
      <c r="L111" s="196"/>
      <c r="M111" s="196"/>
      <c r="N111" s="196"/>
      <c r="O111" s="196"/>
      <c r="P111" s="196"/>
      <c r="Q111" s="196"/>
    </row>
    <row r="112" spans="1:17" ht="15.75" customHeight="1">
      <c r="A112" s="196"/>
      <c r="B112" s="196"/>
      <c r="C112" s="283"/>
      <c r="D112" s="283"/>
      <c r="E112" s="283"/>
      <c r="F112" s="196"/>
      <c r="G112" s="196"/>
      <c r="H112" s="196"/>
      <c r="I112" s="196"/>
      <c r="J112" s="196"/>
      <c r="K112" s="196"/>
      <c r="L112" s="196"/>
      <c r="M112" s="196"/>
      <c r="N112" s="196"/>
      <c r="O112" s="196"/>
      <c r="P112" s="196"/>
      <c r="Q112" s="196"/>
    </row>
    <row r="113" spans="1:17" ht="15.75" customHeight="1">
      <c r="A113" s="196"/>
      <c r="B113" s="196"/>
      <c r="C113" s="283"/>
      <c r="D113" s="283"/>
      <c r="E113" s="283"/>
      <c r="F113" s="196"/>
      <c r="G113" s="196"/>
      <c r="H113" s="196"/>
      <c r="I113" s="196"/>
      <c r="J113" s="196"/>
      <c r="K113" s="196"/>
      <c r="L113" s="196"/>
      <c r="M113" s="196"/>
      <c r="N113" s="196"/>
      <c r="O113" s="196"/>
      <c r="P113" s="196"/>
      <c r="Q113" s="196"/>
    </row>
    <row r="114" spans="1:17" ht="15.75" customHeight="1">
      <c r="A114" s="196"/>
      <c r="B114" s="196"/>
      <c r="C114" s="283"/>
      <c r="D114" s="283"/>
      <c r="E114" s="283"/>
      <c r="F114" s="196"/>
      <c r="G114" s="196"/>
      <c r="H114" s="196"/>
      <c r="I114" s="196"/>
      <c r="J114" s="196"/>
      <c r="K114" s="196"/>
      <c r="L114" s="196"/>
      <c r="M114" s="196"/>
      <c r="N114" s="196"/>
      <c r="O114" s="196"/>
      <c r="P114" s="196"/>
      <c r="Q114" s="196"/>
    </row>
    <row r="115" spans="1:17" ht="15.75" customHeight="1">
      <c r="A115" s="196"/>
      <c r="B115" s="196"/>
      <c r="C115" s="283"/>
      <c r="D115" s="283"/>
      <c r="E115" s="283"/>
      <c r="F115" s="196"/>
      <c r="G115" s="196"/>
      <c r="H115" s="196"/>
      <c r="I115" s="196"/>
      <c r="J115" s="196"/>
      <c r="K115" s="196"/>
      <c r="L115" s="196"/>
      <c r="M115" s="196"/>
      <c r="N115" s="196"/>
      <c r="O115" s="196"/>
      <c r="P115" s="196"/>
      <c r="Q115" s="196"/>
    </row>
    <row r="116" spans="1:17" ht="15.75" customHeight="1">
      <c r="A116" s="196"/>
      <c r="B116" s="196"/>
      <c r="C116" s="283"/>
      <c r="D116" s="283"/>
      <c r="E116" s="283"/>
      <c r="F116" s="196"/>
      <c r="G116" s="196"/>
      <c r="H116" s="196"/>
      <c r="I116" s="196"/>
      <c r="J116" s="196"/>
      <c r="K116" s="196"/>
      <c r="L116" s="196"/>
      <c r="M116" s="196"/>
      <c r="N116" s="196"/>
      <c r="O116" s="196"/>
      <c r="P116" s="196"/>
      <c r="Q116" s="196"/>
    </row>
    <row r="117" spans="1:17" ht="15.75" customHeight="1">
      <c r="A117" s="196"/>
      <c r="B117" s="196"/>
      <c r="C117" s="283"/>
      <c r="D117" s="283"/>
      <c r="E117" s="283"/>
      <c r="F117" s="196"/>
      <c r="G117" s="196"/>
      <c r="H117" s="196"/>
      <c r="I117" s="196"/>
      <c r="J117" s="196"/>
      <c r="K117" s="196"/>
      <c r="L117" s="196"/>
      <c r="M117" s="196"/>
      <c r="N117" s="196"/>
      <c r="O117" s="196"/>
      <c r="P117" s="196"/>
      <c r="Q117" s="196"/>
    </row>
    <row r="118" spans="1:17" ht="15.75" customHeight="1">
      <c r="A118" s="196"/>
      <c r="B118" s="196"/>
      <c r="C118" s="283"/>
      <c r="D118" s="283"/>
      <c r="E118" s="283"/>
      <c r="F118" s="196"/>
      <c r="G118" s="196"/>
      <c r="H118" s="196"/>
      <c r="I118" s="196"/>
      <c r="J118" s="196"/>
      <c r="K118" s="196"/>
      <c r="L118" s="196"/>
      <c r="M118" s="196"/>
      <c r="N118" s="196"/>
      <c r="O118" s="196"/>
      <c r="P118" s="196"/>
      <c r="Q118" s="196"/>
    </row>
    <row r="119" spans="1:17" ht="15.75" customHeight="1">
      <c r="A119" s="196"/>
      <c r="B119" s="196"/>
      <c r="C119" s="283"/>
      <c r="D119" s="283"/>
      <c r="E119" s="283"/>
      <c r="F119" s="196"/>
      <c r="G119" s="196"/>
      <c r="H119" s="196"/>
      <c r="I119" s="196"/>
      <c r="J119" s="196"/>
      <c r="K119" s="196"/>
      <c r="L119" s="196"/>
      <c r="M119" s="196"/>
      <c r="N119" s="196"/>
      <c r="O119" s="196"/>
      <c r="P119" s="196"/>
      <c r="Q119" s="196"/>
    </row>
    <row r="120" spans="1:17" ht="15.75" customHeight="1">
      <c r="A120" s="196"/>
      <c r="B120" s="196"/>
      <c r="C120" s="283"/>
      <c r="D120" s="283"/>
      <c r="E120" s="283"/>
      <c r="F120" s="196"/>
      <c r="G120" s="196"/>
      <c r="H120" s="196"/>
      <c r="I120" s="196"/>
      <c r="J120" s="196"/>
      <c r="K120" s="196"/>
      <c r="L120" s="196"/>
      <c r="M120" s="196"/>
      <c r="N120" s="196"/>
      <c r="O120" s="196"/>
      <c r="P120" s="196"/>
      <c r="Q120" s="196"/>
    </row>
    <row r="121" spans="1:17" ht="15.75" customHeight="1">
      <c r="A121" s="196"/>
      <c r="B121" s="196"/>
      <c r="C121" s="283"/>
      <c r="D121" s="283"/>
      <c r="E121" s="283"/>
      <c r="F121" s="196"/>
      <c r="G121" s="196"/>
      <c r="H121" s="196"/>
      <c r="I121" s="196"/>
      <c r="J121" s="196"/>
      <c r="K121" s="196"/>
      <c r="L121" s="196"/>
      <c r="M121" s="196"/>
      <c r="N121" s="196"/>
      <c r="O121" s="196"/>
      <c r="P121" s="196"/>
      <c r="Q121" s="196"/>
    </row>
    <row r="122" spans="1:17" ht="15.75" customHeight="1">
      <c r="A122" s="196"/>
      <c r="B122" s="196"/>
      <c r="C122" s="283"/>
      <c r="D122" s="283"/>
      <c r="E122" s="283"/>
      <c r="F122" s="196"/>
      <c r="G122" s="196"/>
      <c r="H122" s="196"/>
      <c r="I122" s="196"/>
      <c r="J122" s="196"/>
      <c r="K122" s="196"/>
      <c r="L122" s="196"/>
      <c r="M122" s="196"/>
      <c r="N122" s="196"/>
      <c r="O122" s="196"/>
      <c r="P122" s="196"/>
      <c r="Q122" s="196"/>
    </row>
    <row r="123" spans="1:17" ht="15.75" customHeight="1">
      <c r="A123" s="196"/>
      <c r="B123" s="196"/>
      <c r="C123" s="283"/>
      <c r="D123" s="283"/>
      <c r="E123" s="283"/>
      <c r="F123" s="196"/>
      <c r="G123" s="196"/>
      <c r="H123" s="196"/>
      <c r="I123" s="196"/>
      <c r="J123" s="196"/>
      <c r="K123" s="196"/>
      <c r="L123" s="196"/>
      <c r="M123" s="196"/>
      <c r="N123" s="196"/>
      <c r="O123" s="196"/>
      <c r="P123" s="196"/>
      <c r="Q123" s="196"/>
    </row>
    <row r="124" spans="1:17" ht="15.75" customHeight="1">
      <c r="A124" s="196"/>
      <c r="B124" s="196"/>
      <c r="C124" s="283"/>
      <c r="D124" s="283"/>
      <c r="E124" s="283"/>
      <c r="F124" s="196"/>
      <c r="G124" s="196"/>
      <c r="H124" s="196"/>
      <c r="I124" s="196"/>
      <c r="J124" s="196"/>
      <c r="K124" s="196"/>
      <c r="L124" s="196"/>
      <c r="M124" s="196"/>
      <c r="N124" s="196"/>
      <c r="O124" s="196"/>
      <c r="P124" s="196"/>
      <c r="Q124" s="196"/>
    </row>
    <row r="125" spans="1:17" ht="15.75" customHeight="1">
      <c r="A125" s="196"/>
      <c r="B125" s="196"/>
      <c r="C125" s="283"/>
      <c r="D125" s="283"/>
      <c r="E125" s="283"/>
      <c r="F125" s="196"/>
      <c r="G125" s="196"/>
      <c r="H125" s="196"/>
      <c r="I125" s="196"/>
      <c r="J125" s="196"/>
      <c r="K125" s="196"/>
      <c r="L125" s="196"/>
      <c r="M125" s="196"/>
      <c r="N125" s="196"/>
      <c r="O125" s="196"/>
      <c r="P125" s="196"/>
      <c r="Q125" s="196"/>
    </row>
    <row r="126" spans="1:17" ht="15.75" customHeight="1">
      <c r="A126" s="196"/>
      <c r="B126" s="196"/>
      <c r="C126" s="283"/>
      <c r="D126" s="283"/>
      <c r="E126" s="283"/>
      <c r="F126" s="196"/>
      <c r="G126" s="196"/>
      <c r="H126" s="196"/>
      <c r="I126" s="196"/>
      <c r="J126" s="196"/>
      <c r="K126" s="196"/>
      <c r="L126" s="196"/>
      <c r="M126" s="196"/>
      <c r="N126" s="196"/>
      <c r="O126" s="196"/>
      <c r="P126" s="196"/>
      <c r="Q126" s="196"/>
    </row>
    <row r="127" spans="1:17" ht="15.75" customHeight="1">
      <c r="A127" s="196"/>
      <c r="B127" s="196"/>
      <c r="C127" s="283"/>
      <c r="D127" s="283"/>
      <c r="E127" s="283"/>
      <c r="F127" s="196"/>
      <c r="G127" s="196"/>
      <c r="H127" s="196"/>
      <c r="I127" s="196"/>
      <c r="J127" s="196"/>
      <c r="K127" s="196"/>
      <c r="L127" s="196"/>
      <c r="M127" s="196"/>
      <c r="N127" s="196"/>
      <c r="O127" s="196"/>
      <c r="P127" s="196"/>
      <c r="Q127" s="196"/>
    </row>
    <row r="128" spans="1:17" ht="15.75" customHeight="1">
      <c r="A128" s="196"/>
      <c r="B128" s="196"/>
      <c r="C128" s="283"/>
      <c r="D128" s="283"/>
      <c r="E128" s="283"/>
      <c r="F128" s="196"/>
      <c r="G128" s="196"/>
      <c r="H128" s="196"/>
      <c r="I128" s="196"/>
      <c r="J128" s="196"/>
      <c r="K128" s="196"/>
      <c r="L128" s="196"/>
      <c r="M128" s="196"/>
      <c r="N128" s="196"/>
      <c r="O128" s="196"/>
      <c r="P128" s="196"/>
      <c r="Q128" s="196"/>
    </row>
    <row r="129" spans="1:17" ht="15.75" customHeight="1">
      <c r="A129" s="196"/>
      <c r="B129" s="196"/>
      <c r="C129" s="283"/>
      <c r="D129" s="283"/>
      <c r="E129" s="283"/>
      <c r="F129" s="196"/>
      <c r="G129" s="196"/>
      <c r="H129" s="196"/>
      <c r="I129" s="196"/>
      <c r="J129" s="196"/>
      <c r="K129" s="196"/>
      <c r="L129" s="196"/>
      <c r="M129" s="196"/>
      <c r="N129" s="196"/>
      <c r="O129" s="196"/>
      <c r="P129" s="196"/>
      <c r="Q129" s="196"/>
    </row>
    <row r="130" spans="1:17" ht="15.75" customHeight="1">
      <c r="A130" s="196"/>
      <c r="B130" s="196"/>
      <c r="C130" s="283"/>
      <c r="D130" s="283"/>
      <c r="E130" s="283"/>
      <c r="F130" s="196"/>
      <c r="G130" s="196"/>
      <c r="H130" s="196"/>
      <c r="I130" s="196"/>
      <c r="J130" s="196"/>
      <c r="K130" s="196"/>
      <c r="L130" s="196"/>
      <c r="M130" s="196"/>
      <c r="N130" s="196"/>
      <c r="O130" s="196"/>
      <c r="P130" s="196"/>
      <c r="Q130" s="196"/>
    </row>
    <row r="131" spans="1:17" ht="15.75" customHeight="1">
      <c r="A131" s="196"/>
      <c r="B131" s="196"/>
      <c r="C131" s="283"/>
      <c r="D131" s="283"/>
      <c r="E131" s="283"/>
      <c r="F131" s="196"/>
      <c r="G131" s="196"/>
      <c r="H131" s="196"/>
      <c r="I131" s="196"/>
      <c r="J131" s="196"/>
      <c r="K131" s="196"/>
      <c r="L131" s="196"/>
      <c r="M131" s="196"/>
      <c r="N131" s="196"/>
      <c r="O131" s="196"/>
      <c r="P131" s="196"/>
      <c r="Q131" s="196"/>
    </row>
    <row r="132" spans="1:17" ht="15.75" customHeight="1">
      <c r="A132" s="196"/>
      <c r="B132" s="196"/>
      <c r="C132" s="283"/>
      <c r="D132" s="283"/>
      <c r="E132" s="283"/>
      <c r="F132" s="196"/>
      <c r="G132" s="196"/>
      <c r="H132" s="196"/>
      <c r="I132" s="196"/>
      <c r="J132" s="196"/>
      <c r="K132" s="196"/>
      <c r="L132" s="196"/>
      <c r="M132" s="196"/>
      <c r="N132" s="196"/>
      <c r="O132" s="196"/>
      <c r="P132" s="196"/>
      <c r="Q132" s="196"/>
    </row>
    <row r="133" spans="1:17" ht="15.75" customHeight="1">
      <c r="A133" s="196"/>
      <c r="B133" s="196"/>
      <c r="C133" s="283"/>
      <c r="D133" s="283"/>
      <c r="E133" s="283"/>
      <c r="F133" s="196"/>
      <c r="G133" s="196"/>
      <c r="H133" s="196"/>
      <c r="I133" s="196"/>
      <c r="J133" s="196"/>
      <c r="K133" s="196"/>
      <c r="L133" s="196"/>
      <c r="M133" s="196"/>
      <c r="N133" s="196"/>
      <c r="O133" s="196"/>
      <c r="P133" s="196"/>
      <c r="Q133" s="196"/>
    </row>
    <row r="134" spans="1:17" ht="15.75" customHeight="1">
      <c r="A134" s="196"/>
      <c r="B134" s="196"/>
      <c r="C134" s="283"/>
      <c r="D134" s="283"/>
      <c r="E134" s="283"/>
      <c r="F134" s="196"/>
      <c r="G134" s="196"/>
      <c r="H134" s="196"/>
      <c r="I134" s="196"/>
      <c r="J134" s="196"/>
      <c r="K134" s="196"/>
      <c r="L134" s="196"/>
      <c r="M134" s="196"/>
      <c r="N134" s="196"/>
      <c r="O134" s="196"/>
      <c r="P134" s="196"/>
      <c r="Q134" s="196"/>
    </row>
    <row r="135" spans="1:17" ht="15.75" customHeight="1">
      <c r="A135" s="196"/>
      <c r="B135" s="196"/>
      <c r="C135" s="283"/>
      <c r="D135" s="283"/>
      <c r="E135" s="283"/>
      <c r="F135" s="196"/>
      <c r="G135" s="196"/>
      <c r="H135" s="196"/>
      <c r="I135" s="196"/>
      <c r="J135" s="196"/>
      <c r="K135" s="196"/>
      <c r="L135" s="196"/>
      <c r="M135" s="196"/>
      <c r="N135" s="196"/>
      <c r="O135" s="196"/>
      <c r="P135" s="196"/>
      <c r="Q135" s="196"/>
    </row>
    <row r="136" spans="1:17" ht="15.75" customHeight="1">
      <c r="A136" s="196"/>
      <c r="B136" s="196"/>
      <c r="C136" s="283"/>
      <c r="D136" s="283"/>
      <c r="E136" s="283"/>
      <c r="F136" s="196"/>
      <c r="G136" s="196"/>
      <c r="H136" s="196"/>
      <c r="I136" s="196"/>
      <c r="J136" s="196"/>
      <c r="K136" s="196"/>
      <c r="L136" s="196"/>
      <c r="M136" s="196"/>
      <c r="N136" s="196"/>
      <c r="O136" s="196"/>
      <c r="P136" s="196"/>
      <c r="Q136" s="196"/>
    </row>
    <row r="137" spans="1:17" ht="15.75" customHeight="1">
      <c r="A137" s="196"/>
      <c r="B137" s="196"/>
      <c r="C137" s="283"/>
      <c r="D137" s="283"/>
      <c r="E137" s="283"/>
      <c r="F137" s="196"/>
      <c r="G137" s="196"/>
      <c r="H137" s="196"/>
      <c r="I137" s="196"/>
      <c r="J137" s="196"/>
      <c r="K137" s="196"/>
      <c r="L137" s="196"/>
      <c r="M137" s="196"/>
      <c r="N137" s="196"/>
      <c r="O137" s="196"/>
      <c r="P137" s="196"/>
      <c r="Q137" s="196"/>
    </row>
    <row r="138" spans="1:17" ht="15.75" customHeight="1">
      <c r="A138" s="196"/>
      <c r="B138" s="196"/>
      <c r="C138" s="283"/>
      <c r="D138" s="283"/>
      <c r="E138" s="283"/>
      <c r="F138" s="196"/>
      <c r="G138" s="196"/>
      <c r="H138" s="196"/>
      <c r="I138" s="196"/>
      <c r="J138" s="196"/>
      <c r="K138" s="196"/>
      <c r="L138" s="196"/>
      <c r="M138" s="196"/>
      <c r="N138" s="196"/>
      <c r="O138" s="196"/>
      <c r="P138" s="196"/>
      <c r="Q138" s="196"/>
    </row>
    <row r="139" spans="1:17" ht="15.75" customHeight="1">
      <c r="A139" s="196"/>
      <c r="B139" s="196"/>
      <c r="C139" s="283"/>
      <c r="D139" s="283"/>
      <c r="E139" s="283"/>
      <c r="F139" s="196"/>
      <c r="G139" s="196"/>
      <c r="H139" s="196"/>
      <c r="I139" s="196"/>
      <c r="J139" s="196"/>
      <c r="K139" s="196"/>
      <c r="L139" s="196"/>
      <c r="M139" s="196"/>
      <c r="N139" s="196"/>
      <c r="O139" s="196"/>
      <c r="P139" s="196"/>
      <c r="Q139" s="196"/>
    </row>
    <row r="140" spans="1:17" ht="15.75" customHeight="1">
      <c r="A140" s="196"/>
      <c r="B140" s="196"/>
      <c r="C140" s="283"/>
      <c r="D140" s="283"/>
      <c r="E140" s="283"/>
      <c r="F140" s="196"/>
      <c r="G140" s="196"/>
      <c r="H140" s="196"/>
      <c r="I140" s="196"/>
      <c r="J140" s="196"/>
      <c r="K140" s="196"/>
      <c r="L140" s="196"/>
      <c r="M140" s="196"/>
      <c r="N140" s="196"/>
      <c r="O140" s="196"/>
      <c r="P140" s="196"/>
      <c r="Q140" s="196"/>
    </row>
    <row r="141" spans="1:17" ht="15.75" customHeight="1">
      <c r="A141" s="196"/>
      <c r="B141" s="196"/>
      <c r="C141" s="283"/>
      <c r="D141" s="283"/>
      <c r="E141" s="283"/>
      <c r="F141" s="196"/>
      <c r="G141" s="196"/>
      <c r="H141" s="196"/>
      <c r="I141" s="196"/>
      <c r="J141" s="196"/>
      <c r="K141" s="196"/>
      <c r="L141" s="196"/>
      <c r="M141" s="196"/>
      <c r="N141" s="196"/>
      <c r="O141" s="196"/>
      <c r="P141" s="196"/>
      <c r="Q141" s="196"/>
    </row>
    <row r="142" spans="1:17" ht="15.75" customHeight="1">
      <c r="A142" s="196"/>
      <c r="B142" s="196"/>
      <c r="C142" s="283"/>
      <c r="D142" s="283"/>
      <c r="E142" s="283"/>
      <c r="F142" s="196"/>
      <c r="G142" s="196"/>
      <c r="H142" s="196"/>
      <c r="I142" s="196"/>
      <c r="J142" s="196"/>
      <c r="K142" s="196"/>
      <c r="L142" s="196"/>
      <c r="M142" s="196"/>
      <c r="N142" s="196"/>
      <c r="O142" s="196"/>
      <c r="P142" s="196"/>
      <c r="Q142" s="196"/>
    </row>
    <row r="143" spans="1:17" ht="15.75" customHeight="1">
      <c r="A143" s="196"/>
      <c r="B143" s="196"/>
      <c r="C143" s="283"/>
      <c r="D143" s="283"/>
      <c r="E143" s="283"/>
      <c r="F143" s="196"/>
      <c r="G143" s="196"/>
      <c r="H143" s="196"/>
      <c r="I143" s="196"/>
      <c r="J143" s="196"/>
      <c r="K143" s="196"/>
      <c r="L143" s="196"/>
      <c r="M143" s="196"/>
      <c r="N143" s="196"/>
      <c r="O143" s="196"/>
      <c r="P143" s="196"/>
      <c r="Q143" s="196"/>
    </row>
    <row r="144" spans="1:17" ht="15.75" customHeight="1">
      <c r="A144" s="196"/>
      <c r="B144" s="196"/>
      <c r="C144" s="283"/>
      <c r="D144" s="283"/>
      <c r="E144" s="283"/>
      <c r="F144" s="196"/>
      <c r="G144" s="196"/>
      <c r="H144" s="196"/>
      <c r="I144" s="196"/>
      <c r="J144" s="196"/>
      <c r="K144" s="196"/>
      <c r="L144" s="196"/>
      <c r="M144" s="196"/>
      <c r="N144" s="196"/>
      <c r="O144" s="196"/>
      <c r="P144" s="196"/>
      <c r="Q144" s="196"/>
    </row>
    <row r="145" spans="1:17" ht="15.75" customHeight="1">
      <c r="A145" s="196"/>
      <c r="B145" s="196"/>
      <c r="C145" s="283"/>
      <c r="D145" s="283"/>
      <c r="E145" s="283"/>
      <c r="F145" s="196"/>
      <c r="G145" s="196"/>
      <c r="H145" s="196"/>
      <c r="I145" s="196"/>
      <c r="J145" s="196"/>
      <c r="K145" s="196"/>
      <c r="L145" s="196"/>
      <c r="M145" s="196"/>
      <c r="N145" s="196"/>
      <c r="O145" s="196"/>
      <c r="P145" s="196"/>
      <c r="Q145" s="196"/>
    </row>
    <row r="146" spans="1:17" ht="15.75" customHeight="1">
      <c r="A146" s="196"/>
      <c r="B146" s="196"/>
      <c r="C146" s="283"/>
      <c r="D146" s="283"/>
      <c r="E146" s="283"/>
      <c r="F146" s="196"/>
      <c r="G146" s="196"/>
      <c r="H146" s="196"/>
      <c r="I146" s="196"/>
      <c r="J146" s="196"/>
      <c r="K146" s="196"/>
      <c r="L146" s="196"/>
      <c r="M146" s="196"/>
      <c r="N146" s="196"/>
      <c r="O146" s="196"/>
      <c r="P146" s="196"/>
      <c r="Q146" s="196"/>
    </row>
    <row r="147" spans="1:17" ht="15.75" customHeight="1">
      <c r="A147" s="196"/>
      <c r="B147" s="196"/>
      <c r="C147" s="283"/>
      <c r="D147" s="283"/>
      <c r="E147" s="283"/>
      <c r="F147" s="196"/>
      <c r="G147" s="196"/>
      <c r="H147" s="196"/>
      <c r="I147" s="196"/>
      <c r="J147" s="196"/>
      <c r="K147" s="196"/>
      <c r="L147" s="196"/>
      <c r="M147" s="196"/>
      <c r="N147" s="196"/>
      <c r="O147" s="196"/>
      <c r="P147" s="196"/>
      <c r="Q147" s="196"/>
    </row>
    <row r="148" spans="1:17" ht="15.75" customHeight="1">
      <c r="A148" s="196"/>
      <c r="B148" s="196"/>
      <c r="C148" s="283"/>
      <c r="D148" s="283"/>
      <c r="E148" s="283"/>
      <c r="F148" s="196"/>
      <c r="G148" s="196"/>
      <c r="H148" s="196"/>
      <c r="I148" s="196"/>
      <c r="J148" s="196"/>
      <c r="K148" s="196"/>
      <c r="L148" s="196"/>
      <c r="M148" s="196"/>
      <c r="N148" s="196"/>
      <c r="O148" s="196"/>
      <c r="P148" s="196"/>
      <c r="Q148" s="196"/>
    </row>
    <row r="149" spans="1:17" ht="15.75" customHeight="1">
      <c r="A149" s="196"/>
      <c r="B149" s="196"/>
      <c r="C149" s="283"/>
      <c r="D149" s="283"/>
      <c r="E149" s="283"/>
      <c r="F149" s="196"/>
      <c r="G149" s="196"/>
      <c r="H149" s="196"/>
      <c r="I149" s="196"/>
      <c r="J149" s="196"/>
      <c r="K149" s="196"/>
      <c r="L149" s="196"/>
      <c r="M149" s="196"/>
      <c r="N149" s="196"/>
      <c r="O149" s="196"/>
      <c r="P149" s="196"/>
      <c r="Q149" s="196"/>
    </row>
    <row r="150" spans="1:17" ht="15.75" customHeight="1">
      <c r="A150" s="196"/>
      <c r="B150" s="196"/>
      <c r="C150" s="283"/>
      <c r="D150" s="283"/>
      <c r="E150" s="283"/>
      <c r="F150" s="196"/>
      <c r="G150" s="196"/>
      <c r="H150" s="196"/>
      <c r="I150" s="196"/>
      <c r="J150" s="196"/>
      <c r="K150" s="196"/>
      <c r="L150" s="196"/>
      <c r="M150" s="196"/>
      <c r="N150" s="196"/>
      <c r="O150" s="196"/>
      <c r="P150" s="196"/>
      <c r="Q150" s="196"/>
    </row>
    <row r="151" spans="1:17" ht="15.75" customHeight="1">
      <c r="A151" s="196"/>
      <c r="B151" s="196"/>
      <c r="C151" s="283"/>
      <c r="D151" s="283"/>
      <c r="E151" s="283"/>
      <c r="F151" s="196"/>
      <c r="G151" s="196"/>
      <c r="H151" s="196"/>
      <c r="I151" s="196"/>
      <c r="J151" s="196"/>
      <c r="K151" s="196"/>
      <c r="L151" s="196"/>
      <c r="M151" s="196"/>
      <c r="N151" s="196"/>
      <c r="O151" s="196"/>
      <c r="P151" s="196"/>
      <c r="Q151" s="196"/>
    </row>
    <row r="152" spans="1:17" ht="15.75" customHeight="1">
      <c r="A152" s="196"/>
      <c r="B152" s="196"/>
      <c r="C152" s="283"/>
      <c r="D152" s="283"/>
      <c r="E152" s="283"/>
      <c r="F152" s="196"/>
      <c r="G152" s="196"/>
      <c r="H152" s="196"/>
      <c r="I152" s="196"/>
      <c r="J152" s="196"/>
      <c r="K152" s="196"/>
      <c r="L152" s="196"/>
      <c r="M152" s="196"/>
      <c r="N152" s="196"/>
      <c r="O152" s="196"/>
      <c r="P152" s="196"/>
      <c r="Q152" s="196"/>
    </row>
    <row r="153" spans="1:17" ht="15.75" customHeight="1">
      <c r="A153" s="196"/>
      <c r="B153" s="196"/>
      <c r="C153" s="283"/>
      <c r="D153" s="283"/>
      <c r="E153" s="283"/>
      <c r="F153" s="196"/>
      <c r="G153" s="196"/>
      <c r="H153" s="196"/>
      <c r="I153" s="196"/>
      <c r="J153" s="196"/>
      <c r="K153" s="196"/>
      <c r="L153" s="196"/>
      <c r="M153" s="196"/>
      <c r="N153" s="196"/>
      <c r="O153" s="196"/>
      <c r="P153" s="196"/>
      <c r="Q153" s="196"/>
    </row>
    <row r="154" spans="1:17" ht="15.75" customHeight="1">
      <c r="A154" s="196"/>
      <c r="B154" s="196"/>
      <c r="C154" s="283"/>
      <c r="D154" s="283"/>
      <c r="E154" s="283"/>
      <c r="F154" s="196"/>
      <c r="G154" s="196"/>
      <c r="H154" s="196"/>
      <c r="I154" s="196"/>
      <c r="J154" s="196"/>
      <c r="K154" s="196"/>
      <c r="L154" s="196"/>
      <c r="M154" s="196"/>
      <c r="N154" s="196"/>
      <c r="O154" s="196"/>
      <c r="P154" s="196"/>
      <c r="Q154" s="196"/>
    </row>
    <row r="155" spans="1:17" ht="15.75" customHeight="1">
      <c r="A155" s="196"/>
      <c r="B155" s="196"/>
      <c r="C155" s="283"/>
      <c r="D155" s="283"/>
      <c r="E155" s="283"/>
      <c r="F155" s="196"/>
      <c r="G155" s="196"/>
      <c r="H155" s="196"/>
      <c r="I155" s="196"/>
      <c r="J155" s="196"/>
      <c r="K155" s="196"/>
      <c r="L155" s="196"/>
      <c r="M155" s="196"/>
      <c r="N155" s="196"/>
      <c r="O155" s="196"/>
      <c r="P155" s="196"/>
      <c r="Q155" s="196"/>
    </row>
    <row r="156" spans="1:17" ht="15.75" customHeight="1">
      <c r="A156" s="196"/>
      <c r="B156" s="196"/>
      <c r="C156" s="283"/>
      <c r="D156" s="283"/>
      <c r="E156" s="283"/>
      <c r="F156" s="196"/>
      <c r="G156" s="196"/>
      <c r="H156" s="196"/>
      <c r="I156" s="196"/>
      <c r="J156" s="196"/>
      <c r="K156" s="196"/>
      <c r="L156" s="196"/>
      <c r="M156" s="196"/>
      <c r="N156" s="196"/>
      <c r="O156" s="196"/>
      <c r="P156" s="196"/>
      <c r="Q156" s="196"/>
    </row>
    <row r="157" spans="1:17" ht="15.75" customHeight="1">
      <c r="A157" s="196"/>
      <c r="B157" s="196"/>
      <c r="C157" s="283"/>
      <c r="D157" s="283"/>
      <c r="E157" s="283"/>
      <c r="F157" s="196"/>
      <c r="G157" s="196"/>
      <c r="H157" s="196"/>
      <c r="I157" s="196"/>
      <c r="J157" s="196"/>
      <c r="K157" s="196"/>
      <c r="L157" s="196"/>
      <c r="M157" s="196"/>
      <c r="N157" s="196"/>
      <c r="O157" s="196"/>
      <c r="P157" s="196"/>
      <c r="Q157" s="196"/>
    </row>
    <row r="158" spans="1:17" ht="15.75" customHeight="1">
      <c r="A158" s="196"/>
      <c r="B158" s="196"/>
      <c r="C158" s="283"/>
      <c r="D158" s="283"/>
      <c r="E158" s="283"/>
      <c r="F158" s="196"/>
      <c r="G158" s="196"/>
      <c r="H158" s="196"/>
      <c r="I158" s="196"/>
      <c r="J158" s="196"/>
      <c r="K158" s="196"/>
      <c r="L158" s="196"/>
      <c r="M158" s="196"/>
      <c r="N158" s="196"/>
      <c r="O158" s="196"/>
      <c r="P158" s="196"/>
      <c r="Q158" s="196"/>
    </row>
    <row r="159" spans="1:17" ht="15.75" customHeight="1">
      <c r="A159" s="196"/>
      <c r="B159" s="196"/>
      <c r="C159" s="283"/>
      <c r="D159" s="283"/>
      <c r="E159" s="283"/>
      <c r="F159" s="196"/>
      <c r="G159" s="196"/>
      <c r="H159" s="196"/>
      <c r="I159" s="196"/>
      <c r="J159" s="196"/>
      <c r="K159" s="196"/>
      <c r="L159" s="196"/>
      <c r="M159" s="196"/>
      <c r="N159" s="196"/>
      <c r="O159" s="196"/>
      <c r="P159" s="196"/>
      <c r="Q159" s="196"/>
    </row>
    <row r="160" spans="1:17" ht="15.75" customHeight="1">
      <c r="A160" s="196"/>
      <c r="B160" s="196"/>
      <c r="C160" s="283"/>
      <c r="D160" s="283"/>
      <c r="E160" s="283"/>
      <c r="F160" s="196"/>
      <c r="G160" s="196"/>
      <c r="H160" s="196"/>
      <c r="I160" s="196"/>
      <c r="J160" s="196"/>
      <c r="K160" s="196"/>
      <c r="L160" s="196"/>
      <c r="M160" s="196"/>
      <c r="N160" s="196"/>
      <c r="O160" s="196"/>
      <c r="P160" s="196"/>
      <c r="Q160" s="196"/>
    </row>
    <row r="161" spans="1:17" ht="15.75" customHeight="1">
      <c r="A161" s="196"/>
      <c r="B161" s="196"/>
      <c r="C161" s="283"/>
      <c r="D161" s="283"/>
      <c r="E161" s="283"/>
      <c r="F161" s="196"/>
      <c r="G161" s="196"/>
      <c r="H161" s="196"/>
      <c r="I161" s="196"/>
      <c r="J161" s="196"/>
      <c r="K161" s="196"/>
      <c r="L161" s="196"/>
      <c r="M161" s="196"/>
      <c r="N161" s="196"/>
      <c r="O161" s="196"/>
      <c r="P161" s="196"/>
      <c r="Q161" s="196"/>
    </row>
    <row r="162" spans="1:17" ht="15.75" customHeight="1">
      <c r="A162" s="196"/>
      <c r="B162" s="196"/>
      <c r="C162" s="283"/>
      <c r="D162" s="283"/>
      <c r="E162" s="283"/>
      <c r="F162" s="196"/>
      <c r="G162" s="196"/>
      <c r="H162" s="196"/>
      <c r="I162" s="196"/>
      <c r="J162" s="196"/>
      <c r="K162" s="196"/>
      <c r="L162" s="196"/>
      <c r="M162" s="196"/>
      <c r="N162" s="196"/>
      <c r="O162" s="196"/>
      <c r="P162" s="196"/>
      <c r="Q162" s="196"/>
    </row>
    <row r="163" spans="1:17" ht="15.75" customHeight="1">
      <c r="A163" s="196"/>
      <c r="B163" s="196"/>
      <c r="C163" s="283"/>
      <c r="D163" s="283"/>
      <c r="E163" s="283"/>
      <c r="F163" s="196"/>
      <c r="G163" s="196"/>
      <c r="H163" s="196"/>
      <c r="I163" s="196"/>
      <c r="J163" s="196"/>
      <c r="K163" s="196"/>
      <c r="L163" s="196"/>
      <c r="M163" s="196"/>
      <c r="N163" s="196"/>
      <c r="O163" s="196"/>
      <c r="P163" s="196"/>
      <c r="Q163" s="196"/>
    </row>
    <row r="164" spans="1:17" ht="15.75" customHeight="1">
      <c r="A164" s="196"/>
      <c r="B164" s="196"/>
      <c r="C164" s="283"/>
      <c r="D164" s="283"/>
      <c r="E164" s="283"/>
      <c r="F164" s="196"/>
      <c r="G164" s="196"/>
      <c r="H164" s="196"/>
      <c r="I164" s="196"/>
      <c r="J164" s="196"/>
      <c r="K164" s="196"/>
      <c r="L164" s="196"/>
      <c r="M164" s="196"/>
      <c r="N164" s="196"/>
      <c r="O164" s="196"/>
      <c r="P164" s="196"/>
      <c r="Q164" s="196"/>
    </row>
    <row r="165" spans="1:17" ht="15.75" customHeight="1">
      <c r="A165" s="196"/>
      <c r="B165" s="196"/>
      <c r="C165" s="283"/>
      <c r="D165" s="283"/>
      <c r="E165" s="283"/>
      <c r="F165" s="196"/>
      <c r="G165" s="196"/>
      <c r="H165" s="196"/>
      <c r="I165" s="196"/>
      <c r="J165" s="196"/>
      <c r="K165" s="196"/>
      <c r="L165" s="196"/>
      <c r="M165" s="196"/>
      <c r="N165" s="196"/>
      <c r="O165" s="196"/>
      <c r="P165" s="196"/>
      <c r="Q165" s="196"/>
    </row>
    <row r="166" spans="1:17" ht="15.75" customHeight="1">
      <c r="A166" s="196"/>
      <c r="B166" s="196"/>
      <c r="C166" s="283"/>
      <c r="D166" s="283"/>
      <c r="E166" s="283"/>
      <c r="F166" s="196"/>
      <c r="G166" s="196"/>
      <c r="H166" s="196"/>
      <c r="I166" s="196"/>
      <c r="J166" s="196"/>
      <c r="K166" s="196"/>
      <c r="L166" s="196"/>
      <c r="M166" s="196"/>
      <c r="N166" s="196"/>
      <c r="O166" s="196"/>
      <c r="P166" s="196"/>
      <c r="Q166" s="196"/>
    </row>
    <row r="167" spans="1:17" ht="15.75" customHeight="1">
      <c r="A167" s="196"/>
      <c r="B167" s="196"/>
      <c r="C167" s="283"/>
      <c r="D167" s="283"/>
      <c r="E167" s="283"/>
      <c r="F167" s="196"/>
      <c r="G167" s="196"/>
      <c r="H167" s="196"/>
      <c r="I167" s="196"/>
      <c r="J167" s="196"/>
      <c r="K167" s="196"/>
      <c r="L167" s="196"/>
      <c r="M167" s="196"/>
      <c r="N167" s="196"/>
      <c r="O167" s="196"/>
      <c r="P167" s="196"/>
      <c r="Q167" s="196"/>
    </row>
    <row r="168" spans="1:17" ht="15.75" customHeight="1">
      <c r="A168" s="196"/>
      <c r="B168" s="196"/>
      <c r="C168" s="283"/>
      <c r="D168" s="283"/>
      <c r="E168" s="283"/>
      <c r="F168" s="196"/>
      <c r="G168" s="196"/>
      <c r="H168" s="196"/>
      <c r="I168" s="196"/>
      <c r="J168" s="196"/>
      <c r="K168" s="196"/>
      <c r="L168" s="196"/>
      <c r="M168" s="196"/>
      <c r="N168" s="196"/>
      <c r="O168" s="196"/>
      <c r="P168" s="196"/>
      <c r="Q168" s="196"/>
    </row>
    <row r="169" spans="1:17" ht="15.75" customHeight="1">
      <c r="A169" s="196"/>
      <c r="B169" s="196"/>
      <c r="C169" s="283"/>
      <c r="D169" s="283"/>
      <c r="E169" s="283"/>
      <c r="F169" s="196"/>
      <c r="G169" s="196"/>
      <c r="H169" s="196"/>
      <c r="I169" s="196"/>
      <c r="J169" s="196"/>
      <c r="K169" s="196"/>
      <c r="L169" s="196"/>
      <c r="M169" s="196"/>
      <c r="N169" s="196"/>
      <c r="O169" s="196"/>
      <c r="P169" s="196"/>
      <c r="Q169" s="196"/>
    </row>
    <row r="170" spans="1:17" ht="15.75" customHeight="1">
      <c r="A170" s="196"/>
      <c r="B170" s="196"/>
      <c r="C170" s="283"/>
      <c r="D170" s="283"/>
      <c r="E170" s="283"/>
      <c r="F170" s="196"/>
      <c r="G170" s="196"/>
      <c r="H170" s="196"/>
      <c r="I170" s="196"/>
      <c r="J170" s="196"/>
      <c r="K170" s="196"/>
      <c r="L170" s="196"/>
      <c r="M170" s="196"/>
      <c r="N170" s="196"/>
      <c r="O170" s="196"/>
      <c r="P170" s="196"/>
      <c r="Q170" s="196"/>
    </row>
    <row r="171" spans="1:17" ht="15.75" customHeight="1">
      <c r="A171" s="196"/>
      <c r="B171" s="196"/>
      <c r="C171" s="283"/>
      <c r="D171" s="283"/>
      <c r="E171" s="283"/>
      <c r="F171" s="196"/>
      <c r="G171" s="196"/>
      <c r="H171" s="196"/>
      <c r="I171" s="196"/>
      <c r="J171" s="196"/>
      <c r="K171" s="196"/>
      <c r="L171" s="196"/>
      <c r="M171" s="196"/>
      <c r="N171" s="196"/>
      <c r="O171" s="196"/>
      <c r="P171" s="196"/>
      <c r="Q171" s="196"/>
    </row>
    <row r="172" spans="1:17" ht="15.75" customHeight="1">
      <c r="A172" s="196"/>
      <c r="B172" s="196"/>
      <c r="C172" s="283"/>
      <c r="D172" s="283"/>
      <c r="E172" s="283"/>
      <c r="F172" s="196"/>
      <c r="G172" s="196"/>
      <c r="H172" s="196"/>
      <c r="I172" s="196"/>
      <c r="J172" s="196"/>
      <c r="K172" s="196"/>
      <c r="L172" s="196"/>
      <c r="M172" s="196"/>
      <c r="N172" s="196"/>
      <c r="O172" s="196"/>
      <c r="P172" s="196"/>
      <c r="Q172" s="196"/>
    </row>
    <row r="173" spans="1:17" ht="15.75" customHeight="1">
      <c r="A173" s="196"/>
      <c r="B173" s="196"/>
      <c r="C173" s="283"/>
      <c r="D173" s="283"/>
      <c r="E173" s="283"/>
      <c r="F173" s="196"/>
      <c r="G173" s="196"/>
      <c r="H173" s="196"/>
      <c r="I173" s="196"/>
      <c r="J173" s="196"/>
      <c r="K173" s="196"/>
      <c r="L173" s="196"/>
      <c r="M173" s="196"/>
      <c r="N173" s="196"/>
      <c r="O173" s="196"/>
      <c r="P173" s="196"/>
      <c r="Q173" s="196"/>
    </row>
    <row r="174" spans="1:17" ht="15.75" customHeight="1">
      <c r="A174" s="196"/>
      <c r="B174" s="196"/>
      <c r="C174" s="283"/>
      <c r="D174" s="283"/>
      <c r="E174" s="283"/>
      <c r="F174" s="196"/>
      <c r="G174" s="196"/>
      <c r="H174" s="196"/>
      <c r="I174" s="196"/>
      <c r="J174" s="196"/>
      <c r="K174" s="196"/>
      <c r="L174" s="196"/>
      <c r="M174" s="196"/>
      <c r="N174" s="196"/>
      <c r="O174" s="196"/>
      <c r="P174" s="196"/>
      <c r="Q174" s="196"/>
    </row>
    <row r="175" spans="1:17" ht="15.75" customHeight="1">
      <c r="A175" s="196"/>
      <c r="B175" s="196"/>
      <c r="C175" s="283"/>
      <c r="D175" s="283"/>
      <c r="E175" s="283"/>
      <c r="F175" s="196"/>
      <c r="G175" s="196"/>
      <c r="H175" s="196"/>
      <c r="I175" s="196"/>
      <c r="J175" s="196"/>
      <c r="K175" s="196"/>
      <c r="L175" s="196"/>
      <c r="M175" s="196"/>
      <c r="N175" s="196"/>
      <c r="O175" s="196"/>
      <c r="P175" s="196"/>
      <c r="Q175" s="196"/>
    </row>
    <row r="176" spans="1:17" ht="15.75" customHeight="1">
      <c r="A176" s="196"/>
      <c r="B176" s="196"/>
      <c r="C176" s="283"/>
      <c r="D176" s="283"/>
      <c r="E176" s="283"/>
      <c r="F176" s="196"/>
      <c r="G176" s="196"/>
      <c r="H176" s="196"/>
      <c r="I176" s="196"/>
      <c r="J176" s="196"/>
      <c r="K176" s="196"/>
      <c r="L176" s="196"/>
      <c r="M176" s="196"/>
      <c r="N176" s="196"/>
      <c r="O176" s="196"/>
      <c r="P176" s="196"/>
      <c r="Q176" s="196"/>
    </row>
    <row r="177" spans="1:17" ht="15.75" customHeight="1">
      <c r="A177" s="196"/>
      <c r="B177" s="196"/>
      <c r="C177" s="283"/>
      <c r="D177" s="283"/>
      <c r="E177" s="283"/>
      <c r="F177" s="196"/>
      <c r="G177" s="196"/>
      <c r="H177" s="196"/>
      <c r="I177" s="196"/>
      <c r="J177" s="196"/>
      <c r="K177" s="196"/>
      <c r="L177" s="196"/>
      <c r="M177" s="196"/>
      <c r="N177" s="196"/>
      <c r="O177" s="196"/>
      <c r="P177" s="196"/>
      <c r="Q177" s="196"/>
    </row>
    <row r="178" spans="1:17" ht="15.75" customHeight="1">
      <c r="A178" s="196"/>
      <c r="B178" s="196"/>
      <c r="C178" s="283"/>
      <c r="D178" s="283"/>
      <c r="E178" s="283"/>
      <c r="F178" s="196"/>
      <c r="G178" s="196"/>
      <c r="H178" s="196"/>
      <c r="I178" s="196"/>
      <c r="J178" s="196"/>
      <c r="K178" s="196"/>
      <c r="L178" s="196"/>
      <c r="M178" s="196"/>
      <c r="N178" s="196"/>
      <c r="O178" s="196"/>
      <c r="P178" s="196"/>
      <c r="Q178" s="196"/>
    </row>
    <row r="179" spans="1:17" ht="15.75" customHeight="1">
      <c r="A179" s="196"/>
      <c r="B179" s="196"/>
      <c r="C179" s="283"/>
      <c r="D179" s="283"/>
      <c r="E179" s="283"/>
      <c r="F179" s="196"/>
      <c r="G179" s="196"/>
      <c r="H179" s="196"/>
      <c r="I179" s="196"/>
      <c r="J179" s="196"/>
      <c r="K179" s="196"/>
      <c r="L179" s="196"/>
      <c r="M179" s="196"/>
      <c r="N179" s="196"/>
      <c r="O179" s="196"/>
      <c r="P179" s="196"/>
      <c r="Q179" s="196"/>
    </row>
    <row r="180" spans="1:17" ht="15.75" customHeight="1">
      <c r="A180" s="196"/>
      <c r="B180" s="196"/>
      <c r="C180" s="283"/>
      <c r="D180" s="283"/>
      <c r="E180" s="283"/>
      <c r="F180" s="196"/>
      <c r="G180" s="196"/>
      <c r="H180" s="196"/>
      <c r="I180" s="196"/>
      <c r="J180" s="196"/>
      <c r="K180" s="196"/>
      <c r="L180" s="196"/>
      <c r="M180" s="196"/>
      <c r="N180" s="196"/>
      <c r="O180" s="196"/>
      <c r="P180" s="196"/>
      <c r="Q180" s="196"/>
    </row>
    <row r="181" spans="1:17" ht="15.75" customHeight="1">
      <c r="A181" s="196"/>
      <c r="B181" s="196"/>
      <c r="C181" s="283"/>
      <c r="D181" s="283"/>
      <c r="E181" s="283"/>
      <c r="F181" s="196"/>
      <c r="G181" s="196"/>
      <c r="H181" s="196"/>
      <c r="I181" s="196"/>
      <c r="J181" s="196"/>
      <c r="K181" s="196"/>
      <c r="L181" s="196"/>
      <c r="M181" s="196"/>
      <c r="N181" s="196"/>
      <c r="O181" s="196"/>
      <c r="P181" s="196"/>
      <c r="Q181" s="196"/>
    </row>
    <row r="182" spans="1:17" ht="15.75" customHeight="1">
      <c r="A182" s="196"/>
      <c r="B182" s="196"/>
      <c r="C182" s="283"/>
      <c r="D182" s="283"/>
      <c r="E182" s="283"/>
      <c r="F182" s="196"/>
      <c r="G182" s="196"/>
      <c r="H182" s="196"/>
      <c r="I182" s="196"/>
      <c r="J182" s="196"/>
      <c r="K182" s="196"/>
      <c r="L182" s="196"/>
      <c r="M182" s="196"/>
      <c r="N182" s="196"/>
      <c r="O182" s="196"/>
      <c r="P182" s="196"/>
      <c r="Q182" s="196"/>
    </row>
    <row r="183" spans="1:17" ht="15.75" customHeight="1">
      <c r="A183" s="196"/>
      <c r="B183" s="196"/>
      <c r="C183" s="283"/>
      <c r="D183" s="283"/>
      <c r="E183" s="283"/>
      <c r="F183" s="196"/>
      <c r="G183" s="196"/>
      <c r="H183" s="196"/>
      <c r="I183" s="196"/>
      <c r="J183" s="196"/>
      <c r="K183" s="196"/>
      <c r="L183" s="196"/>
      <c r="M183" s="196"/>
      <c r="N183" s="196"/>
      <c r="O183" s="196"/>
      <c r="P183" s="196"/>
      <c r="Q183" s="196"/>
    </row>
    <row r="184" spans="1:17" ht="15.75" customHeight="1">
      <c r="A184" s="196"/>
      <c r="B184" s="196"/>
      <c r="C184" s="283"/>
      <c r="D184" s="283"/>
      <c r="E184" s="283"/>
      <c r="F184" s="196"/>
      <c r="G184" s="196"/>
      <c r="H184" s="196"/>
      <c r="I184" s="196"/>
      <c r="J184" s="196"/>
      <c r="K184" s="196"/>
      <c r="L184" s="196"/>
      <c r="M184" s="196"/>
      <c r="N184" s="196"/>
      <c r="O184" s="196"/>
      <c r="P184" s="196"/>
      <c r="Q184" s="196"/>
    </row>
    <row r="185" spans="1:17" ht="15.75" customHeight="1">
      <c r="A185" s="196"/>
      <c r="B185" s="196"/>
      <c r="C185" s="283"/>
      <c r="D185" s="283"/>
      <c r="E185" s="283"/>
      <c r="F185" s="196"/>
      <c r="G185" s="196"/>
      <c r="H185" s="196"/>
      <c r="I185" s="196"/>
      <c r="J185" s="196"/>
      <c r="K185" s="196"/>
      <c r="L185" s="196"/>
      <c r="M185" s="196"/>
      <c r="N185" s="196"/>
      <c r="O185" s="196"/>
      <c r="P185" s="196"/>
      <c r="Q185" s="196"/>
    </row>
    <row r="186" spans="1:17" ht="15.75" customHeight="1">
      <c r="A186" s="196"/>
      <c r="B186" s="196"/>
      <c r="C186" s="283"/>
      <c r="D186" s="283"/>
      <c r="E186" s="283"/>
      <c r="F186" s="196"/>
      <c r="G186" s="196"/>
      <c r="H186" s="196"/>
      <c r="I186" s="196"/>
      <c r="J186" s="196"/>
      <c r="K186" s="196"/>
      <c r="L186" s="196"/>
      <c r="M186" s="196"/>
      <c r="N186" s="196"/>
      <c r="O186" s="196"/>
      <c r="P186" s="196"/>
      <c r="Q186" s="196"/>
    </row>
    <row r="187" spans="1:17" ht="15.75" customHeight="1">
      <c r="A187" s="196"/>
      <c r="B187" s="196"/>
      <c r="C187" s="283"/>
      <c r="D187" s="283"/>
      <c r="E187" s="283"/>
      <c r="F187" s="196"/>
      <c r="G187" s="196"/>
      <c r="H187" s="196"/>
      <c r="I187" s="196"/>
      <c r="J187" s="196"/>
      <c r="K187" s="196"/>
      <c r="L187" s="196"/>
      <c r="M187" s="196"/>
      <c r="N187" s="196"/>
      <c r="O187" s="196"/>
      <c r="P187" s="196"/>
      <c r="Q187" s="196"/>
    </row>
    <row r="188" spans="1:17" ht="15.75" customHeight="1">
      <c r="A188" s="196"/>
      <c r="B188" s="196"/>
      <c r="C188" s="283"/>
      <c r="D188" s="283"/>
      <c r="E188" s="283"/>
      <c r="F188" s="196"/>
      <c r="G188" s="196"/>
      <c r="H188" s="196"/>
      <c r="I188" s="196"/>
      <c r="J188" s="196"/>
      <c r="K188" s="196"/>
      <c r="L188" s="196"/>
      <c r="M188" s="196"/>
      <c r="N188" s="196"/>
      <c r="O188" s="196"/>
      <c r="P188" s="196"/>
      <c r="Q188" s="196"/>
    </row>
    <row r="189" spans="1:17" ht="15.75" customHeight="1">
      <c r="A189" s="196"/>
      <c r="B189" s="196"/>
      <c r="C189" s="283"/>
      <c r="D189" s="283"/>
      <c r="E189" s="283"/>
      <c r="F189" s="196"/>
      <c r="G189" s="196"/>
      <c r="H189" s="196"/>
      <c r="I189" s="196"/>
      <c r="J189" s="196"/>
      <c r="K189" s="196"/>
      <c r="L189" s="196"/>
      <c r="M189" s="196"/>
      <c r="N189" s="196"/>
      <c r="O189" s="196"/>
      <c r="P189" s="196"/>
      <c r="Q189" s="196"/>
    </row>
    <row r="190" spans="1:17" ht="15.75" customHeight="1">
      <c r="A190" s="196"/>
      <c r="B190" s="196"/>
      <c r="C190" s="283"/>
      <c r="D190" s="283"/>
      <c r="E190" s="283"/>
      <c r="F190" s="196"/>
      <c r="G190" s="196"/>
      <c r="H190" s="196"/>
      <c r="I190" s="196"/>
      <c r="J190" s="196"/>
      <c r="K190" s="196"/>
      <c r="L190" s="196"/>
      <c r="M190" s="196"/>
      <c r="N190" s="196"/>
      <c r="O190" s="196"/>
      <c r="P190" s="196"/>
      <c r="Q190" s="196"/>
    </row>
    <row r="191" spans="1:17" ht="15.75" customHeight="1">
      <c r="A191" s="196"/>
      <c r="B191" s="196"/>
      <c r="C191" s="283"/>
      <c r="D191" s="283"/>
      <c r="E191" s="283"/>
      <c r="F191" s="196"/>
      <c r="G191" s="196"/>
      <c r="H191" s="196"/>
      <c r="I191" s="196"/>
      <c r="J191" s="196"/>
      <c r="K191" s="196"/>
      <c r="L191" s="196"/>
      <c r="M191" s="196"/>
      <c r="N191" s="196"/>
      <c r="O191" s="196"/>
      <c r="P191" s="196"/>
      <c r="Q191" s="196"/>
    </row>
    <row r="192" spans="1:17" ht="15.75" customHeight="1">
      <c r="A192" s="196"/>
      <c r="B192" s="196"/>
      <c r="C192" s="283"/>
      <c r="D192" s="283"/>
      <c r="E192" s="283"/>
      <c r="F192" s="196"/>
      <c r="G192" s="196"/>
      <c r="H192" s="196"/>
      <c r="I192" s="196"/>
      <c r="J192" s="196"/>
      <c r="K192" s="196"/>
      <c r="L192" s="196"/>
      <c r="M192" s="196"/>
      <c r="N192" s="196"/>
      <c r="O192" s="196"/>
      <c r="P192" s="196"/>
      <c r="Q192" s="196"/>
    </row>
    <row r="193" spans="1:17" ht="15.75" customHeight="1">
      <c r="A193" s="196"/>
      <c r="B193" s="196"/>
      <c r="C193" s="283"/>
      <c r="D193" s="283"/>
      <c r="E193" s="283"/>
      <c r="F193" s="196"/>
      <c r="G193" s="196"/>
      <c r="H193" s="196"/>
      <c r="I193" s="196"/>
      <c r="J193" s="196"/>
      <c r="K193" s="196"/>
      <c r="L193" s="196"/>
      <c r="M193" s="196"/>
      <c r="N193" s="196"/>
      <c r="O193" s="196"/>
      <c r="P193" s="196"/>
      <c r="Q193" s="196"/>
    </row>
    <row r="194" spans="1:17" ht="15.75" customHeight="1">
      <c r="A194" s="196"/>
      <c r="B194" s="196"/>
      <c r="C194" s="283"/>
      <c r="D194" s="283"/>
      <c r="E194" s="283"/>
      <c r="F194" s="196"/>
      <c r="G194" s="196"/>
      <c r="H194" s="196"/>
      <c r="I194" s="196"/>
      <c r="J194" s="196"/>
      <c r="K194" s="196"/>
      <c r="L194" s="196"/>
      <c r="M194" s="196"/>
      <c r="N194" s="196"/>
      <c r="O194" s="196"/>
      <c r="P194" s="196"/>
      <c r="Q194" s="196"/>
    </row>
    <row r="195" spans="1:17" ht="15.75" customHeight="1">
      <c r="A195" s="196"/>
      <c r="B195" s="196"/>
      <c r="C195" s="283"/>
      <c r="D195" s="283"/>
      <c r="E195" s="283"/>
      <c r="F195" s="196"/>
      <c r="G195" s="196"/>
      <c r="H195" s="196"/>
      <c r="I195" s="196"/>
      <c r="J195" s="196"/>
      <c r="K195" s="196"/>
      <c r="L195" s="196"/>
      <c r="M195" s="196"/>
      <c r="N195" s="196"/>
      <c r="O195" s="196"/>
      <c r="P195" s="196"/>
      <c r="Q195" s="196"/>
    </row>
    <row r="196" spans="1:17" ht="15.75" customHeight="1">
      <c r="A196" s="196"/>
      <c r="B196" s="196"/>
      <c r="C196" s="283"/>
      <c r="D196" s="283"/>
      <c r="E196" s="283"/>
      <c r="F196" s="196"/>
      <c r="G196" s="196"/>
      <c r="H196" s="196"/>
      <c r="I196" s="196"/>
      <c r="J196" s="196"/>
      <c r="K196" s="196"/>
      <c r="L196" s="196"/>
      <c r="M196" s="196"/>
      <c r="N196" s="196"/>
      <c r="O196" s="196"/>
      <c r="P196" s="196"/>
      <c r="Q196" s="196"/>
    </row>
    <row r="197" spans="1:17" ht="15.75" customHeight="1">
      <c r="A197" s="196"/>
      <c r="B197" s="196"/>
      <c r="C197" s="283"/>
      <c r="D197" s="283"/>
      <c r="E197" s="283"/>
      <c r="F197" s="196"/>
      <c r="G197" s="196"/>
      <c r="H197" s="196"/>
      <c r="I197" s="196"/>
      <c r="J197" s="196"/>
      <c r="K197" s="196"/>
      <c r="L197" s="196"/>
      <c r="M197" s="196"/>
      <c r="N197" s="196"/>
      <c r="O197" s="196"/>
      <c r="P197" s="196"/>
      <c r="Q197" s="196"/>
    </row>
    <row r="198" spans="1:17" ht="15.75" customHeight="1">
      <c r="A198" s="196"/>
      <c r="B198" s="196"/>
      <c r="C198" s="283"/>
      <c r="D198" s="283"/>
      <c r="E198" s="283"/>
      <c r="F198" s="196"/>
      <c r="G198" s="196"/>
      <c r="H198" s="196"/>
      <c r="I198" s="196"/>
      <c r="J198" s="196"/>
      <c r="K198" s="196"/>
      <c r="L198" s="196"/>
      <c r="M198" s="196"/>
      <c r="N198" s="196"/>
      <c r="O198" s="196"/>
      <c r="P198" s="196"/>
      <c r="Q198" s="196"/>
    </row>
    <row r="199" spans="1:17" ht="15.75" customHeight="1">
      <c r="A199" s="196"/>
      <c r="B199" s="196"/>
      <c r="C199" s="283"/>
      <c r="D199" s="283"/>
      <c r="E199" s="283"/>
      <c r="F199" s="196"/>
      <c r="G199" s="196"/>
      <c r="H199" s="196"/>
      <c r="I199" s="196"/>
      <c r="J199" s="196"/>
      <c r="K199" s="196"/>
      <c r="L199" s="196"/>
      <c r="M199" s="196"/>
      <c r="N199" s="196"/>
      <c r="O199" s="196"/>
      <c r="P199" s="196"/>
      <c r="Q199" s="196"/>
    </row>
    <row r="200" spans="1:17" ht="15.75" customHeight="1">
      <c r="A200" s="196"/>
      <c r="B200" s="196"/>
      <c r="C200" s="283"/>
      <c r="D200" s="283"/>
      <c r="E200" s="283"/>
      <c r="F200" s="196"/>
      <c r="G200" s="196"/>
      <c r="H200" s="196"/>
      <c r="I200" s="196"/>
      <c r="J200" s="196"/>
      <c r="K200" s="196"/>
      <c r="L200" s="196"/>
      <c r="M200" s="196"/>
      <c r="N200" s="196"/>
      <c r="O200" s="196"/>
      <c r="P200" s="196"/>
      <c r="Q200" s="196"/>
    </row>
    <row r="201" spans="1:17" ht="15.75" customHeight="1">
      <c r="A201" s="196"/>
      <c r="B201" s="196"/>
      <c r="C201" s="283"/>
      <c r="D201" s="283"/>
      <c r="E201" s="283"/>
      <c r="F201" s="196"/>
      <c r="G201" s="196"/>
      <c r="H201" s="196"/>
      <c r="I201" s="196"/>
      <c r="J201" s="196"/>
      <c r="K201" s="196"/>
      <c r="L201" s="196"/>
      <c r="M201" s="196"/>
      <c r="N201" s="196"/>
      <c r="O201" s="196"/>
      <c r="P201" s="196"/>
      <c r="Q201" s="196"/>
    </row>
    <row r="202" spans="1:17" ht="15.75" customHeight="1">
      <c r="A202" s="196"/>
      <c r="B202" s="196"/>
      <c r="C202" s="283"/>
      <c r="D202" s="283"/>
      <c r="E202" s="283"/>
      <c r="F202" s="196"/>
      <c r="G202" s="196"/>
      <c r="H202" s="196"/>
      <c r="I202" s="196"/>
      <c r="J202" s="196"/>
      <c r="K202" s="196"/>
      <c r="L202" s="196"/>
      <c r="M202" s="196"/>
      <c r="N202" s="196"/>
      <c r="O202" s="196"/>
      <c r="P202" s="196"/>
      <c r="Q202" s="196"/>
    </row>
    <row r="203" spans="1:17" ht="15.75" customHeight="1">
      <c r="A203" s="196"/>
      <c r="B203" s="196"/>
      <c r="C203" s="283"/>
      <c r="D203" s="283"/>
      <c r="E203" s="283"/>
      <c r="F203" s="196"/>
      <c r="G203" s="196"/>
      <c r="H203" s="196"/>
      <c r="I203" s="196"/>
      <c r="J203" s="196"/>
      <c r="K203" s="196"/>
      <c r="L203" s="196"/>
      <c r="M203" s="196"/>
      <c r="N203" s="196"/>
      <c r="O203" s="196"/>
      <c r="P203" s="196"/>
      <c r="Q203" s="196"/>
    </row>
    <row r="204" spans="1:17" ht="15.75" customHeight="1">
      <c r="A204" s="196"/>
      <c r="B204" s="196"/>
      <c r="C204" s="283"/>
      <c r="D204" s="283"/>
      <c r="E204" s="283"/>
      <c r="F204" s="196"/>
      <c r="G204" s="196"/>
      <c r="H204" s="196"/>
      <c r="I204" s="196"/>
      <c r="J204" s="196"/>
      <c r="K204" s="196"/>
      <c r="L204" s="196"/>
      <c r="M204" s="196"/>
      <c r="N204" s="196"/>
      <c r="O204" s="196"/>
      <c r="P204" s="196"/>
      <c r="Q204" s="196"/>
    </row>
    <row r="205" spans="1:17" ht="15.75" customHeight="1">
      <c r="A205" s="196"/>
      <c r="B205" s="196"/>
      <c r="C205" s="283"/>
      <c r="D205" s="283"/>
      <c r="E205" s="283"/>
      <c r="F205" s="196"/>
      <c r="G205" s="196"/>
      <c r="H205" s="196"/>
      <c r="I205" s="196"/>
      <c r="J205" s="196"/>
      <c r="K205" s="196"/>
      <c r="L205" s="196"/>
      <c r="M205" s="196"/>
      <c r="N205" s="196"/>
      <c r="O205" s="196"/>
      <c r="P205" s="196"/>
      <c r="Q205" s="196"/>
    </row>
    <row r="206" spans="1:17" ht="15.75" customHeight="1">
      <c r="A206" s="196"/>
      <c r="B206" s="196"/>
      <c r="C206" s="283"/>
      <c r="D206" s="283"/>
      <c r="E206" s="283"/>
      <c r="F206" s="196"/>
      <c r="G206" s="196"/>
      <c r="H206" s="196"/>
      <c r="I206" s="196"/>
      <c r="J206" s="196"/>
      <c r="K206" s="196"/>
      <c r="L206" s="196"/>
      <c r="M206" s="196"/>
      <c r="N206" s="196"/>
      <c r="O206" s="196"/>
      <c r="P206" s="196"/>
      <c r="Q206" s="196"/>
    </row>
    <row r="207" spans="1:17" ht="15.75" customHeight="1">
      <c r="A207" s="196"/>
      <c r="B207" s="196"/>
      <c r="C207" s="283"/>
      <c r="D207" s="283"/>
      <c r="E207" s="283"/>
      <c r="F207" s="196"/>
      <c r="G207" s="196"/>
      <c r="H207" s="196"/>
      <c r="I207" s="196"/>
      <c r="J207" s="196"/>
      <c r="K207" s="196"/>
      <c r="L207" s="196"/>
      <c r="M207" s="196"/>
      <c r="N207" s="196"/>
      <c r="O207" s="196"/>
      <c r="P207" s="196"/>
      <c r="Q207" s="196"/>
    </row>
    <row r="208" spans="1:17" ht="15.75" customHeight="1">
      <c r="A208" s="196"/>
      <c r="B208" s="196"/>
      <c r="C208" s="283"/>
      <c r="D208" s="283"/>
      <c r="E208" s="283"/>
      <c r="F208" s="196"/>
      <c r="G208" s="196"/>
      <c r="H208" s="196"/>
      <c r="I208" s="196"/>
      <c r="J208" s="196"/>
      <c r="K208" s="196"/>
      <c r="L208" s="196"/>
      <c r="M208" s="196"/>
      <c r="N208" s="196"/>
      <c r="O208" s="196"/>
      <c r="P208" s="196"/>
      <c r="Q208" s="196"/>
    </row>
    <row r="209" spans="1:17" ht="15.75" customHeight="1">
      <c r="A209" s="196"/>
      <c r="B209" s="196"/>
      <c r="C209" s="283"/>
      <c r="D209" s="283"/>
      <c r="E209" s="283"/>
      <c r="F209" s="196"/>
      <c r="G209" s="196"/>
      <c r="H209" s="196"/>
      <c r="I209" s="196"/>
      <c r="J209" s="196"/>
      <c r="K209" s="196"/>
      <c r="L209" s="196"/>
      <c r="M209" s="196"/>
      <c r="N209" s="196"/>
      <c r="O209" s="196"/>
      <c r="P209" s="196"/>
      <c r="Q209" s="196"/>
    </row>
    <row r="210" spans="1:17" ht="15.75" customHeight="1">
      <c r="A210" s="196"/>
      <c r="B210" s="196"/>
      <c r="C210" s="283"/>
      <c r="D210" s="283"/>
      <c r="E210" s="283"/>
      <c r="F210" s="196"/>
      <c r="G210" s="196"/>
      <c r="H210" s="196"/>
      <c r="I210" s="196"/>
      <c r="J210" s="196"/>
      <c r="K210" s="196"/>
      <c r="L210" s="196"/>
      <c r="M210" s="196"/>
      <c r="N210" s="196"/>
      <c r="O210" s="196"/>
      <c r="P210" s="196"/>
      <c r="Q210" s="196"/>
    </row>
    <row r="211" spans="1:17" ht="15.75" customHeight="1">
      <c r="A211" s="196"/>
      <c r="B211" s="196"/>
      <c r="C211" s="283"/>
      <c r="D211" s="283"/>
      <c r="E211" s="283"/>
      <c r="F211" s="196"/>
      <c r="G211" s="196"/>
      <c r="H211" s="196"/>
      <c r="I211" s="196"/>
      <c r="J211" s="196"/>
      <c r="K211" s="196"/>
      <c r="L211" s="196"/>
      <c r="M211" s="196"/>
      <c r="N211" s="196"/>
      <c r="O211" s="196"/>
      <c r="P211" s="196"/>
      <c r="Q211" s="196"/>
    </row>
    <row r="212" spans="1:17" ht="15.75" customHeight="1">
      <c r="A212" s="196"/>
      <c r="B212" s="196"/>
      <c r="C212" s="283"/>
      <c r="D212" s="283"/>
      <c r="E212" s="283"/>
      <c r="F212" s="196"/>
      <c r="G212" s="196"/>
      <c r="H212" s="196"/>
      <c r="I212" s="196"/>
      <c r="J212" s="196"/>
      <c r="K212" s="196"/>
      <c r="L212" s="196"/>
      <c r="M212" s="196"/>
      <c r="N212" s="196"/>
      <c r="O212" s="196"/>
      <c r="P212" s="196"/>
      <c r="Q212" s="196"/>
    </row>
    <row r="213" spans="1:17" ht="15.75" customHeight="1">
      <c r="A213" s="196"/>
      <c r="B213" s="196"/>
      <c r="C213" s="283"/>
      <c r="D213" s="283"/>
      <c r="E213" s="283"/>
      <c r="F213" s="196"/>
      <c r="G213" s="196"/>
      <c r="H213" s="196"/>
      <c r="I213" s="196"/>
      <c r="J213" s="196"/>
      <c r="K213" s="196"/>
      <c r="L213" s="196"/>
      <c r="M213" s="196"/>
      <c r="N213" s="196"/>
      <c r="O213" s="196"/>
      <c r="P213" s="196"/>
      <c r="Q213" s="196"/>
    </row>
    <row r="214" spans="1:17" ht="15.75" customHeight="1">
      <c r="A214" s="196"/>
      <c r="B214" s="196"/>
      <c r="C214" s="283"/>
      <c r="D214" s="283"/>
      <c r="E214" s="283"/>
      <c r="F214" s="196"/>
      <c r="G214" s="196"/>
      <c r="H214" s="196"/>
      <c r="I214" s="196"/>
      <c r="J214" s="196"/>
      <c r="K214" s="196"/>
      <c r="L214" s="196"/>
      <c r="M214" s="196"/>
      <c r="N214" s="196"/>
      <c r="O214" s="196"/>
      <c r="P214" s="196"/>
      <c r="Q214" s="196"/>
    </row>
    <row r="215" spans="1:17" ht="15.75" customHeight="1">
      <c r="A215" s="196"/>
      <c r="B215" s="196"/>
      <c r="C215" s="283"/>
      <c r="D215" s="283"/>
      <c r="E215" s="283"/>
      <c r="F215" s="196"/>
      <c r="G215" s="196"/>
      <c r="H215" s="196"/>
      <c r="I215" s="196"/>
      <c r="J215" s="196"/>
      <c r="K215" s="196"/>
      <c r="L215" s="196"/>
      <c r="M215" s="196"/>
      <c r="N215" s="196"/>
      <c r="O215" s="196"/>
      <c r="P215" s="196"/>
      <c r="Q215" s="196"/>
    </row>
    <row r="216" spans="1:17" ht="15.75" customHeight="1">
      <c r="A216" s="196"/>
      <c r="B216" s="196"/>
      <c r="C216" s="283"/>
      <c r="D216" s="283"/>
      <c r="E216" s="283"/>
      <c r="F216" s="196"/>
      <c r="G216" s="196"/>
      <c r="H216" s="196"/>
      <c r="I216" s="196"/>
      <c r="J216" s="196"/>
      <c r="K216" s="196"/>
      <c r="L216" s="196"/>
      <c r="M216" s="196"/>
      <c r="N216" s="196"/>
      <c r="O216" s="196"/>
      <c r="P216" s="196"/>
      <c r="Q216" s="196"/>
    </row>
    <row r="217" spans="1:17" ht="15.75" customHeight="1">
      <c r="A217" s="196"/>
      <c r="B217" s="196"/>
      <c r="C217" s="283"/>
      <c r="D217" s="283"/>
      <c r="E217" s="283"/>
      <c r="F217" s="196"/>
      <c r="G217" s="196"/>
      <c r="H217" s="196"/>
      <c r="I217" s="196"/>
      <c r="J217" s="196"/>
      <c r="K217" s="196"/>
      <c r="L217" s="196"/>
      <c r="M217" s="196"/>
      <c r="N217" s="196"/>
      <c r="O217" s="196"/>
      <c r="P217" s="196"/>
      <c r="Q217" s="196"/>
    </row>
    <row r="218" spans="1:17" ht="15.75" customHeight="1">
      <c r="A218" s="196"/>
      <c r="B218" s="196"/>
      <c r="C218" s="283"/>
      <c r="D218" s="283"/>
      <c r="E218" s="283"/>
      <c r="F218" s="196"/>
      <c r="G218" s="196"/>
      <c r="H218" s="196"/>
      <c r="I218" s="196"/>
      <c r="J218" s="196"/>
      <c r="K218" s="196"/>
      <c r="L218" s="196"/>
      <c r="M218" s="196"/>
      <c r="N218" s="196"/>
      <c r="O218" s="196"/>
      <c r="P218" s="196"/>
      <c r="Q218" s="196"/>
    </row>
    <row r="219" spans="1:17" ht="15.75" customHeight="1">
      <c r="A219" s="196"/>
      <c r="B219" s="196"/>
      <c r="C219" s="283"/>
      <c r="D219" s="283"/>
      <c r="E219" s="283"/>
      <c r="F219" s="196"/>
      <c r="G219" s="196"/>
      <c r="H219" s="196"/>
      <c r="I219" s="196"/>
      <c r="J219" s="196"/>
      <c r="K219" s="196"/>
      <c r="L219" s="196"/>
      <c r="M219" s="196"/>
      <c r="N219" s="196"/>
      <c r="O219" s="196"/>
      <c r="P219" s="196"/>
      <c r="Q219" s="196"/>
    </row>
    <row r="220" spans="1:17" ht="15.75" customHeight="1">
      <c r="A220" s="196"/>
      <c r="B220" s="196"/>
      <c r="C220" s="283"/>
      <c r="D220" s="283"/>
      <c r="E220" s="283"/>
      <c r="F220" s="196"/>
      <c r="G220" s="196"/>
      <c r="H220" s="196"/>
      <c r="I220" s="196"/>
      <c r="J220" s="196"/>
      <c r="K220" s="196"/>
      <c r="L220" s="196"/>
      <c r="M220" s="196"/>
      <c r="N220" s="196"/>
      <c r="O220" s="196"/>
      <c r="P220" s="196"/>
      <c r="Q220" s="196"/>
    </row>
    <row r="221" spans="1:17" ht="15.75" customHeight="1">
      <c r="A221" s="196"/>
      <c r="B221" s="196"/>
      <c r="C221" s="283"/>
      <c r="D221" s="283"/>
      <c r="E221" s="283"/>
      <c r="F221" s="196"/>
      <c r="G221" s="196"/>
      <c r="H221" s="196"/>
      <c r="I221" s="196"/>
      <c r="J221" s="196"/>
      <c r="K221" s="196"/>
      <c r="L221" s="196"/>
      <c r="M221" s="196"/>
      <c r="N221" s="196"/>
      <c r="O221" s="196"/>
      <c r="P221" s="196"/>
      <c r="Q221" s="196"/>
    </row>
    <row r="222" spans="1:17" ht="15.75" customHeight="1">
      <c r="A222" s="196"/>
      <c r="B222" s="196"/>
      <c r="C222" s="283"/>
      <c r="D222" s="283"/>
      <c r="E222" s="283"/>
      <c r="F222" s="196"/>
      <c r="G222" s="196"/>
      <c r="H222" s="196"/>
      <c r="I222" s="196"/>
      <c r="J222" s="196"/>
      <c r="K222" s="196"/>
      <c r="L222" s="196"/>
      <c r="M222" s="196"/>
      <c r="N222" s="196"/>
      <c r="O222" s="196"/>
      <c r="P222" s="196"/>
      <c r="Q222" s="196"/>
    </row>
    <row r="223" spans="1:17" ht="15.75" customHeight="1">
      <c r="A223" s="196"/>
      <c r="B223" s="196"/>
      <c r="C223" s="283"/>
      <c r="D223" s="283"/>
      <c r="E223" s="283"/>
      <c r="F223" s="196"/>
      <c r="G223" s="196"/>
      <c r="H223" s="196"/>
      <c r="I223" s="196"/>
      <c r="J223" s="196"/>
      <c r="K223" s="196"/>
      <c r="L223" s="196"/>
      <c r="M223" s="196"/>
      <c r="N223" s="196"/>
      <c r="O223" s="196"/>
      <c r="P223" s="196"/>
      <c r="Q223" s="196"/>
    </row>
    <row r="224" spans="1:17" ht="15.75" customHeight="1">
      <c r="A224" s="196"/>
      <c r="B224" s="196"/>
      <c r="C224" s="283"/>
      <c r="D224" s="283"/>
      <c r="E224" s="283"/>
      <c r="F224" s="196"/>
      <c r="G224" s="196"/>
      <c r="H224" s="196"/>
      <c r="I224" s="196"/>
      <c r="J224" s="196"/>
      <c r="K224" s="196"/>
      <c r="L224" s="196"/>
      <c r="M224" s="196"/>
      <c r="N224" s="196"/>
      <c r="O224" s="196"/>
      <c r="P224" s="196"/>
      <c r="Q224" s="196"/>
    </row>
    <row r="225" spans="1:17" ht="15.75" customHeight="1">
      <c r="A225" s="196"/>
      <c r="B225" s="196"/>
      <c r="C225" s="283"/>
      <c r="D225" s="283"/>
      <c r="E225" s="283"/>
      <c r="F225" s="196"/>
      <c r="G225" s="196"/>
      <c r="H225" s="196"/>
      <c r="I225" s="196"/>
      <c r="J225" s="196"/>
      <c r="K225" s="196"/>
      <c r="L225" s="196"/>
      <c r="M225" s="196"/>
      <c r="N225" s="196"/>
      <c r="O225" s="196"/>
      <c r="P225" s="196"/>
      <c r="Q225" s="196"/>
    </row>
    <row r="226" spans="1:17" ht="15.75" customHeight="1">
      <c r="A226" s="196"/>
      <c r="B226" s="196"/>
      <c r="C226" s="283"/>
      <c r="D226" s="283"/>
      <c r="E226" s="283"/>
      <c r="F226" s="196"/>
      <c r="G226" s="196"/>
      <c r="H226" s="196"/>
      <c r="I226" s="196"/>
      <c r="J226" s="196"/>
      <c r="K226" s="196"/>
      <c r="L226" s="196"/>
      <c r="M226" s="196"/>
      <c r="N226" s="196"/>
      <c r="O226" s="196"/>
      <c r="P226" s="196"/>
      <c r="Q226" s="196"/>
    </row>
    <row r="227" spans="1:17" ht="15.75" customHeight="1">
      <c r="A227" s="196"/>
      <c r="B227" s="196"/>
      <c r="C227" s="283"/>
      <c r="D227" s="283"/>
      <c r="E227" s="283"/>
      <c r="F227" s="196"/>
      <c r="G227" s="196"/>
      <c r="H227" s="196"/>
      <c r="I227" s="196"/>
      <c r="J227" s="196"/>
      <c r="K227" s="196"/>
      <c r="L227" s="196"/>
      <c r="M227" s="196"/>
      <c r="N227" s="196"/>
      <c r="O227" s="196"/>
      <c r="P227" s="196"/>
      <c r="Q227" s="196"/>
    </row>
    <row r="228" spans="1:17" ht="15.75" customHeight="1">
      <c r="A228" s="196"/>
      <c r="B228" s="196"/>
      <c r="C228" s="283"/>
      <c r="D228" s="283"/>
      <c r="E228" s="283"/>
      <c r="F228" s="196"/>
      <c r="G228" s="196"/>
      <c r="H228" s="196"/>
      <c r="I228" s="196"/>
      <c r="J228" s="196"/>
      <c r="K228" s="196"/>
      <c r="L228" s="196"/>
      <c r="M228" s="196"/>
      <c r="N228" s="196"/>
      <c r="O228" s="196"/>
      <c r="P228" s="196"/>
      <c r="Q228" s="196"/>
    </row>
    <row r="229" spans="1:17" ht="15.75" customHeight="1">
      <c r="A229" s="196"/>
      <c r="B229" s="196"/>
      <c r="C229" s="283"/>
      <c r="D229" s="283"/>
      <c r="E229" s="283"/>
      <c r="F229" s="196"/>
      <c r="G229" s="196"/>
      <c r="H229" s="196"/>
      <c r="I229" s="196"/>
      <c r="J229" s="196"/>
      <c r="K229" s="196"/>
      <c r="L229" s="196"/>
      <c r="M229" s="196"/>
      <c r="N229" s="196"/>
      <c r="O229" s="196"/>
      <c r="P229" s="196"/>
      <c r="Q229" s="196"/>
    </row>
    <row r="230" spans="1:17" ht="15.75" customHeight="1">
      <c r="A230" s="196"/>
      <c r="B230" s="196"/>
      <c r="C230" s="283"/>
      <c r="D230" s="283"/>
      <c r="E230" s="283"/>
      <c r="F230" s="196"/>
      <c r="G230" s="196"/>
      <c r="H230" s="196"/>
      <c r="I230" s="196"/>
      <c r="J230" s="196"/>
      <c r="K230" s="196"/>
      <c r="L230" s="196"/>
      <c r="M230" s="196"/>
      <c r="N230" s="196"/>
      <c r="O230" s="196"/>
      <c r="P230" s="196"/>
      <c r="Q230" s="196"/>
    </row>
    <row r="231" spans="1:17" ht="15.75" customHeight="1">
      <c r="A231" s="196"/>
      <c r="B231" s="196"/>
      <c r="C231" s="283"/>
      <c r="D231" s="283"/>
      <c r="E231" s="283"/>
      <c r="F231" s="196"/>
      <c r="G231" s="196"/>
      <c r="H231" s="196"/>
      <c r="I231" s="196"/>
      <c r="J231" s="196"/>
      <c r="K231" s="196"/>
      <c r="L231" s="196"/>
      <c r="M231" s="196"/>
      <c r="N231" s="196"/>
      <c r="O231" s="196"/>
      <c r="P231" s="196"/>
      <c r="Q231" s="196"/>
    </row>
    <row r="232" spans="1:17" ht="15.75" customHeight="1">
      <c r="A232" s="196"/>
      <c r="B232" s="196"/>
      <c r="C232" s="283"/>
      <c r="D232" s="283"/>
      <c r="E232" s="283"/>
      <c r="F232" s="196"/>
      <c r="G232" s="196"/>
      <c r="H232" s="196"/>
      <c r="I232" s="196"/>
      <c r="J232" s="196"/>
      <c r="K232" s="196"/>
      <c r="L232" s="196"/>
      <c r="M232" s="196"/>
      <c r="N232" s="196"/>
      <c r="O232" s="196"/>
      <c r="P232" s="196"/>
      <c r="Q232" s="196"/>
    </row>
    <row r="233" spans="1:17" ht="15.75" customHeight="1">
      <c r="A233" s="196"/>
      <c r="B233" s="196"/>
      <c r="C233" s="283"/>
      <c r="D233" s="283"/>
      <c r="E233" s="283"/>
      <c r="F233" s="196"/>
      <c r="G233" s="196"/>
      <c r="H233" s="196"/>
      <c r="I233" s="196"/>
      <c r="J233" s="196"/>
      <c r="K233" s="196"/>
      <c r="L233" s="196"/>
      <c r="M233" s="196"/>
      <c r="N233" s="196"/>
      <c r="O233" s="196"/>
      <c r="P233" s="196"/>
      <c r="Q233" s="196"/>
    </row>
    <row r="234" spans="1:17" ht="15.75" customHeight="1">
      <c r="A234" s="196"/>
      <c r="B234" s="196"/>
      <c r="C234" s="283"/>
      <c r="D234" s="283"/>
      <c r="E234" s="283"/>
      <c r="F234" s="196"/>
      <c r="G234" s="196"/>
      <c r="H234" s="196"/>
      <c r="I234" s="196"/>
      <c r="J234" s="196"/>
      <c r="K234" s="196"/>
      <c r="L234" s="196"/>
      <c r="M234" s="196"/>
      <c r="N234" s="196"/>
      <c r="O234" s="196"/>
      <c r="P234" s="196"/>
      <c r="Q234" s="196"/>
    </row>
    <row r="235" spans="1:17" ht="15.75" customHeight="1">
      <c r="A235" s="196"/>
      <c r="B235" s="196"/>
      <c r="C235" s="283"/>
      <c r="D235" s="283"/>
      <c r="E235" s="283"/>
      <c r="F235" s="196"/>
      <c r="G235" s="196"/>
      <c r="H235" s="196"/>
      <c r="I235" s="196"/>
      <c r="J235" s="196"/>
      <c r="K235" s="196"/>
      <c r="L235" s="196"/>
      <c r="M235" s="196"/>
      <c r="N235" s="196"/>
      <c r="O235" s="196"/>
      <c r="P235" s="196"/>
      <c r="Q235" s="196"/>
    </row>
    <row r="236" spans="1:17" ht="15.75" customHeight="1">
      <c r="A236" s="196"/>
      <c r="B236" s="196"/>
      <c r="C236" s="283"/>
      <c r="D236" s="283"/>
      <c r="E236" s="283"/>
      <c r="F236" s="196"/>
      <c r="G236" s="196"/>
      <c r="H236" s="196"/>
      <c r="I236" s="196"/>
      <c r="J236" s="196"/>
      <c r="K236" s="196"/>
      <c r="L236" s="196"/>
      <c r="M236" s="196"/>
      <c r="N236" s="196"/>
      <c r="O236" s="196"/>
      <c r="P236" s="196"/>
      <c r="Q236" s="196"/>
    </row>
    <row r="237" spans="1:17" ht="15.75" customHeight="1">
      <c r="A237" s="196"/>
      <c r="B237" s="196"/>
      <c r="C237" s="283"/>
      <c r="D237" s="283"/>
      <c r="E237" s="283"/>
      <c r="F237" s="196"/>
      <c r="G237" s="196"/>
      <c r="H237" s="196"/>
      <c r="I237" s="196"/>
      <c r="J237" s="196"/>
      <c r="K237" s="196"/>
      <c r="L237" s="196"/>
      <c r="M237" s="196"/>
      <c r="N237" s="196"/>
      <c r="O237" s="196"/>
      <c r="P237" s="196"/>
      <c r="Q237" s="196"/>
    </row>
    <row r="238" spans="1:17" ht="15.75" customHeight="1">
      <c r="A238" s="196"/>
      <c r="B238" s="196"/>
      <c r="C238" s="283"/>
      <c r="D238" s="283"/>
      <c r="E238" s="283"/>
      <c r="F238" s="196"/>
      <c r="G238" s="196"/>
      <c r="H238" s="196"/>
      <c r="I238" s="196"/>
      <c r="J238" s="196"/>
      <c r="K238" s="196"/>
      <c r="L238" s="196"/>
      <c r="M238" s="196"/>
      <c r="N238" s="196"/>
      <c r="O238" s="196"/>
      <c r="P238" s="196"/>
      <c r="Q238" s="196"/>
    </row>
    <row r="239" spans="1:17" ht="15.75" customHeight="1">
      <c r="A239" s="196"/>
      <c r="B239" s="196"/>
      <c r="C239" s="283"/>
      <c r="D239" s="283"/>
      <c r="E239" s="283"/>
      <c r="F239" s="196"/>
      <c r="G239" s="196"/>
      <c r="H239" s="196"/>
      <c r="I239" s="196"/>
      <c r="J239" s="196"/>
      <c r="K239" s="196"/>
      <c r="L239" s="196"/>
      <c r="M239" s="196"/>
      <c r="N239" s="196"/>
      <c r="O239" s="196"/>
      <c r="P239" s="196"/>
      <c r="Q239" s="196"/>
    </row>
    <row r="240" spans="1:17" ht="15.75" customHeight="1">
      <c r="A240" s="196"/>
      <c r="B240" s="196"/>
      <c r="C240" s="283"/>
      <c r="D240" s="283"/>
      <c r="E240" s="283"/>
      <c r="F240" s="196"/>
      <c r="G240" s="196"/>
      <c r="H240" s="196"/>
      <c r="I240" s="196"/>
      <c r="J240" s="196"/>
      <c r="K240" s="196"/>
      <c r="L240" s="196"/>
      <c r="M240" s="196"/>
      <c r="N240" s="196"/>
      <c r="O240" s="196"/>
      <c r="P240" s="196"/>
      <c r="Q240" s="196"/>
    </row>
    <row r="241" spans="1:17" ht="15.75" customHeight="1">
      <c r="A241" s="196"/>
      <c r="B241" s="196"/>
      <c r="C241" s="283"/>
      <c r="D241" s="283"/>
      <c r="E241" s="283"/>
      <c r="F241" s="196"/>
      <c r="G241" s="196"/>
      <c r="H241" s="196"/>
      <c r="I241" s="196"/>
      <c r="J241" s="196"/>
      <c r="K241" s="196"/>
      <c r="L241" s="196"/>
      <c r="M241" s="196"/>
      <c r="N241" s="196"/>
      <c r="O241" s="196"/>
      <c r="P241" s="196"/>
      <c r="Q241" s="196"/>
    </row>
    <row r="242" spans="1:17" ht="15.75" customHeight="1">
      <c r="A242" s="196"/>
      <c r="B242" s="196"/>
      <c r="C242" s="283"/>
      <c r="D242" s="283"/>
      <c r="E242" s="283"/>
      <c r="F242" s="196"/>
      <c r="G242" s="196"/>
      <c r="H242" s="196"/>
      <c r="I242" s="196"/>
      <c r="J242" s="196"/>
      <c r="K242" s="196"/>
      <c r="L242" s="196"/>
      <c r="M242" s="196"/>
      <c r="N242" s="196"/>
      <c r="O242" s="196"/>
      <c r="P242" s="196"/>
      <c r="Q242" s="196"/>
    </row>
    <row r="243" spans="1:17" ht="15.75" customHeight="1">
      <c r="A243" s="196"/>
      <c r="B243" s="196"/>
      <c r="C243" s="283"/>
      <c r="D243" s="283"/>
      <c r="E243" s="283"/>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5:B986 B6:B63">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3">
      <formula>G7="未更換"</formula>
    </cfRule>
    <cfRule type="expression" dxfId="342" priority="4">
      <formula>G7="已更換"</formula>
    </cfRule>
  </conditionalFormatting>
  <conditionalFormatting sqref="G7:G64">
    <cfRule type="expression" dxfId="341" priority="2">
      <formula>G7="已PM未更換"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H4" sqref="H4"/>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292" customFormat="1" ht="20.25" customHeight="1">
      <c r="A1" s="326" t="s">
        <v>4091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T1" s="205" t="s">
        <v>7514</v>
      </c>
      <c r="U1" s="292">
        <v>12</v>
      </c>
      <c r="V1" s="292">
        <v>12</v>
      </c>
      <c r="W1" s="292">
        <v>11</v>
      </c>
    </row>
    <row r="2" spans="1:23" s="292" customFormat="1" ht="21" customHeight="1">
      <c r="A2" s="297">
        <f>COUNTA(I7:I150)</f>
        <v>35</v>
      </c>
      <c r="B2" s="296">
        <v>4</v>
      </c>
      <c r="C2" s="297">
        <f>U1</f>
        <v>12</v>
      </c>
      <c r="D2" s="297">
        <f>E2</f>
        <v>12</v>
      </c>
      <c r="E2" s="296">
        <f>COUNTIF(C$7:C$150,"v")</f>
        <v>12</v>
      </c>
      <c r="F2" s="296">
        <f>IF((C2-E2)&lt;0,"0",(C2-E2))</f>
        <v>0</v>
      </c>
      <c r="G2" s="298" t="str">
        <f>ROUND(IF((E2/C2)&gt;1,1,(E2/C2))*100,0)&amp;"%"</f>
        <v>100%</v>
      </c>
      <c r="H2" s="297">
        <f>COUNTIFS(門市主檔!E:E,A1,門市主檔!Z:Z,"STAR")</f>
        <v>26</v>
      </c>
      <c r="I2" s="297">
        <f>COUNTIF($G$7:$G$150,"已更換")+COUNTIF($G$7:$G$150,"完工已補裝")</f>
        <v>11</v>
      </c>
      <c r="J2" s="297">
        <f>COUNTIF($G$7:$G$150,"未更換")+COUNTIF($G$7:$G$150,"已PM未更換")</f>
        <v>15</v>
      </c>
      <c r="K2" s="195"/>
      <c r="L2" s="195"/>
      <c r="M2" s="195"/>
      <c r="N2" s="195"/>
      <c r="O2" s="195"/>
      <c r="P2" s="196"/>
      <c r="Q2" s="196"/>
      <c r="R2" s="291">
        <v>45778</v>
      </c>
      <c r="S2" s="216"/>
      <c r="U2" s="291">
        <f ca="1">TODAY()</f>
        <v>45803</v>
      </c>
    </row>
    <row r="3" spans="1:23" s="292" customFormat="1" ht="21" customHeight="1">
      <c r="A3" s="293"/>
      <c r="B3" s="296">
        <v>5</v>
      </c>
      <c r="C3" s="297">
        <f>V1</f>
        <v>12</v>
      </c>
      <c r="D3" s="297">
        <f>A2-E2-D4</f>
        <v>3</v>
      </c>
      <c r="E3" s="296">
        <f>COUNTIF(D$7:D$150,"v")</f>
        <v>3</v>
      </c>
      <c r="F3" s="296">
        <f>IF((D3-E3)&lt;0,"0",(D3-E3))</f>
        <v>0</v>
      </c>
      <c r="G3" s="298" t="str">
        <f>ROUND(IF((E3/C3)&gt;1,1,(E3/C3))*100,0)&amp;"%"</f>
        <v>25%</v>
      </c>
      <c r="H3" s="299"/>
      <c r="I3" s="300"/>
      <c r="J3" s="300"/>
      <c r="K3" s="195"/>
      <c r="L3" s="195"/>
      <c r="M3" s="195"/>
      <c r="N3" s="195"/>
      <c r="O3" s="195"/>
      <c r="P3" s="196"/>
      <c r="Q3" s="196"/>
      <c r="R3" s="291">
        <v>45809</v>
      </c>
      <c r="S3" s="291"/>
    </row>
    <row r="4" spans="1:23" s="292" customFormat="1" ht="21" customHeight="1">
      <c r="A4" s="198"/>
      <c r="B4" s="296">
        <v>6</v>
      </c>
      <c r="C4" s="297">
        <f>W1</f>
        <v>11</v>
      </c>
      <c r="D4" s="297">
        <f>A2-E2-E3</f>
        <v>20</v>
      </c>
      <c r="E4" s="296">
        <f>COUNTIF(E$7:E$150,"v")</f>
        <v>0</v>
      </c>
      <c r="F4" s="296">
        <f>IF((D4-E4)&lt;0,"0",(D4-E4))</f>
        <v>20</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35</v>
      </c>
      <c r="D5" s="329">
        <f>SUM(D2:D4)</f>
        <v>35</v>
      </c>
      <c r="E5" s="329">
        <f>SUM(E2:E4)</f>
        <v>15</v>
      </c>
      <c r="F5" s="329">
        <f t="shared" ref="F5" si="0">SUM(F2:F4)</f>
        <v>20</v>
      </c>
      <c r="G5" s="330" t="str">
        <f>ROUND(IF((E5/C5)&gt;1,1,(E5/C5))*100,0)&amp;"%"</f>
        <v>43%</v>
      </c>
      <c r="H5" s="331"/>
      <c r="I5" s="331"/>
      <c r="J5" s="332"/>
      <c r="K5" s="195"/>
      <c r="L5" s="195"/>
      <c r="M5" s="195"/>
      <c r="N5" s="195"/>
      <c r="O5" s="195"/>
      <c r="P5" s="196"/>
      <c r="Q5" s="196"/>
      <c r="R5" s="294" t="s">
        <v>5168</v>
      </c>
      <c r="S5" s="295" t="str" cm="1">
        <f t="array" ref="S5">IFERROR(HYPERLINK("#" &amp; ADDRESS(MIN(IF(ISNUMBER(SEARCH(R5, A6:J181)), ROW(A6:J181), 10000000000)), MIN(IF(ISNUMBER(SEARCH(R5, A6:J181)), COLUMN(A6:J181), 10000000000))), "搜索"), "未找到")</f>
        <v>未找到</v>
      </c>
    </row>
    <row r="6" spans="1:23" ht="25.5" customHeight="1">
      <c r="A6" s="199" t="s">
        <v>0</v>
      </c>
      <c r="B6" s="199" t="s">
        <v>1</v>
      </c>
      <c r="C6" s="199" t="s">
        <v>5030</v>
      </c>
      <c r="D6" s="199" t="s">
        <v>5031</v>
      </c>
      <c r="E6" s="199" t="s">
        <v>5032</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41" si="1">IF(COUNTBLANK(C7:E7)=3,"未保養","")</f>
        <v>未保養</v>
      </c>
      <c r="G7" s="201" t="str">
        <f>IF(VLOOKUP(A7,門市主檔!A:O,15,FALSE)="完工已補裝", "完工已補裝",
IF(AND(VLOOKUP(A7,門市主檔!A:Z,26,FALSE)="STAR", VLOOKUP(A7,門市主檔!A:R,18,FALSE)=""),
    IF(OR(C7="V", D7="V", E7="V"), "已PM未更換", "未更換"),
    IF(VLOOKUP(A7,門市主檔!A:Z,26,FALSE)&lt;&gt;"STAR", "無專案", "已更換")
))</f>
        <v>無專案</v>
      </c>
      <c r="H7" s="263">
        <f>VLOOKUP(A7,門市主檔!A:V,22,FALSE)</f>
        <v>0</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IF(VLOOKUP(A8,門市主檔!A:O,15,FALSE)="完工已補裝", "完工已補裝",
IF(AND(VLOOKUP(A8,門市主檔!A:Z,26,FALSE)="STAR", VLOOKUP(A8,門市主檔!A:R,18,FALSE)=""),
    IF(OR(C8="V", D8="V", E8="V"), "已PM未更換", "未更換"),
    IF(VLOOKUP(A8,門市主檔!A:Z,26,FALSE)&lt;&gt;"STAR", "無專案", "已更換")
))</f>
        <v>無專案</v>
      </c>
      <c r="H8" s="263">
        <f>VLOOKUP(A8,門市主檔!A:V,22,FALSE)</f>
        <v>0</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IF(VLOOKUP(A9,門市主檔!A:O,15,FALSE)="完工已補裝", "完工已補裝",
IF(AND(VLOOKUP(A9,門市主檔!A:Z,26,FALSE)="STAR", VLOOKUP(A9,門市主檔!A:R,18,FALSE)=""),
    IF(OR(C9="V", D9="V", E9="V"), "已PM未更換", "未更換"),
    IF(VLOOKUP(A9,門市主檔!A:Z,26,FALSE)&lt;&gt;"STAR", "無專案", "已更換")
))</f>
        <v>無專案</v>
      </c>
      <c r="H9" s="263">
        <f>VLOOKUP(A9,門市主檔!A:V,22,FALSE)</f>
        <v>0</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IF(VLOOKUP(A10,門市主檔!A:O,15,FALSE)="完工已補裝", "完工已補裝",
IF(AND(VLOOKUP(A10,門市主檔!A:Z,26,FALSE)="STAR", VLOOKUP(A10,門市主檔!A:R,18,FALSE)=""),
    IF(OR(C10="V", D10="V", E10="V"), "已PM未更換", "未更換"),
    IF(VLOOKUP(A10,門市主檔!A:Z,26,FALSE)&lt;&gt;"STAR", "無專案", "已更換")
))</f>
        <v>無專案</v>
      </c>
      <c r="H10" s="263">
        <f>VLOOKUP(A10,門市主檔!A:V,22,FALSE)</f>
        <v>0</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IF(VLOOKUP(A11,門市主檔!A:O,15,FALSE)="完工已補裝", "完工已補裝",
IF(AND(VLOOKUP(A11,門市主檔!A:Z,26,FALSE)="STAR", VLOOKUP(A11,門市主檔!A:R,18,FALSE)=""),
    IF(OR(C11="V", D11="V", E11="V"), "已PM未更換", "未更換"),
    IF(VLOOKUP(A11,門市主檔!A:Z,26,FALSE)&lt;&gt;"STAR", "無專案", "已更換")
))</f>
        <v>無專案</v>
      </c>
      <c r="H11" s="263">
        <f>VLOOKUP(A11,門市主檔!A:V,22,FALSE)</f>
        <v>0</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IF(VLOOKUP(A12,門市主檔!A:O,15,FALSE)="完工已補裝", "完工已補裝",
IF(AND(VLOOKUP(A12,門市主檔!A:Z,26,FALSE)="STAR", VLOOKUP(A12,門市主檔!A:R,18,FALSE)=""),
    IF(OR(C12="V", D12="V", E12="V"), "已PM未更換", "未更換"),
    IF(VLOOKUP(A12,門市主檔!A:Z,26,FALSE)&lt;&gt;"STAR", "無專案", "已更換")
))</f>
        <v>無專案</v>
      </c>
      <c r="H12" s="263">
        <f>VLOOKUP(A12,門市主檔!A:V,22,FALSE)</f>
        <v>0</v>
      </c>
      <c r="I12" s="201" t="str">
        <f>VLOOKUP(A12,'0919門市清單主檔'!B:V,21,FALSE)</f>
        <v>板橋區</v>
      </c>
      <c r="J12" s="209">
        <v>45743.484722222223</v>
      </c>
      <c r="K12" s="196"/>
      <c r="L12" s="196"/>
      <c r="M12" s="196"/>
      <c r="N12" s="196"/>
      <c r="O12" s="196"/>
      <c r="P12" s="196" t="s">
        <v>51</v>
      </c>
      <c r="Q12" s="196"/>
    </row>
    <row r="13" spans="1:23" ht="21.6" customHeight="1">
      <c r="A13" s="201">
        <v>3183</v>
      </c>
      <c r="B13" s="201" t="str">
        <f>VLOOKUP(A13,門市主檔!A:B,2,FALSE)</f>
        <v>北縣板好店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 t="shared" si="1"/>
        <v>未保養</v>
      </c>
      <c r="G13" s="201" t="str">
        <f>IF(VLOOKUP(A13,門市主檔!A:O,15,FALSE)="完工已補裝", "完工已補裝",
IF(AND(VLOOKUP(A13,門市主檔!A:Z,26,FALSE)="STAR", VLOOKUP(A13,門市主檔!A:R,18,FALSE)=""),
    IF(OR(C13="V", D13="V", E13="V"), "已PM未更換", "未更換"),
    IF(VLOOKUP(A13,門市主檔!A:Z,26,FALSE)&lt;&gt;"STAR", "無專案", "已更換")
))</f>
        <v>未更換</v>
      </c>
      <c r="H13" s="263">
        <f>VLOOKUP(A13,門市主檔!A:V,22,FALSE)</f>
        <v>2</v>
      </c>
      <c r="I13" s="201" t="str">
        <f>VLOOKUP(A13,'0919門市清單主檔'!B:V,21,FALSE)</f>
        <v>板橋區</v>
      </c>
      <c r="J13" s="209">
        <v>45698.604166666664</v>
      </c>
      <c r="K13" s="196"/>
      <c r="L13" s="196"/>
      <c r="M13" s="196"/>
      <c r="N13" s="196"/>
      <c r="O13" s="196"/>
      <c r="P13" s="196" t="s">
        <v>51</v>
      </c>
      <c r="Q13" s="196"/>
    </row>
    <row r="14" spans="1:23" ht="21.6" customHeight="1">
      <c r="A14" s="201">
        <v>2069</v>
      </c>
      <c r="B14" s="201" t="str">
        <f>VLOOKUP(A14,門市主檔!A:B,2,FALSE)</f>
        <v>板橋江子翠站</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IF(VLOOKUP(A14,門市主檔!A:O,15,FALSE)="完工已補裝", "完工已補裝",
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板橋區</v>
      </c>
      <c r="J14" s="209">
        <v>45714.642361111109</v>
      </c>
      <c r="K14" s="196"/>
      <c r="L14" s="196"/>
      <c r="M14" s="196"/>
      <c r="N14" s="196"/>
      <c r="O14" s="196"/>
      <c r="P14" s="196" t="s">
        <v>51</v>
      </c>
      <c r="Q14" s="196"/>
    </row>
    <row r="15" spans="1:23" ht="21.6" customHeight="1">
      <c r="A15" s="201">
        <v>3965</v>
      </c>
      <c r="B15" s="201" t="str">
        <f>VLOOKUP(A15,門市主檔!A:B,2,FALSE)</f>
        <v>板橋民治店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 t="shared" si="1"/>
        <v>未保養</v>
      </c>
      <c r="G15" s="201" t="str">
        <f>IF(VLOOKUP(A15,門市主檔!A:O,15,FALSE)="完工已補裝", "完工已補裝",
IF(AND(VLOOKUP(A15,門市主檔!A:Z,26,FALSE)="STAR", VLOOKUP(A15,門市主檔!A:R,18,FALSE)=""),
    IF(OR(C15="V", D15="V", E15="V"), "已PM未更換", "未更換"),
    IF(VLOOKUP(A15,門市主檔!A:Z,26,FALSE)&lt;&gt;"STAR", "無專案", "已更換")
))</f>
        <v>未更換</v>
      </c>
      <c r="H15" s="263">
        <f>VLOOKUP(A15,門市主檔!A:V,22,FALSE)</f>
        <v>2</v>
      </c>
      <c r="I15" s="201" t="str">
        <f>VLOOKUP(A15,'0919門市清單主檔'!B:V,21,FALSE)</f>
        <v>板橋區</v>
      </c>
      <c r="J15" s="209">
        <v>45727.474999999999</v>
      </c>
      <c r="K15" s="196"/>
      <c r="L15" s="196"/>
      <c r="M15" s="196"/>
      <c r="N15" s="196"/>
      <c r="O15" s="196"/>
      <c r="P15" s="196" t="s">
        <v>51</v>
      </c>
      <c r="Q15" s="196"/>
    </row>
    <row r="16" spans="1:23" ht="21.6" customHeight="1">
      <c r="A16" s="201">
        <v>2746</v>
      </c>
      <c r="B16" s="201" t="str">
        <f>VLOOKUP(A16,門市主檔!A:B,2,FALSE)</f>
        <v>北縣板嘉店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IF(VLOOKUP(A16,門市主檔!A:O,15,FALSE)="完工已補裝", "完工已補裝",
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板橋區</v>
      </c>
      <c r="J16" s="209">
        <v>45728.517361111109</v>
      </c>
      <c r="K16" s="196"/>
      <c r="L16" s="196"/>
      <c r="M16" s="196"/>
      <c r="N16" s="196"/>
      <c r="O16" s="196"/>
      <c r="P16" s="196" t="s">
        <v>51</v>
      </c>
      <c r="Q16" s="196"/>
    </row>
    <row r="17" spans="1:17" ht="21.6" customHeight="1">
      <c r="A17" s="201">
        <v>2224</v>
      </c>
      <c r="B17" s="201" t="str">
        <f>VLOOKUP(A17,門市主檔!A:B,2,FALSE)</f>
        <v>板橋莒光店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IF(VLOOKUP(A17,門市主檔!A:O,15,FALSE)="完工已補裝", "完工已補裝",
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板橋區</v>
      </c>
      <c r="J17" s="209">
        <v>45733.694444444445</v>
      </c>
      <c r="K17" s="196"/>
      <c r="L17" s="196"/>
      <c r="M17" s="196"/>
      <c r="N17" s="196"/>
      <c r="O17" s="196"/>
      <c r="P17" s="196" t="s">
        <v>51</v>
      </c>
      <c r="Q17" s="196"/>
    </row>
    <row r="18" spans="1:17" ht="21.6" customHeight="1">
      <c r="A18" s="201" t="s">
        <v>31</v>
      </c>
      <c r="B18" s="201" t="str">
        <f>VLOOKUP(A18,門市主檔!A:B,2,FALSE)</f>
        <v>北縣僑中三店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IF(VLOOKUP(A18,門市主檔!A:O,15,FALSE)="完工已補裝", "完工已補裝",
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板橋區</v>
      </c>
      <c r="J18" s="209">
        <v>45736.635416666664</v>
      </c>
      <c r="K18" s="196"/>
      <c r="L18" s="196"/>
      <c r="M18" s="196"/>
      <c r="N18" s="196"/>
      <c r="O18" s="196"/>
      <c r="P18" s="196" t="s">
        <v>51</v>
      </c>
      <c r="Q18" s="196"/>
    </row>
    <row r="19" spans="1:17" ht="21.6" customHeight="1">
      <c r="A19" s="201">
        <v>4145</v>
      </c>
      <c r="B19" s="201" t="str">
        <f>VLOOKUP(A19,門市主檔!A:B,2,FALSE)</f>
        <v>板橋僑興店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IF(VLOOKUP(A19,門市主檔!A:O,15,FALSE)="完工已補裝", "完工已補裝",
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板橋區</v>
      </c>
      <c r="J19" s="209">
        <v>45736.658333333333</v>
      </c>
      <c r="K19" s="196"/>
      <c r="L19" s="196"/>
      <c r="M19" s="196"/>
      <c r="N19" s="196"/>
      <c r="O19" s="196"/>
      <c r="P19" s="196" t="s">
        <v>51</v>
      </c>
      <c r="Q19" s="196"/>
    </row>
    <row r="20" spans="1:17" ht="21.6" customHeight="1">
      <c r="A20" s="201" t="s">
        <v>33</v>
      </c>
      <c r="B20" s="201" t="str">
        <f>VLOOKUP(A20,門市主檔!A:B,2,FALSE)</f>
        <v>板橋大興店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 t="shared" si="1"/>
        <v>未保養</v>
      </c>
      <c r="G20" s="201" t="str">
        <f>IF(VLOOKUP(A20,門市主檔!A:O,15,FALSE)="完工已補裝", "完工已補裝",
IF(AND(VLOOKUP(A20,門市主檔!A:Z,26,FALSE)="STAR", VLOOKUP(A20,門市主檔!A:R,18,FALSE)=""),
    IF(OR(C20="V", D20="V", E20="V"), "已PM未更換", "未更換"),
    IF(VLOOKUP(A20,門市主檔!A:Z,26,FALSE)&lt;&gt;"STAR", "無專案", "已更換")
))</f>
        <v>未更換</v>
      </c>
      <c r="H20" s="263">
        <f>VLOOKUP(A20,門市主檔!A:V,22,FALSE)</f>
        <v>2</v>
      </c>
      <c r="I20" s="201" t="str">
        <f>VLOOKUP(A20,'0919門市清單主檔'!B:V,21,FALSE)</f>
        <v>板橋區</v>
      </c>
      <c r="J20" s="209">
        <v>45736.682638888888</v>
      </c>
      <c r="K20" s="196"/>
      <c r="L20" s="196"/>
      <c r="M20" s="196"/>
      <c r="N20" s="196"/>
      <c r="O20" s="196"/>
      <c r="P20" s="196" t="s">
        <v>51</v>
      </c>
      <c r="Q20" s="196"/>
    </row>
    <row r="21" spans="1:17" ht="21.6" customHeight="1">
      <c r="A21" s="201">
        <v>3955</v>
      </c>
      <c r="B21" s="201" t="str">
        <f>VLOOKUP(A21,門市主檔!A:B,2,FALSE)</f>
        <v>板橋海龍店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IF(VLOOKUP(A21,門市主檔!A:O,15,FALSE)="完工已補裝", "完工已補裝",
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板橋區</v>
      </c>
      <c r="J21" s="209">
        <v>45737.600694444445</v>
      </c>
      <c r="K21" s="196"/>
      <c r="L21" s="196"/>
      <c r="M21" s="196"/>
      <c r="N21" s="196"/>
      <c r="O21" s="196"/>
      <c r="P21" s="196" t="s">
        <v>51</v>
      </c>
      <c r="Q21" s="196"/>
    </row>
    <row r="22" spans="1:17" ht="21.6" customHeight="1">
      <c r="A22" s="201">
        <v>3962</v>
      </c>
      <c r="B22" s="201" t="str">
        <f>VLOOKUP(A22,門市主檔!A:B,2,FALSE)</f>
        <v>板橋仁化店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IF(VLOOKUP(A22,門市主檔!A:O,15,FALSE)="完工已補裝", "完工已補裝",
IF(AND(VLOOKUP(A22,門市主檔!A:Z,26,FALSE)="STAR", VLOOKUP(A22,門市主檔!A:R,18,FALSE)=""),
    IF(OR(C22="V", D22="V", E22="V"), "已PM未更換", "未更換"),
    IF(VLOOKUP(A22,門市主檔!A:Z,26,FALSE)&lt;&gt;"STAR", "無專案", "已更換")
))</f>
        <v>未更換</v>
      </c>
      <c r="H22" s="263">
        <f>VLOOKUP(A22,門市主檔!A:V,22,FALSE)</f>
        <v>2</v>
      </c>
      <c r="I22" s="201" t="str">
        <f>VLOOKUP(A22,'0919門市清單主檔'!B:V,21,FALSE)</f>
        <v>板橋區</v>
      </c>
      <c r="J22" s="209">
        <v>45742.477777777778</v>
      </c>
      <c r="K22" s="196"/>
      <c r="L22" s="196"/>
      <c r="M22" s="196"/>
      <c r="N22" s="196"/>
      <c r="O22" s="196"/>
      <c r="P22" s="196" t="s">
        <v>51</v>
      </c>
      <c r="Q22" s="196"/>
    </row>
    <row r="23" spans="1:17" ht="21.6" customHeight="1">
      <c r="A23" s="201">
        <v>3399</v>
      </c>
      <c r="B23" s="201" t="str">
        <f>VLOOKUP(A23,門市主檔!A:B,2,FALSE)</f>
        <v>板橋藝文中心</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 t="shared" si="1"/>
        <v>未保養</v>
      </c>
      <c r="G23" s="201" t="str">
        <f>IF(VLOOKUP(A23,門市主檔!A:O,15,FALSE)="完工已補裝", "完工已補裝",
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板橋區</v>
      </c>
      <c r="J23" s="209">
        <v>45742.495138888888</v>
      </c>
      <c r="K23" s="196"/>
      <c r="L23" s="196"/>
      <c r="M23" s="196"/>
      <c r="N23" s="196"/>
      <c r="O23" s="196"/>
      <c r="P23" s="196" t="s">
        <v>51</v>
      </c>
      <c r="Q23" s="196"/>
    </row>
    <row r="24" spans="1:17" ht="21.6" customHeight="1">
      <c r="A24" s="201">
        <v>3551</v>
      </c>
      <c r="B24" s="201" t="str">
        <f>VLOOKUP(A24,門市主檔!A:B,2,FALSE)</f>
        <v>北縣板豐店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IF(VLOOKUP(A24,門市主檔!A:O,15,FALSE)="完工已補裝", "完工已補裝",
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板橋區</v>
      </c>
      <c r="J24" s="209">
        <v>45742.524305555555</v>
      </c>
      <c r="K24" s="196"/>
      <c r="L24" s="196"/>
      <c r="M24" s="196"/>
      <c r="N24" s="196"/>
      <c r="O24" s="196"/>
      <c r="P24" s="196" t="s">
        <v>51</v>
      </c>
      <c r="Q24" s="196"/>
    </row>
    <row r="25" spans="1:17" ht="21.6" customHeight="1">
      <c r="A25" s="201" t="s">
        <v>30</v>
      </c>
      <c r="B25" s="201" t="str">
        <f>VLOOKUP(A25,門市主檔!A:B,2,FALSE)</f>
        <v>北縣府中店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IF(VLOOKUP(A25,門市主檔!A:O,15,FALSE)="完工已補裝", "完工已補裝",
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板橋區</v>
      </c>
      <c r="J25" s="209">
        <v>45742.552083333336</v>
      </c>
      <c r="K25" s="196"/>
      <c r="L25" s="196"/>
      <c r="M25" s="196"/>
      <c r="N25" s="196"/>
      <c r="O25" s="196"/>
      <c r="P25" s="196" t="s">
        <v>51</v>
      </c>
      <c r="Q25" s="196"/>
    </row>
    <row r="26" spans="1:17" ht="21.6" customHeight="1">
      <c r="A26" s="201">
        <v>3416</v>
      </c>
      <c r="B26" s="201" t="str">
        <f>VLOOKUP(A26,門市主檔!A:B,2,FALSE)</f>
        <v>板橋國慶店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IF(VLOOKUP(A26,門市主檔!A:O,15,FALSE)="完工已補裝", "完工已補裝",
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板橋區</v>
      </c>
      <c r="J26" s="209">
        <v>45742.590277777781</v>
      </c>
      <c r="K26" s="196"/>
      <c r="L26" s="196"/>
      <c r="M26" s="196"/>
      <c r="N26" s="196"/>
      <c r="O26" s="196"/>
      <c r="P26" s="196" t="s">
        <v>51</v>
      </c>
      <c r="Q26" s="196"/>
    </row>
    <row r="27" spans="1:17" ht="21.6" customHeight="1">
      <c r="A27" s="201" t="s">
        <v>34</v>
      </c>
      <c r="B27" s="201" t="str">
        <f>VLOOKUP(A27,門市主檔!A:B,2,FALSE)</f>
        <v>板橋寶翠店</v>
      </c>
      <c r="C27" s="279" t="str">
        <f>IF(COUNTIFS(IM!$F:$F,A27,IM!$AD:$AD,"O",IM!$X:$X,"&gt;="&amp;$R$1, IM!$X:$X,"&lt;"&amp;$R$2)&gt;0,"V","")</f>
        <v/>
      </c>
      <c r="D27" s="279" t="str">
        <f>IF(AND(C27&lt;&gt;"V", COUNTIFS(IM!$F:$F,A27, IM!$AD:$AD, "O", IM!$X:$X, "&gt;="&amp;$R$2, IM!$X:$X, "&lt;"&amp;$R$3)&gt;0), "V", "")</f>
        <v>V</v>
      </c>
      <c r="E27" s="279" t="str">
        <f>IF(AND(C27&lt;&gt;"V",D27&lt;&gt;"V", COUNTIFS(IM!$F:$F, A27, IM!$AD:$AD, "O", IM!$X:$X, "&gt;="&amp;$R$3, IM!$X:$X, "&lt;"&amp;$R$5)&gt;0), "V", "")</f>
        <v/>
      </c>
      <c r="F27" s="201" t="str">
        <f t="shared" si="1"/>
        <v/>
      </c>
      <c r="G27" s="201" t="str">
        <f>IF(VLOOKUP(A27,門市主檔!A:O,15,FALSE)="完工已補裝", "完工已補裝",
IF(AND(VLOOKUP(A27,門市主檔!A:Z,26,FALSE)="STAR", VLOOKUP(A27,門市主檔!A:R,18,FALSE)=""),
    IF(OR(C27="V", D27="V", E27="V"), "已PM未更換", "未更換"),
    IF(VLOOKUP(A27,門市主檔!A:Z,26,FALSE)&lt;&gt;"STAR", "無專案", "已更換")
))</f>
        <v>已更換</v>
      </c>
      <c r="H27" s="263">
        <f>VLOOKUP(A27,門市主檔!A:V,22,FALSE)</f>
        <v>2</v>
      </c>
      <c r="I27" s="201" t="str">
        <f>VLOOKUP(A27,'0919門市清單主檔'!B:V,21,FALSE)</f>
        <v>板橋區</v>
      </c>
      <c r="J27" s="209">
        <v>45663.586805555555</v>
      </c>
      <c r="K27" s="196"/>
      <c r="L27" s="196"/>
      <c r="M27" s="196"/>
      <c r="N27" s="196"/>
      <c r="O27" s="196"/>
      <c r="P27" s="196" t="s">
        <v>51</v>
      </c>
      <c r="Q27" s="196"/>
    </row>
    <row r="28" spans="1:17" ht="21.6" customHeight="1">
      <c r="A28" s="201">
        <v>4167</v>
      </c>
      <c r="B28" s="201" t="str">
        <f>VLOOKUP(A28,門市主檔!A:B,2,FALSE)</f>
        <v>板橋松翠店</v>
      </c>
      <c r="C28" s="279" t="str">
        <f>IF(COUNTIFS(IM!$F:$F,A28,IM!$AD:$AD,"O",IM!$X:$X,"&gt;="&amp;$R$1, IM!$X:$X,"&lt;"&amp;$R$2)&gt;0,"V","")</f>
        <v/>
      </c>
      <c r="D28" s="279" t="str">
        <f>IF(AND(C28&lt;&gt;"V", COUNTIFS(IM!$F:$F,A28, IM!$AD:$AD, "O", IM!$X:$X, "&gt;="&amp;$R$2, IM!$X:$X, "&lt;"&amp;$R$3)&gt;0), "V", "")</f>
        <v>V</v>
      </c>
      <c r="E28" s="279" t="str">
        <f>IF(AND(C28&lt;&gt;"V",D28&lt;&gt;"V", COUNTIFS(IM!$F:$F, A28, IM!$AD:$AD, "O", IM!$X:$X, "&gt;="&amp;$R$3, IM!$X:$X, "&lt;"&amp;$R$5)&gt;0), "V", "")</f>
        <v/>
      </c>
      <c r="F28" s="201" t="str">
        <f t="shared" si="1"/>
        <v/>
      </c>
      <c r="G28" s="201" t="str">
        <f>IF(VLOOKUP(A28,門市主檔!A:O,15,FALSE)="完工已補裝", "完工已補裝",
IF(AND(VLOOKUP(A28,門市主檔!A:Z,26,FALSE)="STAR", VLOOKUP(A28,門市主檔!A:R,18,FALSE)=""),
    IF(OR(C28="V", D28="V", E28="V"), "已PM未更換", "未更換"),
    IF(VLOOKUP(A28,門市主檔!A:Z,26,FALSE)&lt;&gt;"STAR", "無專案", "已更換")
))</f>
        <v>已更換</v>
      </c>
      <c r="H28" s="263">
        <f>VLOOKUP(A28,門市主檔!A:V,22,FALSE)</f>
        <v>2</v>
      </c>
      <c r="I28" s="201" t="str">
        <f>VLOOKUP(A28,'0919門市清單主檔'!B:V,21,FALSE)</f>
        <v>板橋區</v>
      </c>
      <c r="J28" s="209">
        <v>45698.701388888891</v>
      </c>
      <c r="K28" s="196"/>
      <c r="L28" s="196"/>
      <c r="M28" s="196"/>
      <c r="N28" s="196"/>
      <c r="O28" s="196"/>
      <c r="P28" s="196" t="s">
        <v>51</v>
      </c>
      <c r="Q28" s="196"/>
    </row>
    <row r="29" spans="1:17" ht="21.6" customHeight="1">
      <c r="A29" s="201">
        <v>2403</v>
      </c>
      <c r="B29" s="201" t="str">
        <f>VLOOKUP(A29,門市主檔!A:B,2,FALSE)</f>
        <v>北縣板龍店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 t="shared" si="1"/>
        <v/>
      </c>
      <c r="G29" s="201"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63">
        <f>VLOOKUP(A29,門市主檔!A:V,22,FALSE)</f>
        <v>2</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79" t="str">
        <f>IF(COUNTIFS(IM!$F:$F,A30,IM!$AD:$AD,"O",IM!$X:$X,"&gt;="&amp;$R$1, IM!$X:$X,"&lt;"&amp;$R$2)&gt;0,"V","")</f>
        <v>V</v>
      </c>
      <c r="D30" s="279" t="str">
        <f>IF(AND(C30&lt;&gt;"V", COUNTIFS(IM!$F:$F,A30, IM!$AD:$AD, "O", IM!$X:$X, "&gt;="&amp;$R$2, IM!$X:$X, "&lt;"&amp;$R$3)&gt;0), "V", "")</f>
        <v/>
      </c>
      <c r="E30" s="279" t="str">
        <f>IF(AND(C30&lt;&gt;"V",D30&lt;&gt;"V", COUNTIFS(IM!$F:$F, A30, IM!$AD:$AD, "O", IM!$X:$X, "&gt;="&amp;$R$3, IM!$X:$X, "&lt;"&amp;$R$5)&gt;0), "V", "")</f>
        <v/>
      </c>
      <c r="F30" s="201" t="str">
        <f t="shared" si="1"/>
        <v/>
      </c>
      <c r="G30" s="201" t="str">
        <f>IF(VLOOKUP(A30,門市主檔!A:O,15,FALSE)="完工已補裝", "完工已補裝",
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79" t="str">
        <f>IF(COUNTIFS(IM!$F:$F,A31,IM!$AD:$AD,"O",IM!$X:$X,"&gt;="&amp;$R$1, IM!$X:$X,"&lt;"&amp;$R$2)&gt;0,"V","")</f>
        <v>V</v>
      </c>
      <c r="D31" s="279" t="str">
        <f>IF(AND(C31&lt;&gt;"V", COUNTIFS(IM!$F:$F,A31, IM!$AD:$AD, "O", IM!$X:$X, "&gt;="&amp;$R$2, IM!$X:$X, "&lt;"&amp;$R$3)&gt;0), "V", "")</f>
        <v/>
      </c>
      <c r="E31" s="279" t="str">
        <f>IF(AND(C31&lt;&gt;"V",D31&lt;&gt;"V", COUNTIFS(IM!$F:$F, A31, IM!$AD:$AD, "O", IM!$X:$X, "&gt;="&amp;$R$3, IM!$X:$X, "&lt;"&amp;$R$5)&gt;0), "V", "")</f>
        <v/>
      </c>
      <c r="F31" s="201" t="str">
        <f t="shared" si="1"/>
        <v/>
      </c>
      <c r="G31" s="201" t="str">
        <f>IF(VLOOKUP(A31,門市主檔!A:O,15,FALSE)="完工已補裝", "完工已補裝",
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79" t="str">
        <f>IF(COUNTIFS(IM!$F:$F,A32,IM!$AD:$AD,"O",IM!$X:$X,"&gt;="&amp;$R$1, IM!$X:$X,"&lt;"&amp;$R$2)&gt;0,"V","")</f>
        <v>V</v>
      </c>
      <c r="D32" s="279" t="str">
        <f>IF(AND(C32&lt;&gt;"V", COUNTIFS(IM!$F:$F,A32, IM!$AD:$AD, "O", IM!$X:$X, "&gt;="&amp;$R$2, IM!$X:$X, "&lt;"&amp;$R$3)&gt;0), "V", "")</f>
        <v/>
      </c>
      <c r="E32" s="279" t="str">
        <f>IF(AND(C32&lt;&gt;"V",D32&lt;&gt;"V", COUNTIFS(IM!$F:$F, A32, IM!$AD:$AD, "O", IM!$X:$X, "&gt;="&amp;$R$3, IM!$X:$X, "&lt;"&amp;$R$5)&gt;0), "V", "")</f>
        <v/>
      </c>
      <c r="F32" s="201" t="str">
        <f t="shared" si="1"/>
        <v/>
      </c>
      <c r="G32" s="201" t="str">
        <f>IF(VLOOKUP(A32,門市主檔!A:O,15,FALSE)="完工已補裝", "完工已補裝",
IF(AND(VLOOKUP(A32,門市主檔!A:Z,26,FALSE)="STAR", VLOOKUP(A32,門市主檔!A:R,18,FALSE)=""),
    IF(OR(C32="V", D32="V", E32="V"), "已PM未更換", "未更換"),
    IF(VLOOKUP(A32,門市主檔!A:Z,26,FALSE)&lt;&gt;"STAR", "無專案", "已更換")
))</f>
        <v>已更換</v>
      </c>
      <c r="H32" s="263">
        <f>VLOOKUP(A32,門市主檔!A:V,22,FALSE)</f>
        <v>2</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79" t="str">
        <f>IF(COUNTIFS(IM!$F:$F,A33,IM!$AD:$AD,"O",IM!$X:$X,"&gt;="&amp;$R$1, IM!$X:$X,"&lt;"&amp;$R$2)&gt;0,"V","")</f>
        <v>V</v>
      </c>
      <c r="D33" s="279" t="str">
        <f>IF(AND(C33&lt;&gt;"V", COUNTIFS(IM!$F:$F,A33, IM!$AD:$AD, "O", IM!$X:$X, "&gt;="&amp;$R$2, IM!$X:$X, "&lt;"&amp;$R$3)&gt;0), "V", "")</f>
        <v/>
      </c>
      <c r="E33" s="279" t="str">
        <f>IF(AND(C33&lt;&gt;"V",D33&lt;&gt;"V", COUNTIFS(IM!$F:$F, A33, IM!$AD:$AD, "O", IM!$X:$X, "&gt;="&amp;$R$3, IM!$X:$X, "&lt;"&amp;$R$5)&gt;0), "V", "")</f>
        <v/>
      </c>
      <c r="F33" s="201" t="str">
        <f t="shared" si="1"/>
        <v/>
      </c>
      <c r="G33" s="201" t="str">
        <f>IF(VLOOKUP(A33,門市主檔!A:O,15,FALSE)="完工已補裝", "完工已補裝",
IF(AND(VLOOKUP(A33,門市主檔!A:Z,26,FALSE)="STAR", VLOOKUP(A33,門市主檔!A:R,18,FALSE)=""),
    IF(OR(C33="V", D33="V", E33="V"), "已PM未更換", "未更換"),
    IF(VLOOKUP(A33,門市主檔!A:Z,26,FALSE)&lt;&gt;"STAR", "無專案", "已更換")
))</f>
        <v>已更換</v>
      </c>
      <c r="H33" s="263">
        <f>VLOOKUP(A33,門市主檔!A:V,22,FALSE)</f>
        <v>1</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79" t="str">
        <f>IF(COUNTIFS(IM!$F:$F,A34,IM!$AD:$AD,"O",IM!$X:$X,"&gt;="&amp;$R$1, IM!$X:$X,"&lt;"&amp;$R$2)&gt;0,"V","")</f>
        <v>V</v>
      </c>
      <c r="D34" s="279" t="str">
        <f>IF(AND(C34&lt;&gt;"V", COUNTIFS(IM!$F:$F,A34, IM!$AD:$AD, "O", IM!$X:$X, "&gt;="&amp;$R$2, IM!$X:$X, "&lt;"&amp;$R$3)&gt;0), "V", "")</f>
        <v/>
      </c>
      <c r="E34" s="279" t="str">
        <f>IF(AND(C34&lt;&gt;"V",D34&lt;&gt;"V", COUNTIFS(IM!$F:$F, A34, IM!$AD:$AD, "O", IM!$X:$X, "&gt;="&amp;$R$3, IM!$X:$X, "&lt;"&amp;$R$5)&gt;0), "V", "")</f>
        <v/>
      </c>
      <c r="F34" s="201" t="str">
        <f t="shared" si="1"/>
        <v/>
      </c>
      <c r="G34" s="201" t="str">
        <f>IF(VLOOKUP(A34,門市主檔!A:O,15,FALSE)="完工已補裝", "完工已補裝",
IF(AND(VLOOKUP(A34,門市主檔!A:Z,26,FALSE)="STAR", VLOOKUP(A34,門市主檔!A:R,18,FALSE)=""),
    IF(OR(C34="V", D34="V", E34="V"), "已PM未更換", "未更換"),
    IF(VLOOKUP(A34,門市主檔!A:Z,26,FALSE)&lt;&gt;"STAR", "無專案", "已更換")
))</f>
        <v>已更換</v>
      </c>
      <c r="H34" s="263">
        <f>VLOOKUP(A34,門市主檔!A:V,22,FALSE)</f>
        <v>2</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79" t="str">
        <f>IF(COUNTIFS(IM!$F:$F,A35,IM!$AD:$AD,"O",IM!$X:$X,"&gt;="&amp;$R$1, IM!$X:$X,"&lt;"&amp;$R$2)&gt;0,"V","")</f>
        <v>V</v>
      </c>
      <c r="D35" s="279" t="str">
        <f>IF(AND(C35&lt;&gt;"V", COUNTIFS(IM!$F:$F,A35, IM!$AD:$AD, "O", IM!$X:$X, "&gt;="&amp;$R$2, IM!$X:$X, "&lt;"&amp;$R$3)&gt;0), "V", "")</f>
        <v/>
      </c>
      <c r="E35" s="279" t="str">
        <f>IF(AND(C35&lt;&gt;"V",D35&lt;&gt;"V", COUNTIFS(IM!$F:$F, A35, IM!$AD:$AD, "O", IM!$X:$X, "&gt;="&amp;$R$3, IM!$X:$X, "&lt;"&amp;$R$5)&gt;0), "V", "")</f>
        <v/>
      </c>
      <c r="F35" s="201" t="str">
        <f t="shared" si="1"/>
        <v/>
      </c>
      <c r="G35" s="201" t="str">
        <f>IF(VLOOKUP(A35,門市主檔!A:O,15,FALSE)="完工已補裝", "完工已補裝",
IF(AND(VLOOKUP(A35,門市主檔!A:Z,26,FALSE)="STAR", VLOOKUP(A35,門市主檔!A:R,18,FALSE)=""),
    IF(OR(C35="V", D35="V", E35="V"), "已PM未更換", "未更換"),
    IF(VLOOKUP(A35,門市主檔!A:Z,26,FALSE)&lt;&gt;"STAR", "無專案", "已更換")
))</f>
        <v>無專案</v>
      </c>
      <c r="H35" s="263">
        <f>VLOOKUP(A35,門市主檔!A:V,22,FALSE)</f>
        <v>0</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79" t="str">
        <f>IF(COUNTIFS(IM!$F:$F,A36,IM!$AD:$AD,"O",IM!$X:$X,"&gt;="&amp;$R$1, IM!$X:$X,"&lt;"&amp;$R$2)&gt;0,"V","")</f>
        <v>V</v>
      </c>
      <c r="D36" s="279" t="str">
        <f>IF(AND(C36&lt;&gt;"V", COUNTIFS(IM!$F:$F,A36, IM!$AD:$AD, "O", IM!$X:$X, "&gt;="&amp;$R$2, IM!$X:$X, "&lt;"&amp;$R$3)&gt;0), "V", "")</f>
        <v/>
      </c>
      <c r="E36" s="279" t="str">
        <f>IF(AND(C36&lt;&gt;"V",D36&lt;&gt;"V", COUNTIFS(IM!$F:$F, A36, IM!$AD:$AD, "O", IM!$X:$X, "&gt;="&amp;$R$3, IM!$X:$X, "&lt;"&amp;$R$5)&gt;0), "V", "")</f>
        <v/>
      </c>
      <c r="F36" s="201" t="str">
        <f t="shared" si="1"/>
        <v/>
      </c>
      <c r="G36" s="201" t="str">
        <f>IF(VLOOKUP(A36,門市主檔!A:O,15,FALSE)="完工已補裝", "完工已補裝",
IF(AND(VLOOKUP(A36,門市主檔!A:Z,26,FALSE)="STAR", VLOOKUP(A36,門市主檔!A:R,18,FALSE)=""),
    IF(OR(C36="V", D36="V", E36="V"), "已PM未更換", "未更換"),
    IF(VLOOKUP(A36,門市主檔!A:Z,26,FALSE)&lt;&gt;"STAR", "無專案", "已更換")
))</f>
        <v>已更換</v>
      </c>
      <c r="H36" s="263">
        <f>VLOOKUP(A36,門市主檔!A:V,22,FALSE)</f>
        <v>2</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79" t="str">
        <f>IF(COUNTIFS(IM!$F:$F,A37,IM!$AD:$AD,"O",IM!$X:$X,"&gt;="&amp;$R$1, IM!$X:$X,"&lt;"&amp;$R$2)&gt;0,"V","")</f>
        <v>V</v>
      </c>
      <c r="D37" s="279" t="str">
        <f>IF(AND(C37&lt;&gt;"V", COUNTIFS(IM!$F:$F,A37, IM!$AD:$AD, "O", IM!$X:$X, "&gt;="&amp;$R$2, IM!$X:$X, "&lt;"&amp;$R$3)&gt;0), "V", "")</f>
        <v/>
      </c>
      <c r="E37" s="279" t="str">
        <f>IF(AND(C37&lt;&gt;"V",D37&lt;&gt;"V", COUNTIFS(IM!$F:$F, A37, IM!$AD:$AD, "O", IM!$X:$X, "&gt;="&amp;$R$3, IM!$X:$X, "&lt;"&amp;$R$5)&gt;0), "V", "")</f>
        <v/>
      </c>
      <c r="F37" s="201" t="str">
        <f t="shared" si="1"/>
        <v/>
      </c>
      <c r="G37" s="201" t="str">
        <f>IF(VLOOKUP(A37,門市主檔!A:O,15,FALSE)="完工已補裝", "完工已補裝",
IF(AND(VLOOKUP(A37,門市主檔!A:Z,26,FALSE)="STAR", VLOOKUP(A37,門市主檔!A:R,18,FALSE)=""),
    IF(OR(C37="V", D37="V", E37="V"), "已PM未更換", "未更換"),
    IF(VLOOKUP(A37,門市主檔!A:Z,26,FALSE)&lt;&gt;"STAR", "無專案", "已更換")
))</f>
        <v>已更換</v>
      </c>
      <c r="H37" s="263">
        <f>VLOOKUP(A37,門市主檔!A:V,22,FALSE)</f>
        <v>1</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79" t="str">
        <f>IF(COUNTIFS(IM!$F:$F,A38,IM!$AD:$AD,"O",IM!$X:$X,"&gt;="&amp;$R$1, IM!$X:$X,"&lt;"&amp;$R$2)&gt;0,"V","")</f>
        <v>V</v>
      </c>
      <c r="D38" s="279" t="str">
        <f>IF(AND(C38&lt;&gt;"V", COUNTIFS(IM!$F:$F,A38, IM!$AD:$AD, "O", IM!$X:$X, "&gt;="&amp;$R$2, IM!$X:$X, "&lt;"&amp;$R$3)&gt;0), "V", "")</f>
        <v/>
      </c>
      <c r="E38" s="279" t="str">
        <f>IF(AND(C38&lt;&gt;"V",D38&lt;&gt;"V", COUNTIFS(IM!$F:$F, A38, IM!$AD:$AD, "O", IM!$X:$X, "&gt;="&amp;$R$3, IM!$X:$X, "&lt;"&amp;$R$5)&gt;0), "V", "")</f>
        <v/>
      </c>
      <c r="F38" s="201" t="str">
        <f t="shared" si="1"/>
        <v/>
      </c>
      <c r="G38" s="201" t="str">
        <f>IF(VLOOKUP(A38,門市主檔!A:O,15,FALSE)="完工已補裝", "完工已補裝",
IF(AND(VLOOKUP(A38,門市主檔!A:Z,26,FALSE)="STAR", VLOOKUP(A38,門市主檔!A:R,18,FALSE)=""),
    IF(OR(C38="V", D38="V", E38="V"), "已PM未更換", "未更換"),
    IF(VLOOKUP(A38,門市主檔!A:Z,26,FALSE)&lt;&gt;"STAR", "無專案", "已更換")
))</f>
        <v>已更換</v>
      </c>
      <c r="H38" s="263">
        <f>VLOOKUP(A38,門市主檔!A:V,22,FALSE)</f>
        <v>1</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79" t="str">
        <f>IF(COUNTIFS(IM!$F:$F,A39,IM!$AD:$AD,"O",IM!$X:$X,"&gt;="&amp;$R$1, IM!$X:$X,"&lt;"&amp;$R$2)&gt;0,"V","")</f>
        <v>V</v>
      </c>
      <c r="D39" s="279" t="str">
        <f>IF(AND(C39&lt;&gt;"V", COUNTIFS(IM!$F:$F,A39, IM!$AD:$AD, "O", IM!$X:$X, "&gt;="&amp;$R$2, IM!$X:$X, "&lt;"&amp;$R$3)&gt;0), "V", "")</f>
        <v/>
      </c>
      <c r="E39" s="279" t="str">
        <f>IF(AND(C39&lt;&gt;"V",D39&lt;&gt;"V", COUNTIFS(IM!$F:$F, A39, IM!$AD:$AD, "O", IM!$X:$X, "&gt;="&amp;$R$3, IM!$X:$X, "&lt;"&amp;$R$5)&gt;0), "V", "")</f>
        <v/>
      </c>
      <c r="F39" s="201" t="str">
        <f t="shared" si="1"/>
        <v/>
      </c>
      <c r="G39" s="201" t="str">
        <f>IF(VLOOKUP(A39,門市主檔!A:O,15,FALSE)="完工已補裝", "完工已補裝",
IF(AND(VLOOKUP(A39,門市主檔!A:Z,26,FALSE)="STAR", VLOOKUP(A39,門市主檔!A:R,18,FALSE)=""),
    IF(OR(C39="V", D39="V", E39="V"), "已PM未更換", "未更換"),
    IF(VLOOKUP(A39,門市主檔!A:Z,26,FALSE)&lt;&gt;"STAR", "無專案", "已更換")
))</f>
        <v>已更換</v>
      </c>
      <c r="H39" s="263">
        <f>VLOOKUP(A39,門市主檔!A:V,22,FALSE)</f>
        <v>1</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79" t="str">
        <f>IF(COUNTIFS(IM!$F:$F,A40,IM!$AD:$AD,"O",IM!$X:$X,"&gt;="&amp;$R$1, IM!$X:$X,"&lt;"&amp;$R$2)&gt;0,"V","")</f>
        <v>V</v>
      </c>
      <c r="D40" s="279" t="str">
        <f>IF(AND(C40&lt;&gt;"V", COUNTIFS(IM!$F:$F,A40, IM!$AD:$AD, "O", IM!$X:$X, "&gt;="&amp;$R$2, IM!$X:$X, "&lt;"&amp;$R$3)&gt;0), "V", "")</f>
        <v/>
      </c>
      <c r="E40" s="279" t="str">
        <f>IF(AND(C40&lt;&gt;"V",D40&lt;&gt;"V", COUNTIFS(IM!$F:$F, A40, IM!$AD:$AD, "O", IM!$X:$X, "&gt;="&amp;$R$3, IM!$X:$X, "&lt;"&amp;$R$5)&gt;0), "V", "")</f>
        <v/>
      </c>
      <c r="F40" s="201" t="str">
        <f t="shared" si="1"/>
        <v/>
      </c>
      <c r="G40" s="201" t="str">
        <f>IF(VLOOKUP(A40,門市主檔!A:O,15,FALSE)="完工已補裝", "完工已補裝",
IF(AND(VLOOKUP(A40,門市主檔!A:Z,26,FALSE)="STAR", VLOOKUP(A40,門市主檔!A:R,18,FALSE)=""),
    IF(OR(C40="V", D40="V", E40="V"), "已PM未更換", "未更換"),
    IF(VLOOKUP(A40,門市主檔!A:Z,26,FALSE)&lt;&gt;"STAR", "無專案", "已更換")
))</f>
        <v>已更換</v>
      </c>
      <c r="H40" s="263">
        <f>VLOOKUP(A40,門市主檔!A:V,22,FALSE)</f>
        <v>1</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79" t="str">
        <f>IF(COUNTIFS(IM!$F:$F,A41,IM!$AD:$AD,"O",IM!$X:$X,"&gt;="&amp;$R$1, IM!$X:$X,"&lt;"&amp;$R$2)&gt;0,"V","")</f>
        <v>V</v>
      </c>
      <c r="D41" s="279" t="str">
        <f>IF(AND(C41&lt;&gt;"V", COUNTIFS(IM!$F:$F,A41, IM!$AD:$AD, "O", IM!$X:$X, "&gt;="&amp;$R$2, IM!$X:$X, "&lt;"&amp;$R$3)&gt;0), "V", "")</f>
        <v/>
      </c>
      <c r="E41" s="279" t="str">
        <f>IF(AND(C41&lt;&gt;"V",D41&lt;&gt;"V", COUNTIFS(IM!$F:$F, A41, IM!$AD:$AD, "O", IM!$X:$X, "&gt;="&amp;$R$3, IM!$X:$X, "&lt;"&amp;$R$5)&gt;0), "V", "")</f>
        <v/>
      </c>
      <c r="F41" s="201" t="str">
        <f t="shared" si="1"/>
        <v/>
      </c>
      <c r="G41" s="201" t="str">
        <f>IF(VLOOKUP(A41,門市主檔!A:O,15,FALSE)="完工已補裝", "完工已補裝",
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3">
      <formula>G7="未更換"</formula>
    </cfRule>
    <cfRule type="expression" dxfId="331" priority="4">
      <formula>G7="已更換"</formula>
    </cfRule>
  </conditionalFormatting>
  <conditionalFormatting sqref="G7:G41">
    <cfRule type="expression" dxfId="330" priority="2">
      <formula>G7="已PM未更換"</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5220</v>
      </c>
      <c r="C19" s="45"/>
      <c r="D19" s="43" t="s">
        <v>1733</v>
      </c>
    </row>
    <row r="20" spans="1:4">
      <c r="A20" s="38">
        <v>5352</v>
      </c>
      <c r="B20" s="50" t="s">
        <v>5222</v>
      </c>
      <c r="C20" s="236"/>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30"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33:A34 A17:A19 A6:A10 A22:A24 A1:A2">
    <cfRule type="duplicateValues" dxfId="323"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42" t="s">
        <v>7291</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7293</v>
      </c>
      <c r="AF1" s="15" t="s">
        <v>4078</v>
      </c>
    </row>
    <row r="2" spans="1:32" ht="15">
      <c r="A2" s="6">
        <v>1</v>
      </c>
      <c r="B2" s="6">
        <v>3752</v>
      </c>
      <c r="C2" s="17" t="s">
        <v>4047</v>
      </c>
      <c r="D2" s="6" t="s">
        <v>1159</v>
      </c>
      <c r="E2" s="345"/>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45"/>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45"/>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45"/>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45"/>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45"/>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45"/>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45"/>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45"/>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45"/>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45"/>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46"/>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47" t="s">
        <v>6945</v>
      </c>
      <c r="AF13" s="106"/>
    </row>
    <row r="14" spans="1:32" ht="15">
      <c r="A14" s="6">
        <v>13</v>
      </c>
      <c r="B14" s="6">
        <v>4917</v>
      </c>
      <c r="C14" s="17" t="s">
        <v>558</v>
      </c>
      <c r="D14" s="6" t="s">
        <v>1169</v>
      </c>
      <c r="E14" s="345"/>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47" t="s">
        <v>6945</v>
      </c>
    </row>
    <row r="15" spans="1:32" ht="15">
      <c r="A15" s="6">
        <v>14</v>
      </c>
      <c r="B15" s="6" t="s">
        <v>34</v>
      </c>
      <c r="C15" s="17" t="s">
        <v>653</v>
      </c>
      <c r="D15" s="6" t="s">
        <v>1169</v>
      </c>
      <c r="E15" s="345"/>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45"/>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45"/>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45"/>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45"/>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45"/>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45"/>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45"/>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47" t="s">
        <v>6945</v>
      </c>
    </row>
    <row r="23" spans="1:30" ht="15">
      <c r="A23" s="6">
        <v>22</v>
      </c>
      <c r="B23" s="6" t="s">
        <v>29</v>
      </c>
      <c r="C23" s="17" t="s">
        <v>636</v>
      </c>
      <c r="D23" s="6" t="s">
        <v>1159</v>
      </c>
      <c r="E23" s="345"/>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47" t="s">
        <v>6945</v>
      </c>
    </row>
    <row r="24" spans="1:30" ht="15">
      <c r="A24" s="6">
        <v>23</v>
      </c>
      <c r="B24" s="6" t="s">
        <v>30</v>
      </c>
      <c r="C24" s="17" t="s">
        <v>637</v>
      </c>
      <c r="D24" s="6" t="s">
        <v>1169</v>
      </c>
      <c r="E24" s="345"/>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45"/>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47" t="s">
        <v>6945</v>
      </c>
    </row>
    <row r="26" spans="1:30" ht="15">
      <c r="A26" s="6">
        <v>25</v>
      </c>
      <c r="B26" s="6" t="s">
        <v>35</v>
      </c>
      <c r="C26" s="17" t="s">
        <v>718</v>
      </c>
      <c r="D26" s="6" t="s">
        <v>1158</v>
      </c>
      <c r="E26" s="345"/>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45"/>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45"/>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45"/>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47" t="s">
        <v>6945</v>
      </c>
    </row>
    <row r="30" spans="1:30" ht="15">
      <c r="A30" s="6">
        <v>29</v>
      </c>
      <c r="B30" s="6">
        <v>3416</v>
      </c>
      <c r="C30" s="17" t="s">
        <v>4043</v>
      </c>
      <c r="D30" s="6" t="s">
        <v>1169</v>
      </c>
      <c r="E30" s="345"/>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45"/>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45"/>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45"/>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45"/>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45"/>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45"/>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47" t="s">
        <v>6945</v>
      </c>
    </row>
    <row r="37" spans="1:32" ht="15.6">
      <c r="A37" s="6">
        <v>36</v>
      </c>
      <c r="B37" s="6">
        <v>2237</v>
      </c>
      <c r="C37" s="17" t="s">
        <v>75</v>
      </c>
      <c r="D37" s="6" t="s">
        <v>1159</v>
      </c>
      <c r="E37" s="343"/>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43"/>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47" t="s">
        <v>6945</v>
      </c>
      <c r="AF38" s="10"/>
    </row>
    <row r="39" spans="1:32" ht="15.6">
      <c r="A39" s="6">
        <v>38</v>
      </c>
      <c r="B39" s="6">
        <v>5080</v>
      </c>
      <c r="C39" s="17" t="s">
        <v>582</v>
      </c>
      <c r="D39" s="6" t="s">
        <v>1173</v>
      </c>
      <c r="E39" s="343"/>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47" t="s">
        <v>6945</v>
      </c>
      <c r="AF39" s="10"/>
    </row>
    <row r="40" spans="1:32" ht="15.6">
      <c r="A40" s="6">
        <v>39</v>
      </c>
      <c r="B40" s="6">
        <v>3359</v>
      </c>
      <c r="C40" s="17" t="s">
        <v>179</v>
      </c>
      <c r="D40" s="6" t="s">
        <v>1169</v>
      </c>
      <c r="E40" s="343"/>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44"/>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47" t="s">
        <v>6945</v>
      </c>
      <c r="AF41" s="10"/>
    </row>
    <row r="42" spans="1:32" ht="15">
      <c r="A42" s="6">
        <v>41</v>
      </c>
      <c r="B42" s="6">
        <v>3627</v>
      </c>
      <c r="C42" s="17" t="s">
        <v>209</v>
      </c>
      <c r="D42" s="6" t="s">
        <v>1159</v>
      </c>
      <c r="E42" s="346"/>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45"/>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45"/>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45"/>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45"/>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45"/>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45"/>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45"/>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45"/>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45"/>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45"/>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45"/>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45"/>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45"/>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45"/>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45"/>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45"/>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45"/>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47" t="s">
        <v>6945</v>
      </c>
    </row>
    <row r="60" spans="1:30" ht="15">
      <c r="A60" s="6">
        <v>59</v>
      </c>
      <c r="B60" s="6">
        <v>3623</v>
      </c>
      <c r="C60" s="17" t="s">
        <v>207</v>
      </c>
      <c r="D60" s="6" t="s">
        <v>1173</v>
      </c>
      <c r="E60" s="345"/>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45"/>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45"/>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45"/>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45"/>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45"/>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45"/>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47" t="s">
        <v>6945</v>
      </c>
    </row>
    <row r="67" spans="1:30" ht="15">
      <c r="A67" s="6">
        <v>66</v>
      </c>
      <c r="B67" s="6" t="s">
        <v>27</v>
      </c>
      <c r="C67" s="17" t="s">
        <v>5017</v>
      </c>
      <c r="D67" s="6" t="s">
        <v>1159</v>
      </c>
      <c r="E67" s="345"/>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45"/>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45"/>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45"/>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45"/>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45"/>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45"/>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45"/>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47" t="s">
        <v>6945</v>
      </c>
    </row>
    <row r="75" spans="1:30" ht="15">
      <c r="A75" s="6">
        <v>74</v>
      </c>
      <c r="B75" s="6">
        <v>4083</v>
      </c>
      <c r="C75" s="17" t="s">
        <v>1514</v>
      </c>
      <c r="D75" s="6" t="s">
        <v>1159</v>
      </c>
      <c r="E75" s="345"/>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45"/>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45"/>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45"/>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45"/>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45"/>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45"/>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45"/>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45"/>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45"/>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45"/>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45"/>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45"/>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47" t="s">
        <v>6945</v>
      </c>
    </row>
    <row r="88" spans="1:30" ht="15">
      <c r="A88" s="6">
        <v>87</v>
      </c>
      <c r="B88" s="6" t="s">
        <v>37</v>
      </c>
      <c r="C88" s="17" t="s">
        <v>645</v>
      </c>
      <c r="D88" s="6" t="s">
        <v>1159</v>
      </c>
      <c r="E88" s="345"/>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45"/>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45"/>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45"/>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45"/>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45"/>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45"/>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45"/>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45"/>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45"/>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45"/>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45"/>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47" t="s">
        <v>6945</v>
      </c>
    </row>
    <row r="100" spans="1:30" ht="15">
      <c r="A100" s="6">
        <v>99</v>
      </c>
      <c r="B100" s="6">
        <v>2259</v>
      </c>
      <c r="C100" s="17" t="s">
        <v>1455</v>
      </c>
      <c r="D100" s="6" t="s">
        <v>1173</v>
      </c>
      <c r="E100" s="345"/>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47" t="s">
        <v>6945</v>
      </c>
    </row>
    <row r="101" spans="1:30" ht="15">
      <c r="A101" s="6">
        <v>100</v>
      </c>
      <c r="B101" s="6">
        <v>2399</v>
      </c>
      <c r="C101" s="17" t="s">
        <v>96</v>
      </c>
      <c r="D101" s="6" t="s">
        <v>1169</v>
      </c>
      <c r="E101" s="345"/>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45"/>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45"/>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45"/>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47" t="s">
        <v>6945</v>
      </c>
    </row>
    <row r="105" spans="1:30" ht="15">
      <c r="A105" s="6">
        <v>104</v>
      </c>
      <c r="B105" s="6">
        <v>4084</v>
      </c>
      <c r="C105" s="17" t="s">
        <v>305</v>
      </c>
      <c r="D105" s="6" t="s">
        <v>1169</v>
      </c>
      <c r="E105" s="345"/>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47" t="s">
        <v>6945</v>
      </c>
    </row>
    <row r="106" spans="1:30" ht="15">
      <c r="A106" s="6">
        <v>105</v>
      </c>
      <c r="B106" s="6">
        <v>4260</v>
      </c>
      <c r="C106" s="17" t="s">
        <v>7441</v>
      </c>
      <c r="D106" s="6" t="s">
        <v>1173</v>
      </c>
      <c r="E106" s="345"/>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三重高中店</v>
      </c>
      <c r="AC106" s="107"/>
      <c r="AD106" s="107"/>
    </row>
    <row r="107" spans="1:30" ht="15">
      <c r="A107" s="6">
        <v>106</v>
      </c>
      <c r="B107" s="6" t="s">
        <v>19</v>
      </c>
      <c r="C107" s="17" t="s">
        <v>632</v>
      </c>
      <c r="D107" s="6" t="s">
        <v>1159</v>
      </c>
      <c r="E107" s="345"/>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45"/>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47" t="s">
        <v>6945</v>
      </c>
    </row>
    <row r="109" spans="1:30" ht="15">
      <c r="A109" s="6">
        <v>108</v>
      </c>
      <c r="B109" s="23">
        <v>2535</v>
      </c>
      <c r="C109" s="17" t="s">
        <v>106</v>
      </c>
      <c r="D109" s="6" t="s">
        <v>1173</v>
      </c>
      <c r="E109" s="345"/>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45"/>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45"/>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45"/>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45"/>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45"/>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45"/>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45"/>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45"/>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47" t="s">
        <v>6945</v>
      </c>
    </row>
    <row r="118" spans="1:30" ht="15">
      <c r="A118" s="6">
        <v>117</v>
      </c>
      <c r="B118" s="6">
        <v>4819</v>
      </c>
      <c r="C118" s="17" t="s">
        <v>530</v>
      </c>
      <c r="D118" s="6" t="s">
        <v>1173</v>
      </c>
      <c r="E118" s="345"/>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47" t="s">
        <v>6945</v>
      </c>
    </row>
    <row r="119" spans="1:30" ht="15">
      <c r="A119" s="6">
        <v>118</v>
      </c>
      <c r="B119" s="6">
        <v>5003</v>
      </c>
      <c r="C119" s="17" t="s">
        <v>578</v>
      </c>
      <c r="D119" s="6" t="s">
        <v>1173</v>
      </c>
      <c r="E119" s="345"/>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47" t="s">
        <v>6945</v>
      </c>
    </row>
    <row r="120" spans="1:30" ht="15">
      <c r="A120" s="6">
        <v>119</v>
      </c>
      <c r="B120" s="6" t="s">
        <v>4077</v>
      </c>
      <c r="C120" s="17" t="s">
        <v>4088</v>
      </c>
      <c r="E120" s="345"/>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45"/>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47" t="s">
        <v>6945</v>
      </c>
    </row>
    <row r="122" spans="1:30" ht="15">
      <c r="A122" s="6">
        <v>121</v>
      </c>
      <c r="B122" s="6">
        <v>2267</v>
      </c>
      <c r="C122" s="17" t="s">
        <v>79</v>
      </c>
      <c r="D122" s="6" t="s">
        <v>1173</v>
      </c>
      <c r="E122" s="345"/>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45"/>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47" t="s">
        <v>6945</v>
      </c>
    </row>
    <row r="124" spans="1:30" ht="15">
      <c r="A124" s="6">
        <v>123</v>
      </c>
      <c r="B124" s="6">
        <v>3751</v>
      </c>
      <c r="C124" s="17" t="s">
        <v>229</v>
      </c>
      <c r="D124" s="6" t="s">
        <v>1159</v>
      </c>
      <c r="E124" s="345"/>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45"/>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47" t="s">
        <v>6945</v>
      </c>
    </row>
    <row r="126" spans="1:30" ht="15">
      <c r="A126" s="6">
        <v>125</v>
      </c>
      <c r="B126" s="6">
        <v>2749</v>
      </c>
      <c r="C126" s="17" t="s">
        <v>128</v>
      </c>
      <c r="D126" s="6" t="s">
        <v>1159</v>
      </c>
      <c r="E126" s="345"/>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45"/>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45"/>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45"/>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47" t="s">
        <v>6945</v>
      </c>
    </row>
    <row r="130" spans="1:30" ht="15">
      <c r="A130" s="6">
        <v>129</v>
      </c>
      <c r="B130" s="6">
        <v>4739</v>
      </c>
      <c r="C130" s="17" t="s">
        <v>502</v>
      </c>
      <c r="D130" s="6" t="s">
        <v>1281</v>
      </c>
      <c r="E130" s="345"/>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45"/>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47" t="s">
        <v>6945</v>
      </c>
    </row>
    <row r="132" spans="1:30" ht="15">
      <c r="A132" s="6">
        <v>131</v>
      </c>
      <c r="B132" s="6">
        <v>2897</v>
      </c>
      <c r="C132" s="17" t="s">
        <v>143</v>
      </c>
      <c r="D132" s="6" t="s">
        <v>1159</v>
      </c>
      <c r="E132" s="345"/>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45"/>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45"/>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47" t="s">
        <v>6945</v>
      </c>
    </row>
    <row r="135" spans="1:30" ht="15">
      <c r="A135" s="6">
        <v>134</v>
      </c>
      <c r="B135" s="6">
        <v>4541</v>
      </c>
      <c r="C135" s="17" t="s">
        <v>432</v>
      </c>
      <c r="D135" s="6" t="s">
        <v>1173</v>
      </c>
      <c r="E135" s="345"/>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45"/>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45"/>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45"/>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47" t="s">
        <v>6945</v>
      </c>
    </row>
    <row r="139" spans="1:30" ht="15">
      <c r="A139" s="6">
        <v>138</v>
      </c>
      <c r="B139" s="6">
        <v>5060</v>
      </c>
      <c r="C139" s="17" t="s">
        <v>580</v>
      </c>
      <c r="D139" s="6" t="s">
        <v>1281</v>
      </c>
      <c r="E139" s="345"/>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47" t="s">
        <v>6945</v>
      </c>
    </row>
    <row r="140" spans="1:30" ht="15">
      <c r="A140" s="6">
        <v>139</v>
      </c>
      <c r="B140" s="6" t="s">
        <v>42</v>
      </c>
      <c r="C140" s="17" t="s">
        <v>1478</v>
      </c>
      <c r="D140" s="6" t="s">
        <v>1173</v>
      </c>
      <c r="E140" s="345"/>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47" t="s">
        <v>6945</v>
      </c>
    </row>
    <row r="141" spans="1:30" ht="15">
      <c r="A141" s="6">
        <v>140</v>
      </c>
      <c r="B141" s="6" t="s">
        <v>43</v>
      </c>
      <c r="C141" s="17" t="s">
        <v>728</v>
      </c>
      <c r="D141" s="6" t="s">
        <v>1158</v>
      </c>
      <c r="E141" s="345"/>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45"/>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45"/>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45"/>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45"/>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47" t="s">
        <v>6945</v>
      </c>
    </row>
    <row r="146" spans="1:32" ht="15">
      <c r="A146" s="6">
        <v>145</v>
      </c>
      <c r="B146" s="6">
        <v>3929</v>
      </c>
      <c r="C146" s="17" t="s">
        <v>1524</v>
      </c>
      <c r="D146" s="6" t="s">
        <v>1173</v>
      </c>
      <c r="E146" s="345"/>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45"/>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45"/>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47" t="s">
        <v>6945</v>
      </c>
    </row>
    <row r="149" spans="1:32" ht="15">
      <c r="A149" s="6">
        <v>148</v>
      </c>
      <c r="B149" s="6">
        <v>5082</v>
      </c>
      <c r="C149" s="17" t="s">
        <v>583</v>
      </c>
      <c r="D149" s="6" t="s">
        <v>1169</v>
      </c>
      <c r="E149" s="345"/>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47" t="s">
        <v>6945</v>
      </c>
    </row>
    <row r="150" spans="1:32" ht="15">
      <c r="A150" s="6">
        <v>149</v>
      </c>
      <c r="B150" s="6">
        <v>5197</v>
      </c>
      <c r="C150" s="17" t="s">
        <v>4040</v>
      </c>
      <c r="D150" s="6" t="s">
        <v>1173</v>
      </c>
      <c r="E150" s="345"/>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45"/>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45"/>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45"/>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45"/>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45"/>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43"/>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43"/>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43"/>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43"/>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43"/>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43"/>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47" t="s">
        <v>6945</v>
      </c>
      <c r="AF161" s="10"/>
    </row>
    <row r="162" spans="1:32" ht="15.6">
      <c r="A162" s="6">
        <v>161</v>
      </c>
      <c r="B162" s="6">
        <v>3458</v>
      </c>
      <c r="C162" s="17" t="s">
        <v>189</v>
      </c>
      <c r="D162" s="6" t="s">
        <v>1159</v>
      </c>
      <c r="E162" s="343"/>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43"/>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45"/>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45"/>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45"/>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45"/>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45"/>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45"/>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45"/>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45"/>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45"/>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45"/>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45"/>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45"/>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45"/>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45"/>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47" t="s">
        <v>6945</v>
      </c>
    </row>
    <row r="178" spans="1:30" ht="15">
      <c r="A178" s="6">
        <v>177</v>
      </c>
      <c r="B178" s="6">
        <v>3606</v>
      </c>
      <c r="C178" s="17" t="s">
        <v>205</v>
      </c>
      <c r="D178" s="6" t="s">
        <v>1159</v>
      </c>
      <c r="E178" s="345"/>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45"/>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45"/>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45"/>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45"/>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45"/>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45"/>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45"/>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45"/>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45"/>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45"/>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45"/>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45"/>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45"/>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45"/>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45"/>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47" t="s">
        <v>6945</v>
      </c>
    </row>
    <row r="194" spans="1:30" ht="15">
      <c r="A194" s="6">
        <v>193</v>
      </c>
      <c r="B194" s="6">
        <v>3999</v>
      </c>
      <c r="C194" s="17" t="s">
        <v>282</v>
      </c>
      <c r="D194" s="6" t="s">
        <v>1159</v>
      </c>
      <c r="E194" s="345"/>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45"/>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45"/>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45"/>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47" t="s">
        <v>6945</v>
      </c>
    </row>
    <row r="198" spans="1:30" ht="15">
      <c r="A198" s="6">
        <v>197</v>
      </c>
      <c r="B198" s="6">
        <v>2362</v>
      </c>
      <c r="C198" s="17" t="s">
        <v>93</v>
      </c>
      <c r="D198" s="6" t="s">
        <v>1159</v>
      </c>
      <c r="E198" s="345"/>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45"/>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45"/>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45"/>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45"/>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45"/>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45"/>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45"/>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47" t="s">
        <v>6945</v>
      </c>
    </row>
    <row r="206" spans="1:30" ht="15">
      <c r="A206" s="6">
        <v>205</v>
      </c>
      <c r="B206" s="6">
        <v>4856</v>
      </c>
      <c r="C206" s="17" t="s">
        <v>545</v>
      </c>
      <c r="D206" s="6" t="s">
        <v>1159</v>
      </c>
      <c r="E206" s="345"/>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47" t="s">
        <v>6945</v>
      </c>
    </row>
    <row r="207" spans="1:30" ht="15">
      <c r="A207" s="6">
        <v>206</v>
      </c>
      <c r="B207" s="6">
        <v>4228</v>
      </c>
      <c r="C207" s="17" t="s">
        <v>1554</v>
      </c>
      <c r="D207" s="6" t="s">
        <v>1169</v>
      </c>
      <c r="E207" s="345"/>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45"/>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45"/>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45" t="s">
        <v>7294</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37" t="s">
        <v>4431</v>
      </c>
      <c r="Z210" s="10" t="str">
        <f>IF(D210="FVC7", IF(COUNTIF(特殊門市清單!N:N, B210)=0, "FVC7", VLOOKUP(B210,特殊門市清單!N:T,7,FALSE)), IF(AA210="v","Peplink",""))</f>
        <v/>
      </c>
      <c r="AB210" s="107" t="str">
        <f>VLOOKUP(B210,門市主檔!A:B,2,FALSE)</f>
        <v>新莊國家置地</v>
      </c>
      <c r="AC210" s="247"/>
      <c r="AD210" s="107"/>
    </row>
    <row r="211" spans="1:30" ht="15">
      <c r="A211" s="6">
        <v>210</v>
      </c>
      <c r="B211" s="6">
        <v>5316</v>
      </c>
      <c r="C211" s="17" t="s">
        <v>4432</v>
      </c>
      <c r="D211" s="6"/>
      <c r="E211" s="345" t="s">
        <v>7294</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47"/>
      <c r="AD211" s="107"/>
    </row>
    <row r="212" spans="1:30" ht="15">
      <c r="A212" s="6">
        <v>210</v>
      </c>
      <c r="B212" s="6">
        <v>5341</v>
      </c>
      <c r="C212" s="17" t="s">
        <v>5221</v>
      </c>
      <c r="D212" s="6"/>
      <c r="E212" s="345"/>
      <c r="F212" s="6"/>
      <c r="G212" s="6"/>
      <c r="H212" s="105"/>
      <c r="J212" s="17" t="s">
        <v>6983</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47" t="s">
        <v>1733</v>
      </c>
      <c r="AD212" s="107"/>
    </row>
    <row r="213" spans="1:30" ht="15">
      <c r="A213" s="6">
        <v>210</v>
      </c>
      <c r="B213" s="6">
        <v>5352</v>
      </c>
      <c r="C213" s="17" t="s">
        <v>5223</v>
      </c>
      <c r="D213" s="6"/>
      <c r="E213" s="345"/>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47" t="s">
        <v>1733</v>
      </c>
      <c r="AD213" s="107"/>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3:AC208 AB1:AD2">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77" customWidth="1"/>
    <col min="2" max="2" width="10.59765625" style="277"/>
    <col min="3" max="3" width="13.19921875" style="278" bestFit="1" customWidth="1"/>
    <col min="4" max="4" width="13.19921875" style="278" customWidth="1"/>
    <col min="5" max="6" width="14.296875" style="277" customWidth="1"/>
    <col min="7" max="7" width="20.19921875" style="278" bestFit="1" customWidth="1"/>
    <col min="8" max="8" width="14.296875" style="277" customWidth="1"/>
    <col min="9" max="11" width="10.59765625" style="270"/>
    <col min="12" max="12" width="14.296875" style="277" customWidth="1"/>
    <col min="13" max="13" width="14.19921875" style="270" bestFit="1" customWidth="1"/>
    <col min="14" max="16384" width="10.59765625" style="270"/>
  </cols>
  <sheetData>
    <row r="1" spans="1:13" ht="25.05" customHeight="1">
      <c r="A1" s="269" t="s">
        <v>4439</v>
      </c>
      <c r="B1" s="269" t="s">
        <v>4441</v>
      </c>
      <c r="C1" s="269" t="s">
        <v>1</v>
      </c>
      <c r="D1" s="269"/>
      <c r="E1" s="269" t="s">
        <v>5091</v>
      </c>
      <c r="F1" s="269" t="s">
        <v>4442</v>
      </c>
      <c r="G1" s="269" t="s">
        <v>4443</v>
      </c>
      <c r="H1" s="269" t="s">
        <v>4444</v>
      </c>
      <c r="I1" s="269" t="s">
        <v>4445</v>
      </c>
      <c r="J1" s="269" t="s">
        <v>5089</v>
      </c>
      <c r="K1" s="269" t="s">
        <v>5090</v>
      </c>
      <c r="L1" s="269" t="s">
        <v>4440</v>
      </c>
      <c r="M1" s="269" t="s">
        <v>5092</v>
      </c>
    </row>
    <row r="2" spans="1:13" ht="22.95" customHeight="1">
      <c r="A2" s="271" t="s">
        <v>4480</v>
      </c>
      <c r="B2" s="271">
        <v>4259</v>
      </c>
      <c r="C2" s="272" t="s">
        <v>345</v>
      </c>
      <c r="D2" s="272" t="str">
        <f t="shared" ref="D2:D65" si="0">C2&amp;E2</f>
        <v>八里水灣店1</v>
      </c>
      <c r="E2" s="271">
        <v>1</v>
      </c>
      <c r="F2" s="271" t="s">
        <v>4219</v>
      </c>
      <c r="G2" s="272" t="s">
        <v>4481</v>
      </c>
      <c r="H2" s="271" t="s">
        <v>4460</v>
      </c>
      <c r="I2" s="273" t="s">
        <v>4465</v>
      </c>
      <c r="J2" s="274" t="s">
        <v>9</v>
      </c>
      <c r="K2" s="275" t="s">
        <v>4450</v>
      </c>
      <c r="L2" s="271" t="s">
        <v>1742</v>
      </c>
      <c r="M2" s="274"/>
    </row>
    <row r="3" spans="1:13" ht="22.95" customHeight="1">
      <c r="A3" s="271" t="s">
        <v>4482</v>
      </c>
      <c r="B3" s="271">
        <v>4259</v>
      </c>
      <c r="C3" s="272" t="s">
        <v>345</v>
      </c>
      <c r="D3" s="272" t="str">
        <f t="shared" si="0"/>
        <v>八里水灣店2</v>
      </c>
      <c r="E3" s="271">
        <v>2</v>
      </c>
      <c r="F3" s="271" t="s">
        <v>4220</v>
      </c>
      <c r="G3" s="272" t="s">
        <v>4483</v>
      </c>
      <c r="H3" s="271" t="s">
        <v>4453</v>
      </c>
      <c r="I3" s="273" t="s">
        <v>4449</v>
      </c>
      <c r="J3" s="274" t="s">
        <v>9</v>
      </c>
      <c r="K3" s="275" t="s">
        <v>4450</v>
      </c>
      <c r="L3" s="271" t="s">
        <v>1742</v>
      </c>
      <c r="M3" s="274"/>
    </row>
    <row r="4" spans="1:13" ht="22.95" customHeight="1">
      <c r="A4" s="271" t="s">
        <v>4484</v>
      </c>
      <c r="B4" s="271">
        <v>2306</v>
      </c>
      <c r="C4" s="272" t="s">
        <v>87</v>
      </c>
      <c r="D4" s="272" t="str">
        <f t="shared" si="0"/>
        <v>八里凱旋門1</v>
      </c>
      <c r="E4" s="271">
        <v>1</v>
      </c>
      <c r="F4" s="271" t="s">
        <v>4221</v>
      </c>
      <c r="G4" s="272" t="s">
        <v>4485</v>
      </c>
      <c r="H4" s="271" t="s">
        <v>4460</v>
      </c>
      <c r="I4" s="273" t="s">
        <v>4449</v>
      </c>
      <c r="J4" s="274" t="s">
        <v>9</v>
      </c>
      <c r="K4" s="275" t="s">
        <v>4450</v>
      </c>
      <c r="L4" s="271" t="s">
        <v>1742</v>
      </c>
      <c r="M4" s="274"/>
    </row>
    <row r="5" spans="1:13" ht="22.95" customHeight="1">
      <c r="A5" s="271" t="s">
        <v>4486</v>
      </c>
      <c r="B5" s="271">
        <v>2306</v>
      </c>
      <c r="C5" s="272" t="s">
        <v>87</v>
      </c>
      <c r="D5" s="272" t="str">
        <f t="shared" si="0"/>
        <v>八里凱旋門2</v>
      </c>
      <c r="E5" s="271">
        <v>2</v>
      </c>
      <c r="F5" s="271" t="s">
        <v>4222</v>
      </c>
      <c r="G5" s="272" t="s">
        <v>4487</v>
      </c>
      <c r="H5" s="271" t="s">
        <v>4460</v>
      </c>
      <c r="I5" s="273" t="s">
        <v>4449</v>
      </c>
      <c r="J5" s="274" t="s">
        <v>9</v>
      </c>
      <c r="K5" s="275" t="s">
        <v>4450</v>
      </c>
      <c r="L5" s="271" t="s">
        <v>1742</v>
      </c>
      <c r="M5" s="274"/>
    </row>
    <row r="6" spans="1:13" ht="22.95" customHeight="1">
      <c r="A6" s="271" t="s">
        <v>4488</v>
      </c>
      <c r="B6" s="271">
        <v>4243</v>
      </c>
      <c r="C6" s="272" t="s">
        <v>341</v>
      </c>
      <c r="D6" s="272" t="str">
        <f t="shared" si="0"/>
        <v>八里聖心店1</v>
      </c>
      <c r="E6" s="271">
        <v>1</v>
      </c>
      <c r="F6" s="271" t="s">
        <v>4271</v>
      </c>
      <c r="G6" s="272" t="s">
        <v>4489</v>
      </c>
      <c r="H6" s="271" t="s">
        <v>4460</v>
      </c>
      <c r="I6" s="273" t="s">
        <v>4449</v>
      </c>
      <c r="J6" s="274" t="s">
        <v>9</v>
      </c>
      <c r="K6" s="275" t="s">
        <v>4450</v>
      </c>
      <c r="L6" s="271" t="s">
        <v>1742</v>
      </c>
      <c r="M6" s="274"/>
    </row>
    <row r="7" spans="1:13" ht="22.95" customHeight="1">
      <c r="A7" s="271" t="s">
        <v>4490</v>
      </c>
      <c r="B7" s="271">
        <v>4243</v>
      </c>
      <c r="C7" s="272" t="s">
        <v>341</v>
      </c>
      <c r="D7" s="272" t="str">
        <f t="shared" si="0"/>
        <v>八里聖心店2</v>
      </c>
      <c r="E7" s="271">
        <v>2</v>
      </c>
      <c r="F7" s="271" t="s">
        <v>4272</v>
      </c>
      <c r="G7" s="272" t="s">
        <v>4491</v>
      </c>
      <c r="H7" s="271" t="s">
        <v>4460</v>
      </c>
      <c r="I7" s="273" t="s">
        <v>4449</v>
      </c>
      <c r="J7" s="274" t="s">
        <v>9</v>
      </c>
      <c r="K7" s="275" t="s">
        <v>4450</v>
      </c>
      <c r="L7" s="271" t="s">
        <v>1742</v>
      </c>
      <c r="M7" s="274"/>
    </row>
    <row r="8" spans="1:13" ht="22.95" customHeight="1">
      <c r="A8" s="271" t="s">
        <v>4492</v>
      </c>
      <c r="B8" s="271">
        <v>3458</v>
      </c>
      <c r="C8" s="272" t="s">
        <v>189</v>
      </c>
      <c r="D8" s="272" t="str">
        <f t="shared" si="0"/>
        <v>八里龍米店2</v>
      </c>
      <c r="E8" s="271">
        <v>2</v>
      </c>
      <c r="F8" s="271" t="s">
        <v>4273</v>
      </c>
      <c r="G8" s="272" t="s">
        <v>4493</v>
      </c>
      <c r="H8" s="271" t="s">
        <v>4453</v>
      </c>
      <c r="I8" s="273" t="s">
        <v>4449</v>
      </c>
      <c r="J8" s="274" t="s">
        <v>9</v>
      </c>
      <c r="K8" s="275" t="s">
        <v>4450</v>
      </c>
      <c r="L8" s="271" t="s">
        <v>1742</v>
      </c>
      <c r="M8" s="274"/>
    </row>
    <row r="9" spans="1:13" ht="22.95" customHeight="1">
      <c r="A9" s="271" t="s">
        <v>4780</v>
      </c>
      <c r="B9" s="271">
        <v>2442</v>
      </c>
      <c r="C9" s="272" t="s">
        <v>101</v>
      </c>
      <c r="D9" s="272" t="str">
        <f t="shared" si="0"/>
        <v>北縣商港店1</v>
      </c>
      <c r="E9" s="271">
        <v>1</v>
      </c>
      <c r="F9" s="271" t="s">
        <v>4223</v>
      </c>
      <c r="G9" s="272" t="s">
        <v>4781</v>
      </c>
      <c r="H9" s="271" t="s">
        <v>4460</v>
      </c>
      <c r="I9" s="273" t="s">
        <v>4449</v>
      </c>
      <c r="J9" s="274" t="s">
        <v>9</v>
      </c>
      <c r="K9" s="275" t="s">
        <v>4450</v>
      </c>
      <c r="L9" s="271" t="s">
        <v>1742</v>
      </c>
      <c r="M9" s="274"/>
    </row>
    <row r="10" spans="1:13" ht="22.95" customHeight="1">
      <c r="A10" s="271" t="s">
        <v>4782</v>
      </c>
      <c r="B10" s="271">
        <v>2442</v>
      </c>
      <c r="C10" s="272" t="s">
        <v>101</v>
      </c>
      <c r="D10" s="272" t="str">
        <f t="shared" si="0"/>
        <v>北縣商港店2</v>
      </c>
      <c r="E10" s="271">
        <v>2</v>
      </c>
      <c r="F10" s="271" t="s">
        <v>4224</v>
      </c>
      <c r="G10" s="272" t="s">
        <v>4783</v>
      </c>
      <c r="H10" s="271" t="s">
        <v>4460</v>
      </c>
      <c r="I10" s="273" t="s">
        <v>4449</v>
      </c>
      <c r="J10" s="274" t="s">
        <v>9</v>
      </c>
      <c r="K10" s="275" t="s">
        <v>4450</v>
      </c>
      <c r="L10" s="271" t="s">
        <v>1742</v>
      </c>
      <c r="M10" s="274"/>
    </row>
    <row r="11" spans="1:13" ht="22.95" customHeight="1">
      <c r="A11" s="271" t="s">
        <v>4749</v>
      </c>
      <c r="B11" s="271">
        <v>2237</v>
      </c>
      <c r="C11" s="272" t="s">
        <v>75</v>
      </c>
      <c r="D11" s="272" t="str">
        <f t="shared" si="0"/>
        <v>北縣芝蘭店1</v>
      </c>
      <c r="E11" s="271">
        <v>1</v>
      </c>
      <c r="F11" s="271" t="s">
        <v>4251</v>
      </c>
      <c r="G11" s="272" t="s">
        <v>4750</v>
      </c>
      <c r="H11" s="271" t="s">
        <v>4460</v>
      </c>
      <c r="I11" s="273" t="s">
        <v>4449</v>
      </c>
      <c r="J11" s="274" t="s">
        <v>5</v>
      </c>
      <c r="K11" s="275" t="s">
        <v>4450</v>
      </c>
      <c r="L11" s="271" t="s">
        <v>1742</v>
      </c>
      <c r="M11" s="274"/>
    </row>
    <row r="12" spans="1:13" ht="22.95" customHeight="1">
      <c r="A12" s="271" t="s">
        <v>4751</v>
      </c>
      <c r="B12" s="271">
        <v>2237</v>
      </c>
      <c r="C12" s="272" t="s">
        <v>75</v>
      </c>
      <c r="D12" s="272" t="str">
        <f t="shared" si="0"/>
        <v>北縣芝蘭店2</v>
      </c>
      <c r="E12" s="271">
        <v>2</v>
      </c>
      <c r="F12" s="271" t="s">
        <v>4252</v>
      </c>
      <c r="G12" s="272" t="s">
        <v>4752</v>
      </c>
      <c r="H12" s="271" t="s">
        <v>4460</v>
      </c>
      <c r="I12" s="273" t="s">
        <v>4449</v>
      </c>
      <c r="J12" s="274" t="s">
        <v>5</v>
      </c>
      <c r="K12" s="275" t="s">
        <v>4450</v>
      </c>
      <c r="L12" s="271" t="s">
        <v>1742</v>
      </c>
      <c r="M12" s="274"/>
    </row>
    <row r="13" spans="1:13" ht="22.95" customHeight="1">
      <c r="A13" s="271" t="s">
        <v>4451</v>
      </c>
      <c r="B13" s="271">
        <v>3359</v>
      </c>
      <c r="C13" s="272" t="s">
        <v>179</v>
      </c>
      <c r="D13" s="272" t="str">
        <f t="shared" si="0"/>
        <v>三重金陵店1</v>
      </c>
      <c r="E13" s="271">
        <v>1</v>
      </c>
      <c r="F13" s="271" t="s">
        <v>4240</v>
      </c>
      <c r="G13" s="272" t="s">
        <v>4452</v>
      </c>
      <c r="H13" s="271" t="s">
        <v>4453</v>
      </c>
      <c r="I13" s="273" t="s">
        <v>4455</v>
      </c>
      <c r="J13" s="274" t="s">
        <v>12</v>
      </c>
      <c r="K13" s="275" t="s">
        <v>4450</v>
      </c>
      <c r="L13" s="271" t="s">
        <v>4039</v>
      </c>
      <c r="M13" s="274"/>
    </row>
    <row r="14" spans="1:13" ht="22.95" customHeight="1">
      <c r="A14" s="271" t="s">
        <v>4456</v>
      </c>
      <c r="B14" s="271">
        <v>3359</v>
      </c>
      <c r="C14" s="272" t="s">
        <v>179</v>
      </c>
      <c r="D14" s="272" t="str">
        <f t="shared" si="0"/>
        <v>三重金陵店2</v>
      </c>
      <c r="E14" s="271">
        <v>2</v>
      </c>
      <c r="F14" s="271" t="s">
        <v>4241</v>
      </c>
      <c r="G14" s="272" t="s">
        <v>4457</v>
      </c>
      <c r="H14" s="271" t="s">
        <v>4453</v>
      </c>
      <c r="I14" s="273" t="s">
        <v>4455</v>
      </c>
      <c r="J14" s="274" t="s">
        <v>12</v>
      </c>
      <c r="K14" s="275" t="s">
        <v>4450</v>
      </c>
      <c r="L14" s="271" t="s">
        <v>4039</v>
      </c>
      <c r="M14" s="274"/>
    </row>
    <row r="15" spans="1:13" ht="22.95" customHeight="1">
      <c r="A15" s="271" t="s">
        <v>4494</v>
      </c>
      <c r="B15" s="271" t="s">
        <v>19</v>
      </c>
      <c r="C15" s="272" t="s">
        <v>632</v>
      </c>
      <c r="D15" s="272" t="str">
        <f t="shared" si="0"/>
        <v>三重三民店1</v>
      </c>
      <c r="E15" s="271">
        <v>1</v>
      </c>
      <c r="F15" s="271" t="s">
        <v>4198</v>
      </c>
      <c r="G15" s="272" t="s">
        <v>4495</v>
      </c>
      <c r="H15" s="271" t="s">
        <v>4460</v>
      </c>
      <c r="I15" s="273" t="s">
        <v>4449</v>
      </c>
      <c r="J15" s="274" t="s">
        <v>12</v>
      </c>
      <c r="K15" s="275" t="s">
        <v>4450</v>
      </c>
      <c r="L15" s="271" t="s">
        <v>1742</v>
      </c>
      <c r="M15" s="274"/>
    </row>
    <row r="16" spans="1:13" ht="22.95" customHeight="1">
      <c r="A16" s="271" t="s">
        <v>4496</v>
      </c>
      <c r="B16" s="271" t="s">
        <v>19</v>
      </c>
      <c r="C16" s="272" t="s">
        <v>632</v>
      </c>
      <c r="D16" s="272" t="str">
        <f t="shared" si="0"/>
        <v>三重三民店2</v>
      </c>
      <c r="E16" s="271">
        <v>2</v>
      </c>
      <c r="F16" s="271" t="s">
        <v>4199</v>
      </c>
      <c r="G16" s="272" t="s">
        <v>4497</v>
      </c>
      <c r="H16" s="271" t="s">
        <v>4448</v>
      </c>
      <c r="I16" s="273" t="s">
        <v>4465</v>
      </c>
      <c r="J16" s="274" t="s">
        <v>12</v>
      </c>
      <c r="K16" s="275" t="s">
        <v>4450</v>
      </c>
      <c r="L16" s="271" t="s">
        <v>1742</v>
      </c>
      <c r="M16" s="274"/>
    </row>
    <row r="17" spans="1:13" ht="22.95" customHeight="1">
      <c r="A17" s="271" t="s">
        <v>4498</v>
      </c>
      <c r="B17" s="271">
        <v>2303</v>
      </c>
      <c r="C17" s="272" t="s">
        <v>86</v>
      </c>
      <c r="D17" s="272" t="str">
        <f t="shared" si="0"/>
        <v>三重三和夜市1</v>
      </c>
      <c r="E17" s="271">
        <v>1</v>
      </c>
      <c r="F17" s="271" t="s">
        <v>4305</v>
      </c>
      <c r="G17" s="272" t="s">
        <v>4499</v>
      </c>
      <c r="H17" s="271" t="s">
        <v>4460</v>
      </c>
      <c r="I17" s="273" t="s">
        <v>4455</v>
      </c>
      <c r="J17" s="274" t="s">
        <v>12</v>
      </c>
      <c r="K17" s="275" t="s">
        <v>4450</v>
      </c>
      <c r="L17" s="271" t="s">
        <v>1742</v>
      </c>
      <c r="M17" s="274"/>
    </row>
    <row r="18" spans="1:13" ht="22.95" customHeight="1">
      <c r="A18" s="271" t="s">
        <v>4500</v>
      </c>
      <c r="B18" s="271">
        <v>2303</v>
      </c>
      <c r="C18" s="272" t="s">
        <v>86</v>
      </c>
      <c r="D18" s="272" t="str">
        <f t="shared" si="0"/>
        <v>三重三和夜市2</v>
      </c>
      <c r="E18" s="271">
        <v>2</v>
      </c>
      <c r="F18" s="271" t="s">
        <v>4306</v>
      </c>
      <c r="G18" s="272" t="s">
        <v>4501</v>
      </c>
      <c r="H18" s="271" t="s">
        <v>4460</v>
      </c>
      <c r="I18" s="273" t="s">
        <v>4455</v>
      </c>
      <c r="J18" s="274" t="s">
        <v>12</v>
      </c>
      <c r="K18" s="275" t="s">
        <v>4450</v>
      </c>
      <c r="L18" s="271" t="s">
        <v>1742</v>
      </c>
      <c r="M18" s="274"/>
    </row>
    <row r="19" spans="1:13" ht="22.95" customHeight="1">
      <c r="A19" s="271" t="s">
        <v>4502</v>
      </c>
      <c r="B19" s="271">
        <v>2543</v>
      </c>
      <c r="C19" s="272" t="s">
        <v>4122</v>
      </c>
      <c r="D19" s="272" t="str">
        <f t="shared" si="0"/>
        <v>三重大仁店1</v>
      </c>
      <c r="E19" s="271">
        <v>1</v>
      </c>
      <c r="F19" s="271" t="s">
        <v>4191</v>
      </c>
      <c r="G19" s="272" t="s">
        <v>4503</v>
      </c>
      <c r="H19" s="271" t="s">
        <v>4460</v>
      </c>
      <c r="I19" s="273" t="s">
        <v>4449</v>
      </c>
      <c r="J19" s="274" t="s">
        <v>12</v>
      </c>
      <c r="K19" s="275" t="s">
        <v>4450</v>
      </c>
      <c r="L19" s="271" t="s">
        <v>1742</v>
      </c>
      <c r="M19" s="274"/>
    </row>
    <row r="20" spans="1:13" ht="22.95" customHeight="1">
      <c r="A20" s="271" t="s">
        <v>4504</v>
      </c>
      <c r="B20" s="271">
        <v>2543</v>
      </c>
      <c r="C20" s="272" t="s">
        <v>4122</v>
      </c>
      <c r="D20" s="272" t="str">
        <f t="shared" si="0"/>
        <v>三重大仁店2</v>
      </c>
      <c r="E20" s="271">
        <v>2</v>
      </c>
      <c r="F20" s="271" t="s">
        <v>4192</v>
      </c>
      <c r="G20" s="272" t="s">
        <v>4505</v>
      </c>
      <c r="H20" s="271" t="s">
        <v>4460</v>
      </c>
      <c r="I20" s="273" t="s">
        <v>4449</v>
      </c>
      <c r="J20" s="274" t="s">
        <v>12</v>
      </c>
      <c r="K20" s="275" t="s">
        <v>4450</v>
      </c>
      <c r="L20" s="271" t="s">
        <v>1742</v>
      </c>
      <c r="M20" s="274"/>
    </row>
    <row r="21" spans="1:13" ht="22.95" customHeight="1">
      <c r="A21" s="271" t="s">
        <v>4506</v>
      </c>
      <c r="B21" s="271">
        <v>4134</v>
      </c>
      <c r="C21" s="272" t="s">
        <v>1569</v>
      </c>
      <c r="D21" s="272" t="str">
        <f t="shared" si="0"/>
        <v>三重大同南1</v>
      </c>
      <c r="E21" s="271">
        <v>1</v>
      </c>
      <c r="F21" s="271" t="s">
        <v>4179</v>
      </c>
      <c r="G21" s="272" t="s">
        <v>4507</v>
      </c>
      <c r="H21" s="271" t="s">
        <v>4453</v>
      </c>
      <c r="I21" s="273" t="s">
        <v>4449</v>
      </c>
      <c r="J21" s="274" t="s">
        <v>12</v>
      </c>
      <c r="K21" s="275" t="s">
        <v>4450</v>
      </c>
      <c r="L21" s="271" t="s">
        <v>1742</v>
      </c>
      <c r="M21" s="274"/>
    </row>
    <row r="22" spans="1:13" ht="22.95" customHeight="1">
      <c r="A22" s="271" t="s">
        <v>4508</v>
      </c>
      <c r="B22" s="271">
        <v>4134</v>
      </c>
      <c r="C22" s="272" t="s">
        <v>1569</v>
      </c>
      <c r="D22" s="272" t="str">
        <f t="shared" si="0"/>
        <v>三重大同南2</v>
      </c>
      <c r="E22" s="271">
        <v>2</v>
      </c>
      <c r="F22" s="271" t="s">
        <v>4180</v>
      </c>
      <c r="G22" s="272" t="s">
        <v>4509</v>
      </c>
      <c r="H22" s="271" t="s">
        <v>4453</v>
      </c>
      <c r="I22" s="273" t="s">
        <v>4449</v>
      </c>
      <c r="J22" s="274" t="s">
        <v>12</v>
      </c>
      <c r="K22" s="275" t="s">
        <v>4450</v>
      </c>
      <c r="L22" s="271" t="s">
        <v>1742</v>
      </c>
      <c r="M22" s="274"/>
    </row>
    <row r="23" spans="1:13" ht="22.95" customHeight="1">
      <c r="A23" s="271" t="s">
        <v>4510</v>
      </c>
      <c r="B23" s="271" t="s">
        <v>38</v>
      </c>
      <c r="C23" s="272" t="s">
        <v>4121</v>
      </c>
      <c r="D23" s="272" t="str">
        <f t="shared" si="0"/>
        <v>三重大有店1</v>
      </c>
      <c r="E23" s="271">
        <v>1</v>
      </c>
      <c r="F23" s="271" t="s">
        <v>4163</v>
      </c>
      <c r="G23" s="272" t="s">
        <v>4511</v>
      </c>
      <c r="H23" s="271" t="s">
        <v>4453</v>
      </c>
      <c r="I23" s="273" t="s">
        <v>4449</v>
      </c>
      <c r="J23" s="274" t="s">
        <v>12</v>
      </c>
      <c r="K23" s="275" t="s">
        <v>4450</v>
      </c>
      <c r="L23" s="271" t="s">
        <v>1742</v>
      </c>
      <c r="M23" s="274"/>
    </row>
    <row r="24" spans="1:13" ht="22.95" customHeight="1">
      <c r="A24" s="271" t="s">
        <v>4512</v>
      </c>
      <c r="B24" s="271" t="s">
        <v>38</v>
      </c>
      <c r="C24" s="272" t="s">
        <v>4121</v>
      </c>
      <c r="D24" s="272" t="str">
        <f t="shared" si="0"/>
        <v>三重大有店2</v>
      </c>
      <c r="E24" s="271">
        <v>2</v>
      </c>
      <c r="F24" s="271" t="s">
        <v>4164</v>
      </c>
      <c r="G24" s="272" t="s">
        <v>4513</v>
      </c>
      <c r="H24" s="271" t="s">
        <v>4453</v>
      </c>
      <c r="I24" s="273" t="s">
        <v>4465</v>
      </c>
      <c r="J24" s="274" t="s">
        <v>12</v>
      </c>
      <c r="K24" s="275" t="s">
        <v>4450</v>
      </c>
      <c r="L24" s="271" t="s">
        <v>1742</v>
      </c>
      <c r="M24" s="274"/>
    </row>
    <row r="25" spans="1:13" ht="22.95" customHeight="1">
      <c r="A25" s="271" t="s">
        <v>4514</v>
      </c>
      <c r="B25" s="271">
        <v>4560</v>
      </c>
      <c r="C25" s="272" t="s">
        <v>438</v>
      </c>
      <c r="D25" s="272" t="str">
        <f t="shared" si="0"/>
        <v>三重大院店1</v>
      </c>
      <c r="E25" s="271">
        <v>1</v>
      </c>
      <c r="F25" s="271" t="s">
        <v>4286</v>
      </c>
      <c r="G25" s="272" t="s">
        <v>4515</v>
      </c>
      <c r="H25" s="271" t="s">
        <v>4453</v>
      </c>
      <c r="I25" s="273" t="s">
        <v>4465</v>
      </c>
      <c r="J25" s="274" t="s">
        <v>12</v>
      </c>
      <c r="K25" s="275" t="s">
        <v>4450</v>
      </c>
      <c r="L25" s="271" t="s">
        <v>1742</v>
      </c>
      <c r="M25" s="274"/>
    </row>
    <row r="26" spans="1:13" ht="22.95" customHeight="1">
      <c r="A26" s="271" t="s">
        <v>4516</v>
      </c>
      <c r="B26" s="271">
        <v>4560</v>
      </c>
      <c r="C26" s="272" t="s">
        <v>438</v>
      </c>
      <c r="D26" s="272" t="str">
        <f t="shared" si="0"/>
        <v>三重大院店2</v>
      </c>
      <c r="E26" s="271">
        <v>2</v>
      </c>
      <c r="F26" s="271" t="s">
        <v>4287</v>
      </c>
      <c r="G26" s="272" t="s">
        <v>4517</v>
      </c>
      <c r="H26" s="271" t="s">
        <v>4453</v>
      </c>
      <c r="I26" s="273" t="s">
        <v>4449</v>
      </c>
      <c r="J26" s="274" t="s">
        <v>12</v>
      </c>
      <c r="K26" s="275" t="s">
        <v>4450</v>
      </c>
      <c r="L26" s="271" t="s">
        <v>1742</v>
      </c>
      <c r="M26" s="274"/>
    </row>
    <row r="27" spans="1:13" ht="22.95" customHeight="1">
      <c r="A27" s="271" t="s">
        <v>4518</v>
      </c>
      <c r="B27" s="271">
        <v>2619</v>
      </c>
      <c r="C27" s="272" t="s">
        <v>1509</v>
      </c>
      <c r="D27" s="272" t="str">
        <f t="shared" si="0"/>
        <v>三重大榮店1</v>
      </c>
      <c r="E27" s="271">
        <v>1</v>
      </c>
      <c r="F27" s="271" t="s">
        <v>4204</v>
      </c>
      <c r="G27" s="272" t="s">
        <v>4519</v>
      </c>
      <c r="H27" s="271" t="s">
        <v>4460</v>
      </c>
      <c r="I27" s="273" t="s">
        <v>4449</v>
      </c>
      <c r="J27" s="274" t="s">
        <v>12</v>
      </c>
      <c r="K27" s="275" t="s">
        <v>4450</v>
      </c>
      <c r="L27" s="271" t="s">
        <v>1742</v>
      </c>
      <c r="M27" s="274"/>
    </row>
    <row r="28" spans="1:13" ht="22.95" customHeight="1">
      <c r="A28" s="271" t="s">
        <v>4520</v>
      </c>
      <c r="B28" s="271">
        <v>2619</v>
      </c>
      <c r="C28" s="272" t="s">
        <v>1509</v>
      </c>
      <c r="D28" s="272" t="str">
        <f t="shared" si="0"/>
        <v>三重大榮店2</v>
      </c>
      <c r="E28" s="271">
        <v>2</v>
      </c>
      <c r="F28" s="271" t="s">
        <v>4205</v>
      </c>
      <c r="G28" s="272" t="s">
        <v>4521</v>
      </c>
      <c r="H28" s="271" t="s">
        <v>4453</v>
      </c>
      <c r="I28" s="273" t="s">
        <v>4449</v>
      </c>
      <c r="J28" s="274" t="s">
        <v>12</v>
      </c>
      <c r="K28" s="275" t="s">
        <v>4450</v>
      </c>
      <c r="L28" s="271" t="s">
        <v>1742</v>
      </c>
      <c r="M28" s="274"/>
    </row>
    <row r="29" spans="1:13" ht="22.95" customHeight="1">
      <c r="A29" s="271" t="s">
        <v>4522</v>
      </c>
      <c r="B29" s="271">
        <v>2042</v>
      </c>
      <c r="C29" s="272" t="s">
        <v>56</v>
      </c>
      <c r="D29" s="272" t="str">
        <f t="shared" si="0"/>
        <v>三重中央北店1</v>
      </c>
      <c r="E29" s="271">
        <v>1</v>
      </c>
      <c r="F29" s="271" t="s">
        <v>4281</v>
      </c>
      <c r="G29" s="272" t="s">
        <v>4523</v>
      </c>
      <c r="H29" s="271" t="s">
        <v>4460</v>
      </c>
      <c r="I29" s="273" t="s">
        <v>4449</v>
      </c>
      <c r="J29" s="274" t="s">
        <v>12</v>
      </c>
      <c r="K29" s="275" t="s">
        <v>4450</v>
      </c>
      <c r="L29" s="271" t="s">
        <v>1742</v>
      </c>
      <c r="M29" s="274"/>
    </row>
    <row r="30" spans="1:13" ht="22.95" customHeight="1">
      <c r="A30" s="271" t="s">
        <v>4524</v>
      </c>
      <c r="B30" s="271">
        <v>2042</v>
      </c>
      <c r="C30" s="272" t="s">
        <v>56</v>
      </c>
      <c r="D30" s="272" t="str">
        <f t="shared" si="0"/>
        <v>三重中央北店2</v>
      </c>
      <c r="E30" s="271">
        <v>2</v>
      </c>
      <c r="F30" s="271" t="s">
        <v>4282</v>
      </c>
      <c r="G30" s="272" t="s">
        <v>4525</v>
      </c>
      <c r="H30" s="271" t="s">
        <v>4460</v>
      </c>
      <c r="I30" s="273" t="s">
        <v>4465</v>
      </c>
      <c r="J30" s="274" t="s">
        <v>12</v>
      </c>
      <c r="K30" s="275" t="s">
        <v>4450</v>
      </c>
      <c r="L30" s="271" t="s">
        <v>1742</v>
      </c>
      <c r="M30" s="274"/>
    </row>
    <row r="31" spans="1:13" ht="22.95" customHeight="1">
      <c r="A31" s="271" t="s">
        <v>4526</v>
      </c>
      <c r="B31" s="271">
        <v>4083</v>
      </c>
      <c r="C31" s="272" t="s">
        <v>1514</v>
      </c>
      <c r="D31" s="272" t="str">
        <f t="shared" si="0"/>
        <v>三重中央南1</v>
      </c>
      <c r="E31" s="271">
        <v>1</v>
      </c>
      <c r="F31" s="271" t="s">
        <v>4256</v>
      </c>
      <c r="G31" s="272" t="s">
        <v>4527</v>
      </c>
      <c r="H31" s="271" t="s">
        <v>4448</v>
      </c>
      <c r="I31" s="273" t="s">
        <v>4449</v>
      </c>
      <c r="J31" s="274" t="s">
        <v>12</v>
      </c>
      <c r="K31" s="275" t="s">
        <v>4450</v>
      </c>
      <c r="L31" s="271" t="s">
        <v>1742</v>
      </c>
      <c r="M31" s="274"/>
    </row>
    <row r="32" spans="1:13" ht="22.95" customHeight="1">
      <c r="A32" s="271" t="s">
        <v>4528</v>
      </c>
      <c r="B32" s="271">
        <v>4083</v>
      </c>
      <c r="C32" s="272" t="s">
        <v>1514</v>
      </c>
      <c r="D32" s="272" t="str">
        <f t="shared" si="0"/>
        <v>三重中央南2</v>
      </c>
      <c r="E32" s="271">
        <v>2</v>
      </c>
      <c r="F32" s="271" t="s">
        <v>4257</v>
      </c>
      <c r="G32" s="272" t="s">
        <v>4529</v>
      </c>
      <c r="H32" s="271" t="s">
        <v>4448</v>
      </c>
      <c r="I32" s="273" t="s">
        <v>4449</v>
      </c>
      <c r="J32" s="274" t="s">
        <v>12</v>
      </c>
      <c r="K32" s="275" t="s">
        <v>4450</v>
      </c>
      <c r="L32" s="271" t="s">
        <v>1742</v>
      </c>
      <c r="M32" s="274"/>
    </row>
    <row r="33" spans="1:13" ht="22.95" customHeight="1">
      <c r="A33" s="271" t="s">
        <v>4530</v>
      </c>
      <c r="B33" s="271">
        <v>2014</v>
      </c>
      <c r="C33" s="272" t="s">
        <v>54</v>
      </c>
      <c r="D33" s="272" t="str">
        <f t="shared" si="0"/>
        <v>三重中陽二店1</v>
      </c>
      <c r="E33" s="271">
        <v>1</v>
      </c>
      <c r="F33" s="271" t="s">
        <v>4167</v>
      </c>
      <c r="G33" s="272" t="s">
        <v>4531</v>
      </c>
      <c r="H33" s="271" t="s">
        <v>4460</v>
      </c>
      <c r="I33" s="273" t="s">
        <v>4465</v>
      </c>
      <c r="J33" s="274" t="s">
        <v>12</v>
      </c>
      <c r="K33" s="275" t="s">
        <v>4450</v>
      </c>
      <c r="L33" s="271" t="s">
        <v>1742</v>
      </c>
      <c r="M33" s="274"/>
    </row>
    <row r="34" spans="1:13" ht="22.95" customHeight="1">
      <c r="A34" s="271" t="s">
        <v>4532</v>
      </c>
      <c r="B34" s="271">
        <v>2014</v>
      </c>
      <c r="C34" s="272" t="s">
        <v>54</v>
      </c>
      <c r="D34" s="272" t="str">
        <f t="shared" si="0"/>
        <v>三重中陽二店2</v>
      </c>
      <c r="E34" s="271">
        <v>2</v>
      </c>
      <c r="F34" s="271" t="s">
        <v>4166</v>
      </c>
      <c r="G34" s="272" t="s">
        <v>4533</v>
      </c>
      <c r="H34" s="271" t="s">
        <v>4460</v>
      </c>
      <c r="I34" s="273" t="s">
        <v>4455</v>
      </c>
      <c r="J34" s="274" t="s">
        <v>12</v>
      </c>
      <c r="K34" s="275" t="s">
        <v>4450</v>
      </c>
      <c r="L34" s="271" t="s">
        <v>1742</v>
      </c>
      <c r="M34" s="274"/>
    </row>
    <row r="35" spans="1:13" ht="22.95" customHeight="1">
      <c r="A35" s="271" t="s">
        <v>4534</v>
      </c>
      <c r="B35" s="271" t="s">
        <v>22</v>
      </c>
      <c r="C35" s="272" t="s">
        <v>1559</v>
      </c>
      <c r="D35" s="272" t="str">
        <f t="shared" si="0"/>
        <v>三重中興北2</v>
      </c>
      <c r="E35" s="271">
        <v>2</v>
      </c>
      <c r="F35" s="271" t="s">
        <v>4261</v>
      </c>
      <c r="G35" s="272" t="s">
        <v>4535</v>
      </c>
      <c r="H35" s="271" t="s">
        <v>4453</v>
      </c>
      <c r="I35" s="273" t="s">
        <v>4449</v>
      </c>
      <c r="J35" s="274" t="s">
        <v>12</v>
      </c>
      <c r="K35" s="275" t="s">
        <v>4450</v>
      </c>
      <c r="L35" s="271" t="s">
        <v>1742</v>
      </c>
      <c r="M35" s="274"/>
    </row>
    <row r="36" spans="1:13" ht="22.95" customHeight="1">
      <c r="A36" s="271" t="s">
        <v>4536</v>
      </c>
      <c r="B36" s="271" t="s">
        <v>23</v>
      </c>
      <c r="C36" s="272" t="s">
        <v>1561</v>
      </c>
      <c r="D36" s="272" t="str">
        <f t="shared" si="0"/>
        <v>三重中興北二1</v>
      </c>
      <c r="E36" s="271">
        <v>1</v>
      </c>
      <c r="F36" s="271" t="s">
        <v>4262</v>
      </c>
      <c r="G36" s="272" t="s">
        <v>4537</v>
      </c>
      <c r="H36" s="271" t="s">
        <v>4453</v>
      </c>
      <c r="I36" s="273" t="s">
        <v>4455</v>
      </c>
      <c r="J36" s="274" t="s">
        <v>12</v>
      </c>
      <c r="K36" s="275" t="s">
        <v>4450</v>
      </c>
      <c r="L36" s="271" t="s">
        <v>1742</v>
      </c>
      <c r="M36" s="274"/>
    </row>
    <row r="37" spans="1:13" ht="22.95" customHeight="1">
      <c r="A37" s="271" t="s">
        <v>4538</v>
      </c>
      <c r="B37" s="271" t="s">
        <v>23</v>
      </c>
      <c r="C37" s="272" t="s">
        <v>1561</v>
      </c>
      <c r="D37" s="272" t="str">
        <f t="shared" si="0"/>
        <v>三重中興北二2</v>
      </c>
      <c r="E37" s="271">
        <v>2</v>
      </c>
      <c r="F37" s="271" t="s">
        <v>4263</v>
      </c>
      <c r="G37" s="272" t="s">
        <v>4539</v>
      </c>
      <c r="H37" s="271" t="s">
        <v>4453</v>
      </c>
      <c r="I37" s="273" t="s">
        <v>4455</v>
      </c>
      <c r="J37" s="274" t="s">
        <v>12</v>
      </c>
      <c r="K37" s="275" t="s">
        <v>4450</v>
      </c>
      <c r="L37" s="271" t="s">
        <v>1742</v>
      </c>
      <c r="M37" s="274"/>
    </row>
    <row r="38" spans="1:13" ht="22.95" customHeight="1">
      <c r="A38" s="271" t="s">
        <v>4540</v>
      </c>
      <c r="B38" s="271">
        <v>2759</v>
      </c>
      <c r="C38" s="272" t="s">
        <v>1459</v>
      </c>
      <c r="D38" s="272" t="str">
        <f t="shared" si="0"/>
        <v>三重仁化店1</v>
      </c>
      <c r="E38" s="271">
        <v>1</v>
      </c>
      <c r="F38" s="271" t="s">
        <v>4181</v>
      </c>
      <c r="G38" s="272" t="s">
        <v>4541</v>
      </c>
      <c r="H38" s="271" t="s">
        <v>4453</v>
      </c>
      <c r="I38" s="273" t="s">
        <v>4449</v>
      </c>
      <c r="J38" s="274" t="s">
        <v>12</v>
      </c>
      <c r="K38" s="275" t="s">
        <v>4450</v>
      </c>
      <c r="L38" s="271" t="s">
        <v>1742</v>
      </c>
      <c r="M38" s="274"/>
    </row>
    <row r="39" spans="1:13" ht="22.95" customHeight="1">
      <c r="A39" s="271" t="s">
        <v>4542</v>
      </c>
      <c r="B39" s="271">
        <v>2759</v>
      </c>
      <c r="C39" s="272" t="s">
        <v>1459</v>
      </c>
      <c r="D39" s="272" t="str">
        <f t="shared" si="0"/>
        <v>三重仁化店2</v>
      </c>
      <c r="E39" s="271">
        <v>2</v>
      </c>
      <c r="F39" s="271" t="s">
        <v>4182</v>
      </c>
      <c r="G39" s="272" t="s">
        <v>4543</v>
      </c>
      <c r="H39" s="271" t="s">
        <v>4453</v>
      </c>
      <c r="I39" s="273" t="s">
        <v>4449</v>
      </c>
      <c r="J39" s="274" t="s">
        <v>12</v>
      </c>
      <c r="K39" s="275" t="s">
        <v>4450</v>
      </c>
      <c r="L39" s="271" t="s">
        <v>1742</v>
      </c>
      <c r="M39" s="274"/>
    </row>
    <row r="40" spans="1:13" ht="22.95" customHeight="1">
      <c r="A40" s="271" t="s">
        <v>4544</v>
      </c>
      <c r="B40" s="271">
        <v>4397</v>
      </c>
      <c r="C40" s="272" t="s">
        <v>385</v>
      </c>
      <c r="D40" s="272" t="str">
        <f t="shared" si="0"/>
        <v>三重仁旺店1</v>
      </c>
      <c r="E40" s="271">
        <v>1</v>
      </c>
      <c r="F40" s="271" t="s">
        <v>4214</v>
      </c>
      <c r="G40" s="272" t="s">
        <v>4545</v>
      </c>
      <c r="H40" s="271" t="s">
        <v>4460</v>
      </c>
      <c r="I40" s="273" t="s">
        <v>4449</v>
      </c>
      <c r="J40" s="274" t="s">
        <v>12</v>
      </c>
      <c r="K40" s="275" t="s">
        <v>4450</v>
      </c>
      <c r="L40" s="271" t="s">
        <v>1742</v>
      </c>
      <c r="M40" s="274"/>
    </row>
    <row r="41" spans="1:13" ht="22.95" customHeight="1">
      <c r="A41" s="271" t="s">
        <v>4546</v>
      </c>
      <c r="B41" s="271">
        <v>4397</v>
      </c>
      <c r="C41" s="272" t="s">
        <v>385</v>
      </c>
      <c r="D41" s="272" t="str">
        <f t="shared" si="0"/>
        <v>三重仁旺店2</v>
      </c>
      <c r="E41" s="271">
        <v>2</v>
      </c>
      <c r="F41" s="271" t="s">
        <v>4215</v>
      </c>
      <c r="G41" s="272" t="s">
        <v>4547</v>
      </c>
      <c r="H41" s="271" t="s">
        <v>4460</v>
      </c>
      <c r="I41" s="273" t="s">
        <v>4449</v>
      </c>
      <c r="J41" s="274" t="s">
        <v>12</v>
      </c>
      <c r="K41" s="275" t="s">
        <v>4450</v>
      </c>
      <c r="L41" s="271" t="s">
        <v>1742</v>
      </c>
      <c r="M41" s="274"/>
    </row>
    <row r="42" spans="1:13" ht="22.95" customHeight="1">
      <c r="A42" s="271" t="s">
        <v>4548</v>
      </c>
      <c r="B42" s="271">
        <v>4098</v>
      </c>
      <c r="C42" s="272" t="s">
        <v>1540</v>
      </c>
      <c r="D42" s="272" t="str">
        <f t="shared" si="0"/>
        <v>三重仁美店1</v>
      </c>
      <c r="E42" s="271">
        <v>1</v>
      </c>
      <c r="F42" s="271" t="s">
        <v>4311</v>
      </c>
      <c r="G42" s="272" t="s">
        <v>4549</v>
      </c>
      <c r="H42" s="271" t="s">
        <v>4453</v>
      </c>
      <c r="I42" s="273" t="s">
        <v>4449</v>
      </c>
      <c r="J42" s="274" t="s">
        <v>12</v>
      </c>
      <c r="K42" s="275" t="s">
        <v>4450</v>
      </c>
      <c r="L42" s="271" t="s">
        <v>1742</v>
      </c>
      <c r="M42" s="274"/>
    </row>
    <row r="43" spans="1:13" ht="22.95" customHeight="1">
      <c r="A43" s="271" t="s">
        <v>4550</v>
      </c>
      <c r="B43" s="271">
        <v>4241</v>
      </c>
      <c r="C43" s="272" t="s">
        <v>1490</v>
      </c>
      <c r="D43" s="272" t="str">
        <f t="shared" si="0"/>
        <v>三重仁義店1</v>
      </c>
      <c r="E43" s="271">
        <v>1</v>
      </c>
      <c r="F43" s="271" t="s">
        <v>4320</v>
      </c>
      <c r="G43" s="272" t="s">
        <v>4551</v>
      </c>
      <c r="H43" s="271" t="s">
        <v>4453</v>
      </c>
      <c r="I43" s="273" t="s">
        <v>4449</v>
      </c>
      <c r="J43" s="274" t="s">
        <v>12</v>
      </c>
      <c r="K43" s="275" t="s">
        <v>4450</v>
      </c>
      <c r="L43" s="271" t="s">
        <v>1742</v>
      </c>
      <c r="M43" s="274"/>
    </row>
    <row r="44" spans="1:13" ht="22.95" customHeight="1">
      <c r="A44" s="271" t="s">
        <v>4552</v>
      </c>
      <c r="B44" s="271">
        <v>4241</v>
      </c>
      <c r="C44" s="272" t="s">
        <v>1490</v>
      </c>
      <c r="D44" s="272" t="str">
        <f t="shared" si="0"/>
        <v>三重仁義店2</v>
      </c>
      <c r="E44" s="271">
        <v>2</v>
      </c>
      <c r="F44" s="271" t="s">
        <v>4321</v>
      </c>
      <c r="G44" s="272" t="s">
        <v>4553</v>
      </c>
      <c r="H44" s="271" t="s">
        <v>4453</v>
      </c>
      <c r="I44" s="273" t="s">
        <v>4449</v>
      </c>
      <c r="J44" s="274" t="s">
        <v>12</v>
      </c>
      <c r="K44" s="275" t="s">
        <v>4450</v>
      </c>
      <c r="L44" s="271" t="s">
        <v>1742</v>
      </c>
      <c r="M44" s="274"/>
    </row>
    <row r="45" spans="1:13" ht="22.95" customHeight="1">
      <c r="A45" s="271" t="s">
        <v>4554</v>
      </c>
      <c r="B45" s="271">
        <v>4184</v>
      </c>
      <c r="C45" s="272" t="s">
        <v>324</v>
      </c>
      <c r="D45" s="272" t="str">
        <f t="shared" si="0"/>
        <v>三重今大店1</v>
      </c>
      <c r="E45" s="271">
        <v>1</v>
      </c>
      <c r="F45" s="271" t="s">
        <v>4190</v>
      </c>
      <c r="G45" s="272" t="s">
        <v>4555</v>
      </c>
      <c r="H45" s="271" t="s">
        <v>4448</v>
      </c>
      <c r="I45" s="273" t="s">
        <v>4455</v>
      </c>
      <c r="J45" s="274" t="s">
        <v>12</v>
      </c>
      <c r="K45" s="275" t="s">
        <v>4450</v>
      </c>
      <c r="L45" s="271" t="s">
        <v>1742</v>
      </c>
      <c r="M45" s="274"/>
    </row>
    <row r="46" spans="1:13" ht="22.95" customHeight="1">
      <c r="A46" s="271" t="s">
        <v>4556</v>
      </c>
      <c r="B46" s="271">
        <v>4352</v>
      </c>
      <c r="C46" s="272" t="s">
        <v>370</v>
      </c>
      <c r="D46" s="272" t="str">
        <f t="shared" si="0"/>
        <v>三重公園店1</v>
      </c>
      <c r="E46" s="271">
        <v>1</v>
      </c>
      <c r="F46" s="271" t="s">
        <v>4322</v>
      </c>
      <c r="G46" s="272" t="s">
        <v>4557</v>
      </c>
      <c r="H46" s="271" t="s">
        <v>4453</v>
      </c>
      <c r="I46" s="273" t="s">
        <v>4449</v>
      </c>
      <c r="J46" s="274" t="s">
        <v>12</v>
      </c>
      <c r="K46" s="275" t="s">
        <v>4450</v>
      </c>
      <c r="L46" s="271" t="s">
        <v>1742</v>
      </c>
      <c r="M46" s="274"/>
    </row>
    <row r="47" spans="1:13" ht="22.95" customHeight="1">
      <c r="A47" s="271" t="s">
        <v>4558</v>
      </c>
      <c r="B47" s="271">
        <v>4352</v>
      </c>
      <c r="C47" s="272" t="s">
        <v>370</v>
      </c>
      <c r="D47" s="272" t="str">
        <f t="shared" si="0"/>
        <v>三重公園店2</v>
      </c>
      <c r="E47" s="271">
        <v>2</v>
      </c>
      <c r="F47" s="271" t="s">
        <v>4323</v>
      </c>
      <c r="G47" s="272" t="s">
        <v>4559</v>
      </c>
      <c r="H47" s="271" t="s">
        <v>4453</v>
      </c>
      <c r="I47" s="273" t="s">
        <v>4449</v>
      </c>
      <c r="J47" s="274" t="s">
        <v>12</v>
      </c>
      <c r="K47" s="275" t="s">
        <v>4450</v>
      </c>
      <c r="L47" s="271" t="s">
        <v>1742</v>
      </c>
      <c r="M47" s="274"/>
    </row>
    <row r="48" spans="1:13" ht="22.95" customHeight="1">
      <c r="A48" s="271" t="s">
        <v>4560</v>
      </c>
      <c r="B48" s="271">
        <v>4968</v>
      </c>
      <c r="C48" s="272" t="s">
        <v>572</v>
      </c>
      <c r="D48" s="272" t="str">
        <f t="shared" si="0"/>
        <v>三重太璞宮1</v>
      </c>
      <c r="E48" s="271">
        <v>1</v>
      </c>
      <c r="F48" s="271" t="s">
        <v>4165</v>
      </c>
      <c r="G48" s="272" t="s">
        <v>4561</v>
      </c>
      <c r="H48" s="271" t="s">
        <v>4448</v>
      </c>
      <c r="I48" s="273" t="s">
        <v>4562</v>
      </c>
      <c r="J48" s="274" t="s">
        <v>12</v>
      </c>
      <c r="K48" s="275" t="s">
        <v>4450</v>
      </c>
      <c r="L48" s="271" t="s">
        <v>1742</v>
      </c>
      <c r="M48" s="274"/>
    </row>
    <row r="49" spans="1:13" ht="22.95" customHeight="1">
      <c r="A49" s="271" t="s">
        <v>4563</v>
      </c>
      <c r="B49" s="271">
        <v>4312</v>
      </c>
      <c r="C49" s="272" t="s">
        <v>360</v>
      </c>
      <c r="D49" s="272" t="str">
        <f t="shared" si="0"/>
        <v>三重文化北1</v>
      </c>
      <c r="E49" s="271">
        <v>1</v>
      </c>
      <c r="F49" s="271" t="s">
        <v>4202</v>
      </c>
      <c r="G49" s="272" t="s">
        <v>4564</v>
      </c>
      <c r="H49" s="271" t="s">
        <v>4448</v>
      </c>
      <c r="I49" s="273" t="s">
        <v>4449</v>
      </c>
      <c r="J49" s="274" t="s">
        <v>12</v>
      </c>
      <c r="K49" s="275" t="s">
        <v>4450</v>
      </c>
      <c r="L49" s="271" t="s">
        <v>1742</v>
      </c>
      <c r="M49" s="274"/>
    </row>
    <row r="50" spans="1:13" ht="22.95" customHeight="1">
      <c r="A50" s="271" t="s">
        <v>4565</v>
      </c>
      <c r="B50" s="271">
        <v>4312</v>
      </c>
      <c r="C50" s="272" t="s">
        <v>360</v>
      </c>
      <c r="D50" s="272" t="str">
        <f t="shared" si="0"/>
        <v>三重文化北2</v>
      </c>
      <c r="E50" s="271">
        <v>2</v>
      </c>
      <c r="F50" s="271" t="s">
        <v>4203</v>
      </c>
      <c r="G50" s="272" t="s">
        <v>4566</v>
      </c>
      <c r="H50" s="271" t="s">
        <v>4448</v>
      </c>
      <c r="I50" s="273" t="s">
        <v>4449</v>
      </c>
      <c r="J50" s="274" t="s">
        <v>12</v>
      </c>
      <c r="K50" s="275" t="s">
        <v>4450</v>
      </c>
      <c r="L50" s="271" t="s">
        <v>1742</v>
      </c>
      <c r="M50" s="274"/>
    </row>
    <row r="51" spans="1:13" ht="22.95" customHeight="1">
      <c r="A51" s="271" t="s">
        <v>4567</v>
      </c>
      <c r="B51" s="271" t="s">
        <v>20</v>
      </c>
      <c r="C51" s="272" t="s">
        <v>4114</v>
      </c>
      <c r="D51" s="272" t="str">
        <f t="shared" si="0"/>
        <v>三重正義北店1</v>
      </c>
      <c r="E51" s="271">
        <v>1</v>
      </c>
      <c r="F51" s="271" t="s">
        <v>4283</v>
      </c>
      <c r="G51" s="272" t="s">
        <v>4568</v>
      </c>
      <c r="H51" s="271" t="s">
        <v>4460</v>
      </c>
      <c r="I51" s="273" t="s">
        <v>4465</v>
      </c>
      <c r="J51" s="274" t="s">
        <v>12</v>
      </c>
      <c r="K51" s="275" t="s">
        <v>4450</v>
      </c>
      <c r="L51" s="271" t="s">
        <v>1742</v>
      </c>
      <c r="M51" s="274"/>
    </row>
    <row r="52" spans="1:13" ht="22.95" customHeight="1">
      <c r="A52" s="271" t="s">
        <v>4569</v>
      </c>
      <c r="B52" s="271">
        <v>2349</v>
      </c>
      <c r="C52" s="272" t="s">
        <v>4083</v>
      </c>
      <c r="D52" s="272" t="str">
        <f t="shared" si="0"/>
        <v>三重永福店1</v>
      </c>
      <c r="E52" s="271">
        <v>1</v>
      </c>
      <c r="F52" s="271" t="s">
        <v>4295</v>
      </c>
      <c r="G52" s="272" t="s">
        <v>4570</v>
      </c>
      <c r="H52" s="271" t="s">
        <v>4460</v>
      </c>
      <c r="I52" s="273" t="s">
        <v>4455</v>
      </c>
      <c r="J52" s="274" t="s">
        <v>12</v>
      </c>
      <c r="K52" s="275" t="s">
        <v>4450</v>
      </c>
      <c r="L52" s="271" t="s">
        <v>1742</v>
      </c>
      <c r="M52" s="274"/>
    </row>
    <row r="53" spans="1:13" ht="22.95" customHeight="1">
      <c r="A53" s="271" t="s">
        <v>4571</v>
      </c>
      <c r="B53" s="271">
        <v>2349</v>
      </c>
      <c r="C53" s="272" t="s">
        <v>4083</v>
      </c>
      <c r="D53" s="272" t="str">
        <f t="shared" si="0"/>
        <v>三重永福店2</v>
      </c>
      <c r="E53" s="271">
        <v>2</v>
      </c>
      <c r="F53" s="271" t="s">
        <v>4296</v>
      </c>
      <c r="G53" s="272" t="s">
        <v>4572</v>
      </c>
      <c r="H53" s="271" t="s">
        <v>4460</v>
      </c>
      <c r="I53" s="273" t="s">
        <v>4455</v>
      </c>
      <c r="J53" s="274" t="s">
        <v>12</v>
      </c>
      <c r="K53" s="275" t="s">
        <v>4450</v>
      </c>
      <c r="L53" s="271" t="s">
        <v>1742</v>
      </c>
      <c r="M53" s="274"/>
    </row>
    <row r="54" spans="1:13" ht="22.95" customHeight="1">
      <c r="A54" s="271" t="s">
        <v>4573</v>
      </c>
      <c r="B54" s="271">
        <v>3676</v>
      </c>
      <c r="C54" s="272" t="s">
        <v>4094</v>
      </c>
      <c r="D54" s="272" t="str">
        <f t="shared" si="0"/>
        <v>三重田心店1</v>
      </c>
      <c r="E54" s="271">
        <v>1</v>
      </c>
      <c r="F54" s="271" t="s">
        <v>4200</v>
      </c>
      <c r="G54" s="276" t="s">
        <v>4574</v>
      </c>
      <c r="H54" s="271" t="s">
        <v>4453</v>
      </c>
      <c r="I54" s="273" t="s">
        <v>4449</v>
      </c>
      <c r="J54" s="274" t="s">
        <v>12</v>
      </c>
      <c r="K54" s="275" t="s">
        <v>4450</v>
      </c>
      <c r="L54" s="271" t="s">
        <v>1742</v>
      </c>
      <c r="M54" s="274"/>
    </row>
    <row r="55" spans="1:13" ht="22.95" customHeight="1">
      <c r="A55" s="271" t="s">
        <v>4575</v>
      </c>
      <c r="B55" s="271">
        <v>3676</v>
      </c>
      <c r="C55" s="272" t="s">
        <v>4094</v>
      </c>
      <c r="D55" s="272" t="str">
        <f t="shared" si="0"/>
        <v>三重田心店2</v>
      </c>
      <c r="E55" s="271">
        <v>2</v>
      </c>
      <c r="F55" s="271" t="s">
        <v>4201</v>
      </c>
      <c r="G55" s="272" t="s">
        <v>4576</v>
      </c>
      <c r="H55" s="271" t="s">
        <v>4453</v>
      </c>
      <c r="I55" s="273" t="s">
        <v>4465</v>
      </c>
      <c r="J55" s="274" t="s">
        <v>12</v>
      </c>
      <c r="K55" s="275" t="s">
        <v>4450</v>
      </c>
      <c r="L55" s="271" t="s">
        <v>1742</v>
      </c>
      <c r="M55" s="274"/>
    </row>
    <row r="56" spans="1:13" ht="22.95" customHeight="1">
      <c r="A56" s="271" t="s">
        <v>4577</v>
      </c>
      <c r="B56" s="271">
        <v>4539</v>
      </c>
      <c r="C56" s="272" t="s">
        <v>431</v>
      </c>
      <c r="D56" s="272" t="str">
        <f t="shared" si="0"/>
        <v>三重自信店1</v>
      </c>
      <c r="E56" s="271">
        <v>1</v>
      </c>
      <c r="F56" s="271" t="s">
        <v>4194</v>
      </c>
      <c r="G56" s="272" t="s">
        <v>4578</v>
      </c>
      <c r="H56" s="271" t="s">
        <v>4453</v>
      </c>
      <c r="I56" s="273" t="s">
        <v>4449</v>
      </c>
      <c r="J56" s="274" t="s">
        <v>12</v>
      </c>
      <c r="K56" s="275" t="s">
        <v>4450</v>
      </c>
      <c r="L56" s="271" t="s">
        <v>1742</v>
      </c>
      <c r="M56" s="274"/>
    </row>
    <row r="57" spans="1:13" ht="22.95" customHeight="1">
      <c r="A57" s="271" t="s">
        <v>4579</v>
      </c>
      <c r="B57" s="271">
        <v>4539</v>
      </c>
      <c r="C57" s="272" t="s">
        <v>431</v>
      </c>
      <c r="D57" s="272" t="str">
        <f t="shared" si="0"/>
        <v>三重自信店2</v>
      </c>
      <c r="E57" s="271">
        <v>2</v>
      </c>
      <c r="F57" s="271" t="s">
        <v>4195</v>
      </c>
      <c r="G57" s="272" t="s">
        <v>4580</v>
      </c>
      <c r="H57" s="271" t="s">
        <v>4453</v>
      </c>
      <c r="I57" s="273" t="s">
        <v>4449</v>
      </c>
      <c r="J57" s="274" t="s">
        <v>12</v>
      </c>
      <c r="K57" s="275" t="s">
        <v>4450</v>
      </c>
      <c r="L57" s="271" t="s">
        <v>1742</v>
      </c>
      <c r="M57" s="274"/>
    </row>
    <row r="58" spans="1:13" ht="22.95" customHeight="1">
      <c r="A58" s="271" t="s">
        <v>4581</v>
      </c>
      <c r="B58" s="271">
        <v>3623</v>
      </c>
      <c r="C58" s="272" t="s">
        <v>207</v>
      </c>
      <c r="D58" s="272" t="str">
        <f t="shared" si="0"/>
        <v>三重自強店1</v>
      </c>
      <c r="E58" s="271">
        <v>1</v>
      </c>
      <c r="F58" s="271" t="s">
        <v>4288</v>
      </c>
      <c r="G58" s="272" t="s">
        <v>4582</v>
      </c>
      <c r="H58" s="271" t="s">
        <v>4453</v>
      </c>
      <c r="I58" s="273" t="s">
        <v>4449</v>
      </c>
      <c r="J58" s="274" t="s">
        <v>12</v>
      </c>
      <c r="K58" s="275" t="s">
        <v>4450</v>
      </c>
      <c r="L58" s="271" t="s">
        <v>1742</v>
      </c>
      <c r="M58" s="274"/>
    </row>
    <row r="59" spans="1:13" ht="22.95" customHeight="1">
      <c r="A59" s="271" t="s">
        <v>4583</v>
      </c>
      <c r="B59" s="271">
        <v>3623</v>
      </c>
      <c r="C59" s="272" t="s">
        <v>207</v>
      </c>
      <c r="D59" s="272" t="str">
        <f t="shared" si="0"/>
        <v>三重自強店2</v>
      </c>
      <c r="E59" s="271">
        <v>2</v>
      </c>
      <c r="F59" s="271" t="s">
        <v>4289</v>
      </c>
      <c r="G59" s="272" t="s">
        <v>4584</v>
      </c>
      <c r="H59" s="271" t="s">
        <v>4453</v>
      </c>
      <c r="I59" s="273" t="s">
        <v>4449</v>
      </c>
      <c r="J59" s="274" t="s">
        <v>12</v>
      </c>
      <c r="K59" s="275" t="s">
        <v>4450</v>
      </c>
      <c r="L59" s="271" t="s">
        <v>1742</v>
      </c>
      <c r="M59" s="274"/>
    </row>
    <row r="60" spans="1:13" ht="22.95" customHeight="1">
      <c r="A60" s="271" t="s">
        <v>4585</v>
      </c>
      <c r="B60" s="271" t="s">
        <v>27</v>
      </c>
      <c r="C60" s="272" t="s">
        <v>4100</v>
      </c>
      <c r="D60" s="272" t="str">
        <f t="shared" si="0"/>
        <v>三重車路頭1</v>
      </c>
      <c r="E60" s="271">
        <v>1</v>
      </c>
      <c r="F60" s="271" t="s">
        <v>4586</v>
      </c>
      <c r="G60" s="272" t="s">
        <v>4587</v>
      </c>
      <c r="H60" s="271" t="s">
        <v>4453</v>
      </c>
      <c r="I60" s="273" t="s">
        <v>4449</v>
      </c>
      <c r="J60" s="274" t="s">
        <v>12</v>
      </c>
      <c r="K60" s="275" t="s">
        <v>4450</v>
      </c>
      <c r="L60" s="271" t="s">
        <v>1742</v>
      </c>
      <c r="M60" s="274"/>
    </row>
    <row r="61" spans="1:13" ht="22.95" customHeight="1">
      <c r="A61" s="271" t="s">
        <v>4588</v>
      </c>
      <c r="B61" s="271">
        <v>4977</v>
      </c>
      <c r="C61" s="272" t="s">
        <v>574</v>
      </c>
      <c r="D61" s="272" t="str">
        <f t="shared" si="0"/>
        <v>三重初戀店1</v>
      </c>
      <c r="E61" s="271">
        <v>1</v>
      </c>
      <c r="F61" s="271" t="s">
        <v>4244</v>
      </c>
      <c r="G61" s="272" t="s">
        <v>4589</v>
      </c>
      <c r="H61" s="271" t="s">
        <v>4453</v>
      </c>
      <c r="I61" s="273" t="s">
        <v>4449</v>
      </c>
      <c r="J61" s="274" t="s">
        <v>12</v>
      </c>
      <c r="K61" s="275" t="s">
        <v>4450</v>
      </c>
      <c r="L61" s="271" t="s">
        <v>1742</v>
      </c>
      <c r="M61" s="274"/>
    </row>
    <row r="62" spans="1:13" ht="22.95" customHeight="1">
      <c r="A62" s="271" t="s">
        <v>4590</v>
      </c>
      <c r="B62" s="271">
        <v>4977</v>
      </c>
      <c r="C62" s="272" t="s">
        <v>574</v>
      </c>
      <c r="D62" s="272" t="str">
        <f t="shared" si="0"/>
        <v>三重初戀店2</v>
      </c>
      <c r="E62" s="271">
        <v>2</v>
      </c>
      <c r="F62" s="271" t="s">
        <v>4245</v>
      </c>
      <c r="G62" s="272" t="s">
        <v>4591</v>
      </c>
      <c r="H62" s="271" t="s">
        <v>4453</v>
      </c>
      <c r="I62" s="273" t="s">
        <v>4449</v>
      </c>
      <c r="J62" s="274" t="s">
        <v>12</v>
      </c>
      <c r="K62" s="275" t="s">
        <v>4450</v>
      </c>
      <c r="L62" s="271" t="s">
        <v>1742</v>
      </c>
      <c r="M62" s="274"/>
    </row>
    <row r="63" spans="1:13" ht="22.95" customHeight="1">
      <c r="A63" s="271" t="s">
        <v>4592</v>
      </c>
      <c r="B63" s="271">
        <v>2935</v>
      </c>
      <c r="C63" s="272" t="s">
        <v>144</v>
      </c>
      <c r="D63" s="272" t="str">
        <f t="shared" si="0"/>
        <v>三重夜市口1</v>
      </c>
      <c r="E63" s="271">
        <v>1</v>
      </c>
      <c r="F63" s="271" t="s">
        <v>4277</v>
      </c>
      <c r="G63" s="272" t="s">
        <v>4593</v>
      </c>
      <c r="H63" s="271" t="s">
        <v>4453</v>
      </c>
      <c r="I63" s="273" t="s">
        <v>4449</v>
      </c>
      <c r="J63" s="274" t="s">
        <v>12</v>
      </c>
      <c r="K63" s="275" t="s">
        <v>4450</v>
      </c>
      <c r="L63" s="271" t="s">
        <v>1742</v>
      </c>
      <c r="M63" s="274"/>
    </row>
    <row r="64" spans="1:13" ht="22.95" customHeight="1">
      <c r="A64" s="271" t="s">
        <v>4594</v>
      </c>
      <c r="B64" s="271">
        <v>2935</v>
      </c>
      <c r="C64" s="272" t="s">
        <v>144</v>
      </c>
      <c r="D64" s="272" t="str">
        <f t="shared" si="0"/>
        <v>三重夜市口2</v>
      </c>
      <c r="E64" s="271">
        <v>2</v>
      </c>
      <c r="F64" s="271" t="s">
        <v>4278</v>
      </c>
      <c r="G64" s="272" t="s">
        <v>4595</v>
      </c>
      <c r="H64" s="271" t="s">
        <v>4453</v>
      </c>
      <c r="I64" s="273" t="s">
        <v>4465</v>
      </c>
      <c r="J64" s="274" t="s">
        <v>12</v>
      </c>
      <c r="K64" s="275" t="s">
        <v>4450</v>
      </c>
      <c r="L64" s="271" t="s">
        <v>1742</v>
      </c>
      <c r="M64" s="274"/>
    </row>
    <row r="65" spans="1:13" ht="22.95" customHeight="1">
      <c r="A65" s="271" t="s">
        <v>4596</v>
      </c>
      <c r="B65" s="271">
        <v>4084</v>
      </c>
      <c r="C65" s="272" t="s">
        <v>305</v>
      </c>
      <c r="D65" s="272" t="str">
        <f t="shared" si="0"/>
        <v>三重昌隆店1</v>
      </c>
      <c r="E65" s="271">
        <v>1</v>
      </c>
      <c r="F65" s="271" t="s">
        <v>4173</v>
      </c>
      <c r="G65" s="272" t="s">
        <v>4597</v>
      </c>
      <c r="H65" s="271" t="s">
        <v>4453</v>
      </c>
      <c r="I65" s="273" t="s">
        <v>4455</v>
      </c>
      <c r="J65" s="274" t="s">
        <v>12</v>
      </c>
      <c r="K65" s="275" t="s">
        <v>4450</v>
      </c>
      <c r="L65" s="271" t="s">
        <v>1742</v>
      </c>
      <c r="M65" s="274"/>
    </row>
    <row r="66" spans="1:13" ht="22.95" customHeight="1">
      <c r="A66" s="271" t="s">
        <v>4598</v>
      </c>
      <c r="B66" s="271">
        <v>4084</v>
      </c>
      <c r="C66" s="272" t="s">
        <v>305</v>
      </c>
      <c r="D66" s="272" t="str">
        <f t="shared" ref="D66:D129" si="1">C66&amp;E66</f>
        <v>三重昌隆店2</v>
      </c>
      <c r="E66" s="271">
        <v>2</v>
      </c>
      <c r="F66" s="271" t="s">
        <v>4174</v>
      </c>
      <c r="G66" s="272" t="s">
        <v>4599</v>
      </c>
      <c r="H66" s="271" t="s">
        <v>4453</v>
      </c>
      <c r="I66" s="273" t="s">
        <v>4455</v>
      </c>
      <c r="J66" s="274" t="s">
        <v>12</v>
      </c>
      <c r="K66" s="275" t="s">
        <v>4450</v>
      </c>
      <c r="L66" s="271" t="s">
        <v>1742</v>
      </c>
      <c r="M66" s="274"/>
    </row>
    <row r="67" spans="1:13" ht="22.95" customHeight="1">
      <c r="A67" s="271" t="s">
        <v>4600</v>
      </c>
      <c r="B67" s="271">
        <v>3983</v>
      </c>
      <c r="C67" s="272" t="s">
        <v>279</v>
      </c>
      <c r="D67" s="272" t="str">
        <f t="shared" si="1"/>
        <v>三重星光店1</v>
      </c>
      <c r="E67" s="271">
        <v>1</v>
      </c>
      <c r="F67" s="271" t="s">
        <v>4185</v>
      </c>
      <c r="G67" s="272" t="s">
        <v>4601</v>
      </c>
      <c r="H67" s="271" t="s">
        <v>4453</v>
      </c>
      <c r="I67" s="273" t="s">
        <v>4449</v>
      </c>
      <c r="J67" s="274" t="s">
        <v>12</v>
      </c>
      <c r="K67" s="275" t="s">
        <v>4450</v>
      </c>
      <c r="L67" s="271" t="s">
        <v>1742</v>
      </c>
      <c r="M67" s="274"/>
    </row>
    <row r="68" spans="1:13" ht="22.95" customHeight="1">
      <c r="A68" s="271" t="s">
        <v>4602</v>
      </c>
      <c r="B68" s="271">
        <v>3890</v>
      </c>
      <c r="C68" s="272" t="s">
        <v>253</v>
      </c>
      <c r="D68" s="272" t="str">
        <f t="shared" si="1"/>
        <v>三重美堤店1</v>
      </c>
      <c r="E68" s="271">
        <v>1</v>
      </c>
      <c r="F68" s="271" t="s">
        <v>4141</v>
      </c>
      <c r="G68" s="272" t="s">
        <v>4603</v>
      </c>
      <c r="H68" s="271" t="s">
        <v>4453</v>
      </c>
      <c r="I68" s="273" t="s">
        <v>4604</v>
      </c>
      <c r="J68" s="274" t="s">
        <v>12</v>
      </c>
      <c r="K68" s="275" t="s">
        <v>4450</v>
      </c>
      <c r="L68" s="271" t="s">
        <v>1742</v>
      </c>
      <c r="M68" s="274"/>
    </row>
    <row r="69" spans="1:13" ht="22.95" customHeight="1">
      <c r="A69" s="271" t="s">
        <v>4605</v>
      </c>
      <c r="B69" s="271">
        <v>3890</v>
      </c>
      <c r="C69" s="272" t="s">
        <v>253</v>
      </c>
      <c r="D69" s="272" t="str">
        <f t="shared" si="1"/>
        <v>三重美堤店2</v>
      </c>
      <c r="E69" s="271">
        <v>2</v>
      </c>
      <c r="F69" s="271" t="s">
        <v>4142</v>
      </c>
      <c r="G69" s="272" t="s">
        <v>4606</v>
      </c>
      <c r="H69" s="271" t="s">
        <v>4453</v>
      </c>
      <c r="I69" s="273" t="s">
        <v>4604</v>
      </c>
      <c r="J69" s="274" t="s">
        <v>12</v>
      </c>
      <c r="K69" s="275" t="s">
        <v>4450</v>
      </c>
      <c r="L69" s="271" t="s">
        <v>1742</v>
      </c>
      <c r="M69" s="274"/>
    </row>
    <row r="70" spans="1:13" ht="22.95" customHeight="1">
      <c r="A70" s="271" t="s">
        <v>4607</v>
      </c>
      <c r="B70" s="271">
        <v>4260</v>
      </c>
      <c r="C70" s="272" t="s">
        <v>346</v>
      </c>
      <c r="D70" s="272" t="str">
        <f t="shared" si="1"/>
        <v>三重重高店1</v>
      </c>
      <c r="E70" s="271">
        <v>1</v>
      </c>
      <c r="F70" s="271" t="s">
        <v>4175</v>
      </c>
      <c r="G70" s="272" t="s">
        <v>4608</v>
      </c>
      <c r="H70" s="271" t="s">
        <v>4453</v>
      </c>
      <c r="I70" s="273" t="s">
        <v>4449</v>
      </c>
      <c r="J70" s="274" t="s">
        <v>12</v>
      </c>
      <c r="K70" s="275" t="s">
        <v>4450</v>
      </c>
      <c r="L70" s="271" t="s">
        <v>1742</v>
      </c>
      <c r="M70" s="274"/>
    </row>
    <row r="71" spans="1:13" ht="22.95" customHeight="1">
      <c r="A71" s="271" t="s">
        <v>4609</v>
      </c>
      <c r="B71" s="271">
        <v>4260</v>
      </c>
      <c r="C71" s="272" t="s">
        <v>346</v>
      </c>
      <c r="D71" s="272" t="str">
        <f t="shared" si="1"/>
        <v>三重重高店2</v>
      </c>
      <c r="E71" s="271">
        <v>2</v>
      </c>
      <c r="F71" s="271" t="s">
        <v>4176</v>
      </c>
      <c r="G71" s="272" t="s">
        <v>4610</v>
      </c>
      <c r="H71" s="271" t="s">
        <v>4453</v>
      </c>
      <c r="I71" s="273" t="s">
        <v>4449</v>
      </c>
      <c r="J71" s="274" t="s">
        <v>12</v>
      </c>
      <c r="K71" s="275" t="s">
        <v>4450</v>
      </c>
      <c r="L71" s="271" t="s">
        <v>1742</v>
      </c>
      <c r="M71" s="274"/>
    </row>
    <row r="72" spans="1:13" ht="22.95" customHeight="1">
      <c r="A72" s="271" t="s">
        <v>4611</v>
      </c>
      <c r="B72" s="271">
        <v>3741</v>
      </c>
      <c r="C72" s="272" t="s">
        <v>1580</v>
      </c>
      <c r="D72" s="272" t="str">
        <f t="shared" si="1"/>
        <v>三重重新三1</v>
      </c>
      <c r="E72" s="271">
        <v>1</v>
      </c>
      <c r="F72" s="271" t="s">
        <v>4279</v>
      </c>
      <c r="G72" s="272" t="s">
        <v>4612</v>
      </c>
      <c r="H72" s="271" t="s">
        <v>4453</v>
      </c>
      <c r="I72" s="273" t="s">
        <v>4449</v>
      </c>
      <c r="J72" s="274" t="s">
        <v>12</v>
      </c>
      <c r="K72" s="275" t="s">
        <v>4450</v>
      </c>
      <c r="L72" s="271" t="s">
        <v>1742</v>
      </c>
      <c r="M72" s="274"/>
    </row>
    <row r="73" spans="1:13" ht="22.95" customHeight="1">
      <c r="A73" s="271" t="s">
        <v>4613</v>
      </c>
      <c r="B73" s="271">
        <v>3741</v>
      </c>
      <c r="C73" s="272" t="s">
        <v>1580</v>
      </c>
      <c r="D73" s="272" t="str">
        <f t="shared" si="1"/>
        <v>三重重新三2</v>
      </c>
      <c r="E73" s="271">
        <v>2</v>
      </c>
      <c r="F73" s="271" t="s">
        <v>4280</v>
      </c>
      <c r="G73" s="272" t="s">
        <v>4614</v>
      </c>
      <c r="H73" s="271" t="s">
        <v>4453</v>
      </c>
      <c r="I73" s="273" t="s">
        <v>4449</v>
      </c>
      <c r="J73" s="274" t="s">
        <v>12</v>
      </c>
      <c r="K73" s="275" t="s">
        <v>4450</v>
      </c>
      <c r="L73" s="271" t="s">
        <v>1742</v>
      </c>
      <c r="M73" s="274"/>
    </row>
    <row r="74" spans="1:13" ht="22.95" customHeight="1">
      <c r="A74" s="271" t="s">
        <v>4615</v>
      </c>
      <c r="B74" s="271" t="s">
        <v>36</v>
      </c>
      <c r="C74" s="272" t="s">
        <v>635</v>
      </c>
      <c r="D74" s="272" t="str">
        <f t="shared" si="1"/>
        <v>三重重新店1</v>
      </c>
      <c r="E74" s="271">
        <v>1</v>
      </c>
      <c r="F74" s="271" t="s">
        <v>4171</v>
      </c>
      <c r="G74" s="272" t="s">
        <v>4616</v>
      </c>
      <c r="H74" s="271" t="s">
        <v>4453</v>
      </c>
      <c r="I74" s="273" t="s">
        <v>4455</v>
      </c>
      <c r="J74" s="274" t="s">
        <v>12</v>
      </c>
      <c r="K74" s="275" t="s">
        <v>4450</v>
      </c>
      <c r="L74" s="271" t="s">
        <v>1742</v>
      </c>
      <c r="M74" s="274"/>
    </row>
    <row r="75" spans="1:13" ht="22.95" customHeight="1">
      <c r="A75" s="271" t="s">
        <v>4617</v>
      </c>
      <c r="B75" s="271" t="s">
        <v>36</v>
      </c>
      <c r="C75" s="272" t="s">
        <v>635</v>
      </c>
      <c r="D75" s="272" t="str">
        <f t="shared" si="1"/>
        <v>三重重新店2</v>
      </c>
      <c r="E75" s="271">
        <v>2</v>
      </c>
      <c r="F75" s="271" t="s">
        <v>4172</v>
      </c>
      <c r="G75" s="272" t="s">
        <v>4618</v>
      </c>
      <c r="H75" s="271" t="s">
        <v>4453</v>
      </c>
      <c r="I75" s="273" t="s">
        <v>4455</v>
      </c>
      <c r="J75" s="274" t="s">
        <v>12</v>
      </c>
      <c r="K75" s="275" t="s">
        <v>4450</v>
      </c>
      <c r="L75" s="271" t="s">
        <v>1742</v>
      </c>
      <c r="M75" s="274"/>
    </row>
    <row r="76" spans="1:13" ht="22.95" customHeight="1">
      <c r="A76" s="271" t="s">
        <v>4619</v>
      </c>
      <c r="B76" s="271">
        <v>3627</v>
      </c>
      <c r="C76" s="272" t="s">
        <v>209</v>
      </c>
      <c r="D76" s="272" t="str">
        <f t="shared" si="1"/>
        <v>三重重新橋1</v>
      </c>
      <c r="E76" s="271">
        <v>1</v>
      </c>
      <c r="F76" s="271" t="s">
        <v>4169</v>
      </c>
      <c r="G76" s="272" t="s">
        <v>4620</v>
      </c>
      <c r="H76" s="271" t="s">
        <v>4460</v>
      </c>
      <c r="I76" s="273" t="s">
        <v>4449</v>
      </c>
      <c r="J76" s="274" t="s">
        <v>12</v>
      </c>
      <c r="K76" s="275" t="s">
        <v>4450</v>
      </c>
      <c r="L76" s="271" t="s">
        <v>1742</v>
      </c>
      <c r="M76" s="274"/>
    </row>
    <row r="77" spans="1:13" ht="22.95" customHeight="1">
      <c r="A77" s="271" t="s">
        <v>4621</v>
      </c>
      <c r="B77" s="271">
        <v>3627</v>
      </c>
      <c r="C77" s="272" t="s">
        <v>209</v>
      </c>
      <c r="D77" s="272" t="str">
        <f t="shared" si="1"/>
        <v>三重重新橋2</v>
      </c>
      <c r="E77" s="271">
        <v>2</v>
      </c>
      <c r="F77" s="271" t="s">
        <v>4170</v>
      </c>
      <c r="G77" s="272" t="s">
        <v>4622</v>
      </c>
      <c r="H77" s="271" t="s">
        <v>4448</v>
      </c>
      <c r="I77" s="273" t="s">
        <v>4465</v>
      </c>
      <c r="J77" s="274" t="s">
        <v>12</v>
      </c>
      <c r="K77" s="275" t="s">
        <v>4450</v>
      </c>
      <c r="L77" s="271" t="s">
        <v>1742</v>
      </c>
      <c r="M77" s="274"/>
    </row>
    <row r="78" spans="1:13" ht="22.95" customHeight="1">
      <c r="A78" s="271" t="s">
        <v>4623</v>
      </c>
      <c r="B78" s="271">
        <v>4804</v>
      </c>
      <c r="C78" s="272" t="s">
        <v>527</v>
      </c>
      <c r="D78" s="272" t="str">
        <f t="shared" si="1"/>
        <v>三重國隆店1</v>
      </c>
      <c r="E78" s="271">
        <v>1</v>
      </c>
      <c r="F78" s="271" t="s">
        <v>4188</v>
      </c>
      <c r="G78" s="272" t="s">
        <v>4624</v>
      </c>
      <c r="H78" s="271" t="s">
        <v>4448</v>
      </c>
      <c r="I78" s="273" t="s">
        <v>4465</v>
      </c>
      <c r="J78" s="274" t="s">
        <v>12</v>
      </c>
      <c r="K78" s="275" t="s">
        <v>4450</v>
      </c>
      <c r="L78" s="271" t="s">
        <v>1742</v>
      </c>
      <c r="M78" s="274"/>
    </row>
    <row r="79" spans="1:13" ht="22.95" customHeight="1">
      <c r="A79" s="271" t="s">
        <v>4625</v>
      </c>
      <c r="B79" s="271">
        <v>4804</v>
      </c>
      <c r="C79" s="272" t="s">
        <v>527</v>
      </c>
      <c r="D79" s="272" t="str">
        <f t="shared" si="1"/>
        <v>三重國隆店2</v>
      </c>
      <c r="E79" s="271">
        <v>2</v>
      </c>
      <c r="F79" s="271" t="s">
        <v>4189</v>
      </c>
      <c r="G79" s="272" t="s">
        <v>4626</v>
      </c>
      <c r="H79" s="271" t="s">
        <v>4460</v>
      </c>
      <c r="I79" s="273" t="s">
        <v>4449</v>
      </c>
      <c r="J79" s="274" t="s">
        <v>12</v>
      </c>
      <c r="K79" s="275" t="s">
        <v>4450</v>
      </c>
      <c r="L79" s="271" t="s">
        <v>1742</v>
      </c>
      <c r="M79" s="274"/>
    </row>
    <row r="80" spans="1:13" ht="22.95" customHeight="1">
      <c r="A80" s="271" t="s">
        <v>4627</v>
      </c>
      <c r="B80" s="271">
        <v>4698</v>
      </c>
      <c r="C80" s="272" t="s">
        <v>483</v>
      </c>
      <c r="D80" s="272" t="str">
        <f t="shared" si="1"/>
        <v>三重頂崁店1</v>
      </c>
      <c r="E80" s="271">
        <v>1</v>
      </c>
      <c r="F80" s="271" t="s">
        <v>4265</v>
      </c>
      <c r="G80" s="272" t="s">
        <v>4628</v>
      </c>
      <c r="H80" s="271" t="s">
        <v>4448</v>
      </c>
      <c r="I80" s="273" t="s">
        <v>4449</v>
      </c>
      <c r="J80" s="274" t="s">
        <v>12</v>
      </c>
      <c r="K80" s="275" t="s">
        <v>4450</v>
      </c>
      <c r="L80" s="271" t="s">
        <v>1742</v>
      </c>
      <c r="M80" s="274"/>
    </row>
    <row r="81" spans="1:13" ht="22.95" customHeight="1">
      <c r="A81" s="271" t="s">
        <v>4629</v>
      </c>
      <c r="B81" s="271">
        <v>4698</v>
      </c>
      <c r="C81" s="272" t="s">
        <v>483</v>
      </c>
      <c r="D81" s="272" t="str">
        <f t="shared" si="1"/>
        <v>三重頂崁店2</v>
      </c>
      <c r="E81" s="271">
        <v>2</v>
      </c>
      <c r="F81" s="271" t="s">
        <v>4266</v>
      </c>
      <c r="G81" s="272" t="s">
        <v>4630</v>
      </c>
      <c r="H81" s="271" t="s">
        <v>4448</v>
      </c>
      <c r="I81" s="273" t="s">
        <v>4449</v>
      </c>
      <c r="J81" s="274" t="s">
        <v>12</v>
      </c>
      <c r="K81" s="275" t="s">
        <v>4450</v>
      </c>
      <c r="L81" s="271" t="s">
        <v>1742</v>
      </c>
      <c r="M81" s="274"/>
    </row>
    <row r="82" spans="1:13" ht="22.95" customHeight="1">
      <c r="A82" s="271" t="s">
        <v>4631</v>
      </c>
      <c r="B82" s="271">
        <v>3796</v>
      </c>
      <c r="C82" s="272" t="s">
        <v>4113</v>
      </c>
      <c r="D82" s="272" t="str">
        <f t="shared" si="1"/>
        <v>三重進安店1</v>
      </c>
      <c r="E82" s="271">
        <v>1</v>
      </c>
      <c r="F82" s="271" t="s">
        <v>4314</v>
      </c>
      <c r="G82" s="272" t="s">
        <v>4632</v>
      </c>
      <c r="H82" s="271" t="s">
        <v>4453</v>
      </c>
      <c r="I82" s="273" t="s">
        <v>4465</v>
      </c>
      <c r="J82" s="274" t="s">
        <v>12</v>
      </c>
      <c r="K82" s="275" t="s">
        <v>4450</v>
      </c>
      <c r="L82" s="271" t="s">
        <v>1742</v>
      </c>
      <c r="M82" s="274"/>
    </row>
    <row r="83" spans="1:13" ht="22.95" customHeight="1">
      <c r="A83" s="271" t="s">
        <v>4633</v>
      </c>
      <c r="B83" s="271">
        <v>3796</v>
      </c>
      <c r="C83" s="272" t="s">
        <v>4113</v>
      </c>
      <c r="D83" s="272" t="str">
        <f t="shared" si="1"/>
        <v>三重進安店2</v>
      </c>
      <c r="E83" s="271">
        <v>2</v>
      </c>
      <c r="F83" s="271" t="s">
        <v>4315</v>
      </c>
      <c r="G83" s="272" t="s">
        <v>4634</v>
      </c>
      <c r="H83" s="271" t="s">
        <v>4453</v>
      </c>
      <c r="I83" s="273" t="s">
        <v>4449</v>
      </c>
      <c r="J83" s="274" t="s">
        <v>12</v>
      </c>
      <c r="K83" s="275" t="s">
        <v>4450</v>
      </c>
      <c r="L83" s="271" t="s">
        <v>1742</v>
      </c>
      <c r="M83" s="274"/>
    </row>
    <row r="84" spans="1:13" ht="22.95" customHeight="1">
      <c r="A84" s="271" t="s">
        <v>4635</v>
      </c>
      <c r="B84" s="271">
        <v>4191</v>
      </c>
      <c r="C84" s="272" t="s">
        <v>325</v>
      </c>
      <c r="D84" s="272" t="str">
        <f t="shared" si="1"/>
        <v>三重溪美店1</v>
      </c>
      <c r="E84" s="271">
        <v>1</v>
      </c>
      <c r="F84" s="271" t="s">
        <v>4143</v>
      </c>
      <c r="G84" s="272" t="s">
        <v>4636</v>
      </c>
      <c r="H84" s="271" t="s">
        <v>4460</v>
      </c>
      <c r="I84" s="273" t="s">
        <v>4455</v>
      </c>
      <c r="J84" s="274" t="s">
        <v>12</v>
      </c>
      <c r="K84" s="275" t="s">
        <v>4450</v>
      </c>
      <c r="L84" s="271" t="s">
        <v>1742</v>
      </c>
      <c r="M84" s="274"/>
    </row>
    <row r="85" spans="1:13" ht="22.95" customHeight="1">
      <c r="A85" s="271" t="s">
        <v>4637</v>
      </c>
      <c r="B85" s="271">
        <v>4191</v>
      </c>
      <c r="C85" s="272" t="s">
        <v>325</v>
      </c>
      <c r="D85" s="272" t="str">
        <f t="shared" si="1"/>
        <v>三重溪美店2</v>
      </c>
      <c r="E85" s="271">
        <v>2</v>
      </c>
      <c r="F85" s="271" t="s">
        <v>4144</v>
      </c>
      <c r="G85" s="272" t="s">
        <v>4638</v>
      </c>
      <c r="H85" s="271" t="s">
        <v>4448</v>
      </c>
      <c r="I85" s="273" t="s">
        <v>4455</v>
      </c>
      <c r="J85" s="274" t="s">
        <v>12</v>
      </c>
      <c r="K85" s="275" t="s">
        <v>4450</v>
      </c>
      <c r="L85" s="271" t="s">
        <v>1742</v>
      </c>
      <c r="M85" s="274"/>
    </row>
    <row r="86" spans="1:13" ht="22.95" customHeight="1">
      <c r="A86" s="271" t="s">
        <v>4639</v>
      </c>
      <c r="B86" s="271">
        <v>2222</v>
      </c>
      <c r="C86" s="272" t="s">
        <v>1535</v>
      </c>
      <c r="D86" s="272" t="str">
        <f t="shared" si="1"/>
        <v>三重義天店1</v>
      </c>
      <c r="E86" s="271">
        <v>1</v>
      </c>
      <c r="F86" s="271" t="s">
        <v>4307</v>
      </c>
      <c r="G86" s="272" t="s">
        <v>4640</v>
      </c>
      <c r="H86" s="271" t="s">
        <v>4460</v>
      </c>
      <c r="I86" s="273" t="s">
        <v>4449</v>
      </c>
      <c r="J86" s="274" t="s">
        <v>12</v>
      </c>
      <c r="K86" s="275" t="s">
        <v>4450</v>
      </c>
      <c r="L86" s="271" t="s">
        <v>1742</v>
      </c>
      <c r="M86" s="274"/>
    </row>
    <row r="87" spans="1:13" ht="22.95" customHeight="1">
      <c r="A87" s="271" t="s">
        <v>4641</v>
      </c>
      <c r="B87" s="271">
        <v>2222</v>
      </c>
      <c r="C87" s="272" t="s">
        <v>1535</v>
      </c>
      <c r="D87" s="272" t="str">
        <f t="shared" si="1"/>
        <v>三重義天店2</v>
      </c>
      <c r="E87" s="271">
        <v>2</v>
      </c>
      <c r="F87" s="271" t="s">
        <v>4308</v>
      </c>
      <c r="G87" s="272" t="s">
        <v>4642</v>
      </c>
      <c r="H87" s="271" t="s">
        <v>4453</v>
      </c>
      <c r="I87" s="273" t="s">
        <v>4465</v>
      </c>
      <c r="J87" s="274" t="s">
        <v>12</v>
      </c>
      <c r="K87" s="275" t="s">
        <v>4450</v>
      </c>
      <c r="L87" s="271" t="s">
        <v>1742</v>
      </c>
      <c r="M87" s="274"/>
    </row>
    <row r="88" spans="1:13" ht="22.95" customHeight="1">
      <c r="A88" s="271" t="s">
        <v>4643</v>
      </c>
      <c r="B88" s="271">
        <v>3811</v>
      </c>
      <c r="C88" s="272" t="s">
        <v>4082</v>
      </c>
      <c r="D88" s="272" t="str">
        <f t="shared" si="1"/>
        <v>三重碧華公園1</v>
      </c>
      <c r="E88" s="271">
        <v>1</v>
      </c>
      <c r="F88" s="271" t="s">
        <v>4312</v>
      </c>
      <c r="G88" s="272" t="s">
        <v>4644</v>
      </c>
      <c r="H88" s="271" t="s">
        <v>4453</v>
      </c>
      <c r="I88" s="273" t="s">
        <v>4455</v>
      </c>
      <c r="J88" s="274" t="s">
        <v>12</v>
      </c>
      <c r="K88" s="275" t="s">
        <v>4450</v>
      </c>
      <c r="L88" s="271" t="s">
        <v>1742</v>
      </c>
      <c r="M88" s="274"/>
    </row>
    <row r="89" spans="1:13" ht="22.95" customHeight="1">
      <c r="A89" s="271" t="s">
        <v>4645</v>
      </c>
      <c r="B89" s="271">
        <v>3811</v>
      </c>
      <c r="C89" s="272" t="s">
        <v>4082</v>
      </c>
      <c r="D89" s="272" t="str">
        <f t="shared" si="1"/>
        <v>三重碧華公園2</v>
      </c>
      <c r="E89" s="271">
        <v>2</v>
      </c>
      <c r="F89" s="271" t="s">
        <v>4313</v>
      </c>
      <c r="G89" s="272" t="s">
        <v>4646</v>
      </c>
      <c r="H89" s="271" t="s">
        <v>4453</v>
      </c>
      <c r="I89" s="273" t="s">
        <v>4455</v>
      </c>
      <c r="J89" s="274" t="s">
        <v>12</v>
      </c>
      <c r="K89" s="275" t="s">
        <v>4450</v>
      </c>
      <c r="L89" s="271" t="s">
        <v>1742</v>
      </c>
      <c r="M89" s="274"/>
    </row>
    <row r="90" spans="1:13" ht="22.95" customHeight="1">
      <c r="A90" s="271" t="s">
        <v>4647</v>
      </c>
      <c r="B90" s="271">
        <v>3957</v>
      </c>
      <c r="C90" s="272" t="s">
        <v>269</v>
      </c>
      <c r="D90" s="272" t="str">
        <f t="shared" si="1"/>
        <v>三重福仁店1</v>
      </c>
      <c r="E90" s="271">
        <v>1</v>
      </c>
      <c r="F90" s="271" t="s">
        <v>4292</v>
      </c>
      <c r="G90" s="272" t="s">
        <v>4648</v>
      </c>
      <c r="H90" s="271" t="s">
        <v>4453</v>
      </c>
      <c r="I90" s="273" t="s">
        <v>4449</v>
      </c>
      <c r="J90" s="274" t="s">
        <v>12</v>
      </c>
      <c r="K90" s="275" t="s">
        <v>4450</v>
      </c>
      <c r="L90" s="271" t="s">
        <v>1742</v>
      </c>
      <c r="M90" s="274"/>
    </row>
    <row r="91" spans="1:13" ht="22.95" customHeight="1">
      <c r="A91" s="271" t="s">
        <v>4649</v>
      </c>
      <c r="B91" s="271">
        <v>3957</v>
      </c>
      <c r="C91" s="272" t="s">
        <v>269</v>
      </c>
      <c r="D91" s="272" t="str">
        <f t="shared" si="1"/>
        <v>三重福仁店2</v>
      </c>
      <c r="E91" s="271">
        <v>2</v>
      </c>
      <c r="F91" s="271" t="s">
        <v>4293</v>
      </c>
      <c r="G91" s="272" t="s">
        <v>4650</v>
      </c>
      <c r="H91" s="271" t="s">
        <v>4453</v>
      </c>
      <c r="I91" s="273" t="s">
        <v>4449</v>
      </c>
      <c r="J91" s="274" t="s">
        <v>12</v>
      </c>
      <c r="K91" s="275" t="s">
        <v>4450</v>
      </c>
      <c r="L91" s="271" t="s">
        <v>1742</v>
      </c>
      <c r="M91" s="274"/>
    </row>
    <row r="92" spans="1:13" ht="22.95" customHeight="1">
      <c r="A92" s="271" t="s">
        <v>4651</v>
      </c>
      <c r="B92" s="271">
        <v>4210</v>
      </c>
      <c r="C92" s="272" t="s">
        <v>330</v>
      </c>
      <c r="D92" s="272" t="str">
        <f t="shared" si="1"/>
        <v>三重福華店1</v>
      </c>
      <c r="E92" s="271">
        <v>1</v>
      </c>
      <c r="F92" s="271" t="s">
        <v>4301</v>
      </c>
      <c r="G92" s="272" t="s">
        <v>4652</v>
      </c>
      <c r="H92" s="271" t="s">
        <v>4448</v>
      </c>
      <c r="I92" s="273" t="s">
        <v>4449</v>
      </c>
      <c r="J92" s="274" t="s">
        <v>12</v>
      </c>
      <c r="K92" s="275" t="s">
        <v>4450</v>
      </c>
      <c r="L92" s="271" t="s">
        <v>1742</v>
      </c>
      <c r="M92" s="274"/>
    </row>
    <row r="93" spans="1:13" ht="22.95" customHeight="1">
      <c r="A93" s="271" t="s">
        <v>4653</v>
      </c>
      <c r="B93" s="271">
        <v>4210</v>
      </c>
      <c r="C93" s="272" t="s">
        <v>330</v>
      </c>
      <c r="D93" s="272" t="str">
        <f t="shared" si="1"/>
        <v>三重福華店2</v>
      </c>
      <c r="E93" s="271">
        <v>2</v>
      </c>
      <c r="F93" s="271" t="s">
        <v>4302</v>
      </c>
      <c r="G93" s="272" t="s">
        <v>4654</v>
      </c>
      <c r="H93" s="271" t="s">
        <v>4448</v>
      </c>
      <c r="I93" s="273" t="s">
        <v>4449</v>
      </c>
      <c r="J93" s="274" t="s">
        <v>12</v>
      </c>
      <c r="K93" s="275" t="s">
        <v>4450</v>
      </c>
      <c r="L93" s="271" t="s">
        <v>1742</v>
      </c>
      <c r="M93" s="274"/>
    </row>
    <row r="94" spans="1:13" ht="22.95" customHeight="1">
      <c r="A94" s="271" t="s">
        <v>4655</v>
      </c>
      <c r="B94" s="271" t="s">
        <v>28</v>
      </c>
      <c r="C94" s="272" t="s">
        <v>4092</v>
      </c>
      <c r="D94" s="272" t="str">
        <f t="shared" si="1"/>
        <v>三重維德店2</v>
      </c>
      <c r="E94" s="271">
        <v>2</v>
      </c>
      <c r="F94" s="271" t="s">
        <v>4294</v>
      </c>
      <c r="G94" s="272" t="s">
        <v>4656</v>
      </c>
      <c r="H94" s="271" t="s">
        <v>4453</v>
      </c>
      <c r="I94" s="273" t="s">
        <v>4449</v>
      </c>
      <c r="J94" s="274" t="s">
        <v>12</v>
      </c>
      <c r="K94" s="275" t="s">
        <v>4450</v>
      </c>
      <c r="L94" s="271" t="s">
        <v>1742</v>
      </c>
      <c r="M94" s="274"/>
    </row>
    <row r="95" spans="1:13" ht="22.95" customHeight="1">
      <c r="A95" s="271" t="s">
        <v>4657</v>
      </c>
      <c r="B95" s="271">
        <v>4155</v>
      </c>
      <c r="C95" s="272" t="s">
        <v>316</v>
      </c>
      <c r="D95" s="272" t="str">
        <f t="shared" si="1"/>
        <v>三重穀保店1</v>
      </c>
      <c r="E95" s="271">
        <v>1</v>
      </c>
      <c r="F95" s="271" t="s">
        <v>4162</v>
      </c>
      <c r="G95" s="272" t="s">
        <v>4658</v>
      </c>
      <c r="H95" s="271" t="s">
        <v>4460</v>
      </c>
      <c r="I95" s="273" t="s">
        <v>4449</v>
      </c>
      <c r="J95" s="274" t="s">
        <v>12</v>
      </c>
      <c r="K95" s="275" t="s">
        <v>4450</v>
      </c>
      <c r="L95" s="271" t="s">
        <v>1742</v>
      </c>
      <c r="M95" s="274"/>
    </row>
    <row r="96" spans="1:13" ht="22.95" customHeight="1">
      <c r="A96" s="271" t="s">
        <v>4659</v>
      </c>
      <c r="B96" s="271">
        <v>4196</v>
      </c>
      <c r="C96" s="272" t="s">
        <v>327</v>
      </c>
      <c r="D96" s="272" t="str">
        <f t="shared" si="1"/>
        <v>三重蝶愛店1</v>
      </c>
      <c r="E96" s="271">
        <v>1</v>
      </c>
      <c r="F96" s="271" t="s">
        <v>4299</v>
      </c>
      <c r="G96" s="272" t="s">
        <v>4660</v>
      </c>
      <c r="H96" s="271" t="s">
        <v>4453</v>
      </c>
      <c r="I96" s="273" t="s">
        <v>4449</v>
      </c>
      <c r="J96" s="274" t="s">
        <v>12</v>
      </c>
      <c r="K96" s="275" t="s">
        <v>4450</v>
      </c>
      <c r="L96" s="271" t="s">
        <v>1742</v>
      </c>
      <c r="M96" s="274"/>
    </row>
    <row r="97" spans="1:13" ht="22.95" customHeight="1">
      <c r="A97" s="271" t="s">
        <v>4661</v>
      </c>
      <c r="B97" s="271">
        <v>4196</v>
      </c>
      <c r="C97" s="272" t="s">
        <v>327</v>
      </c>
      <c r="D97" s="272" t="str">
        <f t="shared" si="1"/>
        <v>三重蝶愛店2</v>
      </c>
      <c r="E97" s="271">
        <v>2</v>
      </c>
      <c r="F97" s="271" t="s">
        <v>4300</v>
      </c>
      <c r="G97" s="272" t="s">
        <v>4662</v>
      </c>
      <c r="H97" s="271" t="s">
        <v>4453</v>
      </c>
      <c r="I97" s="273" t="s">
        <v>4449</v>
      </c>
      <c r="J97" s="274" t="s">
        <v>12</v>
      </c>
      <c r="K97" s="275" t="s">
        <v>4450</v>
      </c>
      <c r="L97" s="271" t="s">
        <v>1742</v>
      </c>
      <c r="M97" s="274"/>
    </row>
    <row r="98" spans="1:13" ht="22.95" customHeight="1">
      <c r="A98" s="271" t="s">
        <v>4663</v>
      </c>
      <c r="B98" s="271">
        <v>2259</v>
      </c>
      <c r="C98" s="272" t="s">
        <v>1455</v>
      </c>
      <c r="D98" s="272" t="str">
        <f t="shared" si="1"/>
        <v>三重興華店1</v>
      </c>
      <c r="E98" s="271">
        <v>1</v>
      </c>
      <c r="F98" s="271" t="s">
        <v>4145</v>
      </c>
      <c r="G98" s="272" t="s">
        <v>4664</v>
      </c>
      <c r="H98" s="271" t="s">
        <v>4460</v>
      </c>
      <c r="I98" s="273" t="s">
        <v>4465</v>
      </c>
      <c r="J98" s="274" t="s">
        <v>12</v>
      </c>
      <c r="K98" s="275" t="s">
        <v>4450</v>
      </c>
      <c r="L98" s="271" t="s">
        <v>1742</v>
      </c>
      <c r="M98" s="274"/>
    </row>
    <row r="99" spans="1:13" ht="22.95" customHeight="1">
      <c r="A99" s="271" t="s">
        <v>4665</v>
      </c>
      <c r="B99" s="271">
        <v>2259</v>
      </c>
      <c r="C99" s="272" t="s">
        <v>1455</v>
      </c>
      <c r="D99" s="272" t="str">
        <f t="shared" si="1"/>
        <v>三重興華店2</v>
      </c>
      <c r="E99" s="271">
        <v>2</v>
      </c>
      <c r="F99" s="271" t="s">
        <v>4146</v>
      </c>
      <c r="G99" s="272" t="s">
        <v>4666</v>
      </c>
      <c r="H99" s="271" t="s">
        <v>4448</v>
      </c>
      <c r="I99" s="273" t="s">
        <v>4465</v>
      </c>
      <c r="J99" s="274" t="s">
        <v>12</v>
      </c>
      <c r="K99" s="275" t="s">
        <v>4450</v>
      </c>
      <c r="L99" s="271" t="s">
        <v>1742</v>
      </c>
      <c r="M99" s="274"/>
    </row>
    <row r="100" spans="1:13" ht="22.95" customHeight="1">
      <c r="A100" s="271" t="s">
        <v>4667</v>
      </c>
      <c r="B100" s="271" t="s">
        <v>25</v>
      </c>
      <c r="C100" s="272" t="s">
        <v>4132</v>
      </c>
      <c r="D100" s="272" t="str">
        <f t="shared" si="1"/>
        <v>三重興德店1</v>
      </c>
      <c r="E100" s="271">
        <v>1</v>
      </c>
      <c r="F100" s="271" t="s">
        <v>4242</v>
      </c>
      <c r="G100" s="272" t="s">
        <v>4668</v>
      </c>
      <c r="H100" s="271" t="s">
        <v>4453</v>
      </c>
      <c r="I100" s="273" t="s">
        <v>4449</v>
      </c>
      <c r="J100" s="274" t="s">
        <v>12</v>
      </c>
      <c r="K100" s="275" t="s">
        <v>4450</v>
      </c>
      <c r="L100" s="271" t="s">
        <v>1742</v>
      </c>
      <c r="M100" s="274"/>
    </row>
    <row r="101" spans="1:13" ht="22.95" customHeight="1">
      <c r="A101" s="271" t="s">
        <v>4669</v>
      </c>
      <c r="B101" s="271" t="s">
        <v>25</v>
      </c>
      <c r="C101" s="272" t="s">
        <v>4132</v>
      </c>
      <c r="D101" s="272" t="str">
        <f t="shared" si="1"/>
        <v>三重興德店2</v>
      </c>
      <c r="E101" s="271">
        <v>2</v>
      </c>
      <c r="F101" s="271" t="s">
        <v>4243</v>
      </c>
      <c r="G101" s="272" t="s">
        <v>4670</v>
      </c>
      <c r="H101" s="271" t="s">
        <v>4453</v>
      </c>
      <c r="I101" s="273" t="s">
        <v>4449</v>
      </c>
      <c r="J101" s="274" t="s">
        <v>12</v>
      </c>
      <c r="K101" s="275" t="s">
        <v>4450</v>
      </c>
      <c r="L101" s="271" t="s">
        <v>1742</v>
      </c>
      <c r="M101" s="274"/>
    </row>
    <row r="102" spans="1:13" ht="22.95" customHeight="1">
      <c r="A102" s="271" t="s">
        <v>4671</v>
      </c>
      <c r="B102" s="271">
        <v>4029</v>
      </c>
      <c r="C102" s="272" t="s">
        <v>293</v>
      </c>
      <c r="D102" s="272" t="str">
        <f t="shared" si="1"/>
        <v>三重龍濱店1</v>
      </c>
      <c r="E102" s="271">
        <v>1</v>
      </c>
      <c r="F102" s="271" t="s">
        <v>4284</v>
      </c>
      <c r="G102" s="272" t="s">
        <v>4672</v>
      </c>
      <c r="H102" s="271" t="s">
        <v>4453</v>
      </c>
      <c r="I102" s="273" t="s">
        <v>4449</v>
      </c>
      <c r="J102" s="274" t="s">
        <v>12</v>
      </c>
      <c r="K102" s="275" t="s">
        <v>4450</v>
      </c>
      <c r="L102" s="271" t="s">
        <v>1742</v>
      </c>
      <c r="M102" s="274"/>
    </row>
    <row r="103" spans="1:13" ht="22.95" customHeight="1">
      <c r="A103" s="271" t="s">
        <v>4673</v>
      </c>
      <c r="B103" s="271">
        <v>4029</v>
      </c>
      <c r="C103" s="272" t="s">
        <v>293</v>
      </c>
      <c r="D103" s="272" t="str">
        <f t="shared" si="1"/>
        <v>三重龍濱店2</v>
      </c>
      <c r="E103" s="271">
        <v>2</v>
      </c>
      <c r="F103" s="271" t="s">
        <v>4285</v>
      </c>
      <c r="G103" s="272" t="s">
        <v>4674</v>
      </c>
      <c r="H103" s="271" t="s">
        <v>4453</v>
      </c>
      <c r="I103" s="273" t="s">
        <v>4449</v>
      </c>
      <c r="J103" s="274" t="s">
        <v>12</v>
      </c>
      <c r="K103" s="275" t="s">
        <v>4450</v>
      </c>
      <c r="L103" s="271" t="s">
        <v>1742</v>
      </c>
      <c r="M103" s="274"/>
    </row>
    <row r="104" spans="1:13" ht="22.95" customHeight="1">
      <c r="A104" s="271" t="s">
        <v>4675</v>
      </c>
      <c r="B104" s="271">
        <v>4388</v>
      </c>
      <c r="C104" s="272" t="s">
        <v>382</v>
      </c>
      <c r="D104" s="272" t="str">
        <f t="shared" si="1"/>
        <v>三重薔薇店1</v>
      </c>
      <c r="E104" s="271">
        <v>1</v>
      </c>
      <c r="F104" s="271" t="s">
        <v>4290</v>
      </c>
      <c r="G104" s="272" t="s">
        <v>4454</v>
      </c>
      <c r="H104" s="271" t="s">
        <v>4460</v>
      </c>
      <c r="I104" s="273" t="s">
        <v>4465</v>
      </c>
      <c r="J104" s="274" t="s">
        <v>12</v>
      </c>
      <c r="K104" s="275" t="s">
        <v>4450</v>
      </c>
      <c r="L104" s="271" t="s">
        <v>1742</v>
      </c>
      <c r="M104" s="274"/>
    </row>
    <row r="105" spans="1:13" ht="22.95" customHeight="1">
      <c r="A105" s="271" t="s">
        <v>4676</v>
      </c>
      <c r="B105" s="271">
        <v>4388</v>
      </c>
      <c r="C105" s="272" t="s">
        <v>382</v>
      </c>
      <c r="D105" s="272" t="str">
        <f t="shared" si="1"/>
        <v>三重薔薇店2</v>
      </c>
      <c r="E105" s="271">
        <v>2</v>
      </c>
      <c r="F105" s="271" t="s">
        <v>4291</v>
      </c>
      <c r="G105" s="272" t="s">
        <v>4677</v>
      </c>
      <c r="H105" s="271" t="s">
        <v>4448</v>
      </c>
      <c r="I105" s="273" t="s">
        <v>4449</v>
      </c>
      <c r="J105" s="274" t="s">
        <v>12</v>
      </c>
      <c r="K105" s="275" t="s">
        <v>4450</v>
      </c>
      <c r="L105" s="271" t="s">
        <v>1742</v>
      </c>
      <c r="M105" s="274"/>
    </row>
    <row r="106" spans="1:13" ht="22.95" customHeight="1">
      <c r="A106" s="271" t="s">
        <v>4697</v>
      </c>
      <c r="B106" s="271" t="s">
        <v>39</v>
      </c>
      <c r="C106" s="272" t="s">
        <v>649</v>
      </c>
      <c r="D106" s="272" t="str">
        <f t="shared" si="1"/>
        <v>北縣三愛三店1</v>
      </c>
      <c r="E106" s="271">
        <v>1</v>
      </c>
      <c r="F106" s="271" t="s">
        <v>4297</v>
      </c>
      <c r="G106" s="272" t="s">
        <v>4698</v>
      </c>
      <c r="H106" s="271" t="s">
        <v>4453</v>
      </c>
      <c r="I106" s="273" t="s">
        <v>4449</v>
      </c>
      <c r="J106" s="274" t="s">
        <v>12</v>
      </c>
      <c r="K106" s="275" t="s">
        <v>4450</v>
      </c>
      <c r="L106" s="271" t="s">
        <v>1742</v>
      </c>
      <c r="M106" s="274"/>
    </row>
    <row r="107" spans="1:13" ht="22.95" customHeight="1">
      <c r="A107" s="271" t="s">
        <v>4699</v>
      </c>
      <c r="B107" s="271" t="s">
        <v>39</v>
      </c>
      <c r="C107" s="272" t="s">
        <v>649</v>
      </c>
      <c r="D107" s="272" t="str">
        <f t="shared" si="1"/>
        <v>北縣三愛三店2</v>
      </c>
      <c r="E107" s="271">
        <v>2</v>
      </c>
      <c r="F107" s="271" t="s">
        <v>4298</v>
      </c>
      <c r="G107" s="272" t="s">
        <v>4700</v>
      </c>
      <c r="H107" s="271" t="s">
        <v>4453</v>
      </c>
      <c r="I107" s="273" t="s">
        <v>4449</v>
      </c>
      <c r="J107" s="274" t="s">
        <v>12</v>
      </c>
      <c r="K107" s="275" t="s">
        <v>4450</v>
      </c>
      <c r="L107" s="271" t="s">
        <v>1742</v>
      </c>
      <c r="M107" s="274"/>
    </row>
    <row r="108" spans="1:13" ht="22.95" customHeight="1">
      <c r="A108" s="271" t="s">
        <v>4701</v>
      </c>
      <c r="B108" s="271" t="s">
        <v>40</v>
      </c>
      <c r="C108" s="272" t="s">
        <v>652</v>
      </c>
      <c r="D108" s="272" t="str">
        <f t="shared" si="1"/>
        <v>北縣中陽店1</v>
      </c>
      <c r="E108" s="271">
        <v>1</v>
      </c>
      <c r="F108" s="271" t="s">
        <v>4186</v>
      </c>
      <c r="G108" s="272" t="s">
        <v>4702</v>
      </c>
      <c r="H108" s="271" t="s">
        <v>4453</v>
      </c>
      <c r="I108" s="273" t="s">
        <v>4449</v>
      </c>
      <c r="J108" s="274" t="s">
        <v>12</v>
      </c>
      <c r="K108" s="275" t="s">
        <v>4450</v>
      </c>
      <c r="L108" s="271" t="s">
        <v>1742</v>
      </c>
      <c r="M108" s="274"/>
    </row>
    <row r="109" spans="1:13" ht="22.95" customHeight="1">
      <c r="A109" s="271" t="s">
        <v>4703</v>
      </c>
      <c r="B109" s="271" t="s">
        <v>40</v>
      </c>
      <c r="C109" s="272" t="s">
        <v>652</v>
      </c>
      <c r="D109" s="272" t="str">
        <f t="shared" si="1"/>
        <v>北縣中陽店2</v>
      </c>
      <c r="E109" s="271">
        <v>2</v>
      </c>
      <c r="F109" s="271" t="s">
        <v>4187</v>
      </c>
      <c r="G109" s="272" t="s">
        <v>4704</v>
      </c>
      <c r="H109" s="271" t="s">
        <v>4453</v>
      </c>
      <c r="I109" s="273" t="s">
        <v>4449</v>
      </c>
      <c r="J109" s="274" t="s">
        <v>12</v>
      </c>
      <c r="K109" s="275" t="s">
        <v>4450</v>
      </c>
      <c r="L109" s="271" t="s">
        <v>1742</v>
      </c>
      <c r="M109" s="274"/>
    </row>
    <row r="110" spans="1:13" ht="22.95" customHeight="1">
      <c r="A110" s="271" t="s">
        <v>4709</v>
      </c>
      <c r="B110" s="271" t="s">
        <v>26</v>
      </c>
      <c r="C110" s="272" t="s">
        <v>641</v>
      </c>
      <c r="D110" s="272" t="str">
        <f t="shared" si="1"/>
        <v>北縣五華三店1</v>
      </c>
      <c r="E110" s="271">
        <v>1</v>
      </c>
      <c r="F110" s="271" t="s">
        <v>4316</v>
      </c>
      <c r="G110" s="272" t="s">
        <v>4710</v>
      </c>
      <c r="H110" s="271" t="s">
        <v>4460</v>
      </c>
      <c r="I110" s="273" t="s">
        <v>4449</v>
      </c>
      <c r="J110" s="274" t="s">
        <v>12</v>
      </c>
      <c r="K110" s="275" t="s">
        <v>4450</v>
      </c>
      <c r="L110" s="271" t="s">
        <v>1742</v>
      </c>
      <c r="M110" s="274"/>
    </row>
    <row r="111" spans="1:13" ht="22.95" customHeight="1">
      <c r="A111" s="271" t="s">
        <v>4711</v>
      </c>
      <c r="B111" s="271" t="s">
        <v>26</v>
      </c>
      <c r="C111" s="272" t="s">
        <v>641</v>
      </c>
      <c r="D111" s="272" t="str">
        <f t="shared" si="1"/>
        <v>北縣五華三店2</v>
      </c>
      <c r="E111" s="271">
        <v>2</v>
      </c>
      <c r="F111" s="271" t="s">
        <v>4317</v>
      </c>
      <c r="G111" s="272" t="s">
        <v>4712</v>
      </c>
      <c r="H111" s="271" t="s">
        <v>4460</v>
      </c>
      <c r="I111" s="273" t="s">
        <v>4449</v>
      </c>
      <c r="J111" s="274" t="s">
        <v>12</v>
      </c>
      <c r="K111" s="275" t="s">
        <v>4450</v>
      </c>
      <c r="L111" s="271" t="s">
        <v>1742</v>
      </c>
      <c r="M111" s="274"/>
    </row>
    <row r="112" spans="1:13" ht="22.95" customHeight="1">
      <c r="A112" s="271" t="s">
        <v>4713</v>
      </c>
      <c r="B112" s="271" t="s">
        <v>37</v>
      </c>
      <c r="C112" s="272" t="s">
        <v>645</v>
      </c>
      <c r="D112" s="272" t="str">
        <f t="shared" si="1"/>
        <v>北縣仁和店1</v>
      </c>
      <c r="E112" s="271">
        <v>1</v>
      </c>
      <c r="F112" s="271" t="s">
        <v>4309</v>
      </c>
      <c r="G112" s="272" t="s">
        <v>4714</v>
      </c>
      <c r="H112" s="271" t="s">
        <v>4460</v>
      </c>
      <c r="I112" s="273" t="s">
        <v>4449</v>
      </c>
      <c r="J112" s="274" t="s">
        <v>12</v>
      </c>
      <c r="K112" s="275" t="s">
        <v>4450</v>
      </c>
      <c r="L112" s="271" t="s">
        <v>1742</v>
      </c>
      <c r="M112" s="274"/>
    </row>
    <row r="113" spans="1:13" ht="22.95" customHeight="1">
      <c r="A113" s="271" t="s">
        <v>4715</v>
      </c>
      <c r="B113" s="271" t="s">
        <v>37</v>
      </c>
      <c r="C113" s="272" t="s">
        <v>645</v>
      </c>
      <c r="D113" s="272" t="str">
        <f t="shared" si="1"/>
        <v>北縣仁和店2</v>
      </c>
      <c r="E113" s="271">
        <v>2</v>
      </c>
      <c r="F113" s="271" t="s">
        <v>4310</v>
      </c>
      <c r="G113" s="272" t="s">
        <v>4716</v>
      </c>
      <c r="H113" s="271" t="s">
        <v>4460</v>
      </c>
      <c r="I113" s="273" t="s">
        <v>4465</v>
      </c>
      <c r="J113" s="274" t="s">
        <v>12</v>
      </c>
      <c r="K113" s="275" t="s">
        <v>4450</v>
      </c>
      <c r="L113" s="271" t="s">
        <v>1742</v>
      </c>
      <c r="M113" s="274"/>
    </row>
    <row r="114" spans="1:13" ht="22.95" customHeight="1">
      <c r="A114" s="271" t="s">
        <v>4717</v>
      </c>
      <c r="B114" s="271">
        <v>3840</v>
      </c>
      <c r="C114" s="272" t="s">
        <v>243</v>
      </c>
      <c r="D114" s="272" t="str">
        <f t="shared" si="1"/>
        <v>北縣天龍店1</v>
      </c>
      <c r="E114" s="271">
        <v>1</v>
      </c>
      <c r="F114" s="271" t="s">
        <v>4324</v>
      </c>
      <c r="G114" s="272" t="s">
        <v>4718</v>
      </c>
      <c r="H114" s="271" t="s">
        <v>4453</v>
      </c>
      <c r="I114" s="273" t="s">
        <v>4449</v>
      </c>
      <c r="J114" s="274" t="s">
        <v>12</v>
      </c>
      <c r="K114" s="275" t="s">
        <v>4450</v>
      </c>
      <c r="L114" s="271" t="s">
        <v>1742</v>
      </c>
      <c r="M114" s="274"/>
    </row>
    <row r="115" spans="1:13" ht="22.95" customHeight="1">
      <c r="A115" s="271" t="s">
        <v>4719</v>
      </c>
      <c r="B115" s="271">
        <v>3840</v>
      </c>
      <c r="C115" s="272" t="s">
        <v>243</v>
      </c>
      <c r="D115" s="272" t="str">
        <f t="shared" si="1"/>
        <v>北縣天龍店2</v>
      </c>
      <c r="E115" s="271">
        <v>2</v>
      </c>
      <c r="F115" s="271" t="s">
        <v>4325</v>
      </c>
      <c r="G115" s="272" t="s">
        <v>4720</v>
      </c>
      <c r="H115" s="271" t="s">
        <v>4448</v>
      </c>
      <c r="I115" s="273" t="s">
        <v>4465</v>
      </c>
      <c r="J115" s="274" t="s">
        <v>12</v>
      </c>
      <c r="K115" s="275" t="s">
        <v>4450</v>
      </c>
      <c r="L115" s="271" t="s">
        <v>1742</v>
      </c>
      <c r="M115" s="274"/>
    </row>
    <row r="116" spans="1:13" ht="22.95" customHeight="1">
      <c r="A116" s="271" t="s">
        <v>4757</v>
      </c>
      <c r="B116" s="271">
        <v>2302</v>
      </c>
      <c r="C116" s="272" t="s">
        <v>85</v>
      </c>
      <c r="D116" s="272" t="str">
        <f t="shared" si="1"/>
        <v>北縣重安店1</v>
      </c>
      <c r="E116" s="271">
        <v>1</v>
      </c>
      <c r="F116" s="271" t="s">
        <v>4303</v>
      </c>
      <c r="G116" s="272" t="s">
        <v>4454</v>
      </c>
      <c r="H116" s="271" t="s">
        <v>4460</v>
      </c>
      <c r="I116" s="273" t="s">
        <v>4449</v>
      </c>
      <c r="J116" s="274" t="s">
        <v>12</v>
      </c>
      <c r="K116" s="275" t="s">
        <v>4450</v>
      </c>
      <c r="L116" s="271" t="s">
        <v>1742</v>
      </c>
      <c r="M116" s="274"/>
    </row>
    <row r="117" spans="1:13" ht="22.95" customHeight="1">
      <c r="A117" s="271" t="s">
        <v>4758</v>
      </c>
      <c r="B117" s="271">
        <v>2302</v>
      </c>
      <c r="C117" s="272" t="s">
        <v>85</v>
      </c>
      <c r="D117" s="272" t="str">
        <f t="shared" si="1"/>
        <v>北縣重安店2</v>
      </c>
      <c r="E117" s="271">
        <v>2</v>
      </c>
      <c r="F117" s="271" t="s">
        <v>4304</v>
      </c>
      <c r="G117" s="272" t="s">
        <v>4759</v>
      </c>
      <c r="H117" s="271" t="s">
        <v>4460</v>
      </c>
      <c r="I117" s="273" t="s">
        <v>4449</v>
      </c>
      <c r="J117" s="274" t="s">
        <v>12</v>
      </c>
      <c r="K117" s="275" t="s">
        <v>4450</v>
      </c>
      <c r="L117" s="271" t="s">
        <v>1742</v>
      </c>
      <c r="M117" s="274"/>
    </row>
    <row r="118" spans="1:13" ht="22.95" customHeight="1">
      <c r="A118" s="271" t="s">
        <v>4760</v>
      </c>
      <c r="B118" s="271">
        <v>3362</v>
      </c>
      <c r="C118" s="272" t="s">
        <v>180</v>
      </c>
      <c r="D118" s="272" t="str">
        <f t="shared" si="1"/>
        <v>北縣重武店2</v>
      </c>
      <c r="E118" s="271">
        <v>2</v>
      </c>
      <c r="F118" s="271" t="s">
        <v>4140</v>
      </c>
      <c r="G118" s="272" t="s">
        <v>4761</v>
      </c>
      <c r="H118" s="271" t="s">
        <v>4453</v>
      </c>
      <c r="I118" s="273" t="s">
        <v>4449</v>
      </c>
      <c r="J118" s="274" t="s">
        <v>12</v>
      </c>
      <c r="K118" s="275" t="s">
        <v>4450</v>
      </c>
      <c r="L118" s="271" t="s">
        <v>1742</v>
      </c>
      <c r="M118" s="274"/>
    </row>
    <row r="119" spans="1:13" ht="22.95" customHeight="1">
      <c r="A119" s="271" t="s">
        <v>4762</v>
      </c>
      <c r="B119" s="271">
        <v>2209</v>
      </c>
      <c r="C119" s="272" t="s">
        <v>72</v>
      </c>
      <c r="D119" s="272" t="str">
        <f t="shared" si="1"/>
        <v>北縣重強店2</v>
      </c>
      <c r="E119" s="271">
        <v>2</v>
      </c>
      <c r="F119" s="271" t="s">
        <v>4193</v>
      </c>
      <c r="G119" s="272" t="s">
        <v>4763</v>
      </c>
      <c r="H119" s="271" t="s">
        <v>4460</v>
      </c>
      <c r="I119" s="273" t="s">
        <v>4449</v>
      </c>
      <c r="J119" s="274" t="s">
        <v>12</v>
      </c>
      <c r="K119" s="275" t="s">
        <v>4450</v>
      </c>
      <c r="L119" s="271" t="s">
        <v>1742</v>
      </c>
      <c r="M119" s="274"/>
    </row>
    <row r="120" spans="1:13" ht="22.95" customHeight="1">
      <c r="A120" s="271" t="s">
        <v>4764</v>
      </c>
      <c r="B120" s="271">
        <v>3601</v>
      </c>
      <c r="C120" s="272" t="s">
        <v>203</v>
      </c>
      <c r="D120" s="272" t="str">
        <f t="shared" si="1"/>
        <v>北縣重富店1</v>
      </c>
      <c r="E120" s="271">
        <v>1</v>
      </c>
      <c r="F120" s="271" t="s">
        <v>4326</v>
      </c>
      <c r="G120" s="272" t="s">
        <v>4765</v>
      </c>
      <c r="H120" s="271" t="s">
        <v>4460</v>
      </c>
      <c r="I120" s="273" t="s">
        <v>4449</v>
      </c>
      <c r="J120" s="274" t="s">
        <v>12</v>
      </c>
      <c r="K120" s="275" t="s">
        <v>4450</v>
      </c>
      <c r="L120" s="271" t="s">
        <v>1742</v>
      </c>
      <c r="M120" s="274"/>
    </row>
    <row r="121" spans="1:13" ht="22.95" customHeight="1">
      <c r="A121" s="271" t="s">
        <v>4766</v>
      </c>
      <c r="B121" s="271">
        <v>3601</v>
      </c>
      <c r="C121" s="272" t="s">
        <v>203</v>
      </c>
      <c r="D121" s="272" t="str">
        <f t="shared" si="1"/>
        <v>北縣重富店2</v>
      </c>
      <c r="E121" s="271">
        <v>2</v>
      </c>
      <c r="F121" s="271" t="s">
        <v>4327</v>
      </c>
      <c r="G121" s="272" t="s">
        <v>4767</v>
      </c>
      <c r="H121" s="271" t="s">
        <v>4460</v>
      </c>
      <c r="I121" s="273" t="s">
        <v>4449</v>
      </c>
      <c r="J121" s="274" t="s">
        <v>12</v>
      </c>
      <c r="K121" s="275" t="s">
        <v>4450</v>
      </c>
      <c r="L121" s="271" t="s">
        <v>1742</v>
      </c>
      <c r="M121" s="274"/>
    </row>
    <row r="122" spans="1:13" ht="22.95" customHeight="1">
      <c r="A122" s="271" t="s">
        <v>4768</v>
      </c>
      <c r="B122" s="271">
        <v>2837</v>
      </c>
      <c r="C122" s="272" t="s">
        <v>135</v>
      </c>
      <c r="D122" s="272" t="str">
        <f t="shared" si="1"/>
        <v>北縣重萬店1</v>
      </c>
      <c r="E122" s="271">
        <v>1</v>
      </c>
      <c r="F122" s="271" t="s">
        <v>4147</v>
      </c>
      <c r="G122" s="272" t="s">
        <v>4769</v>
      </c>
      <c r="H122" s="271" t="s">
        <v>4453</v>
      </c>
      <c r="I122" s="273" t="s">
        <v>4449</v>
      </c>
      <c r="J122" s="274" t="s">
        <v>12</v>
      </c>
      <c r="K122" s="275" t="s">
        <v>4450</v>
      </c>
      <c r="L122" s="271" t="s">
        <v>1742</v>
      </c>
      <c r="M122" s="274"/>
    </row>
    <row r="123" spans="1:13" ht="22.95" customHeight="1">
      <c r="A123" s="271" t="s">
        <v>4770</v>
      </c>
      <c r="B123" s="271">
        <v>2837</v>
      </c>
      <c r="C123" s="272" t="s">
        <v>135</v>
      </c>
      <c r="D123" s="272" t="str">
        <f t="shared" si="1"/>
        <v>北縣重萬店2</v>
      </c>
      <c r="E123" s="271">
        <v>2</v>
      </c>
      <c r="F123" s="271" t="s">
        <v>4148</v>
      </c>
      <c r="G123" s="272" t="s">
        <v>4771</v>
      </c>
      <c r="H123" s="271" t="s">
        <v>4453</v>
      </c>
      <c r="I123" s="273" t="s">
        <v>4465</v>
      </c>
      <c r="J123" s="274" t="s">
        <v>12</v>
      </c>
      <c r="K123" s="275" t="s">
        <v>4450</v>
      </c>
      <c r="L123" s="271" t="s">
        <v>1742</v>
      </c>
      <c r="M123" s="274"/>
    </row>
    <row r="124" spans="1:13" ht="22.95" customHeight="1">
      <c r="A124" s="271" t="s">
        <v>4772</v>
      </c>
      <c r="B124" s="271">
        <v>2321</v>
      </c>
      <c r="C124" s="272" t="s">
        <v>89</v>
      </c>
      <c r="D124" s="272" t="str">
        <f t="shared" si="1"/>
        <v>北縣重鑫店1</v>
      </c>
      <c r="E124" s="271">
        <v>1</v>
      </c>
      <c r="F124" s="271" t="s">
        <v>4177</v>
      </c>
      <c r="G124" s="272" t="s">
        <v>4773</v>
      </c>
      <c r="H124" s="271" t="s">
        <v>4460</v>
      </c>
      <c r="I124" s="273" t="s">
        <v>4449</v>
      </c>
      <c r="J124" s="274" t="s">
        <v>12</v>
      </c>
      <c r="K124" s="275" t="s">
        <v>4450</v>
      </c>
      <c r="L124" s="271" t="s">
        <v>1742</v>
      </c>
      <c r="M124" s="274"/>
    </row>
    <row r="125" spans="1:13" ht="22.95" customHeight="1">
      <c r="A125" s="271" t="s">
        <v>4774</v>
      </c>
      <c r="B125" s="271">
        <v>2321</v>
      </c>
      <c r="C125" s="272" t="s">
        <v>89</v>
      </c>
      <c r="D125" s="272" t="str">
        <f t="shared" si="1"/>
        <v>北縣重鑫店2</v>
      </c>
      <c r="E125" s="271">
        <v>2</v>
      </c>
      <c r="F125" s="271" t="s">
        <v>4178</v>
      </c>
      <c r="G125" s="272" t="s">
        <v>4775</v>
      </c>
      <c r="H125" s="271" t="s">
        <v>4460</v>
      </c>
      <c r="I125" s="273" t="s">
        <v>4449</v>
      </c>
      <c r="J125" s="274" t="s">
        <v>12</v>
      </c>
      <c r="K125" s="275" t="s">
        <v>4450</v>
      </c>
      <c r="L125" s="271" t="s">
        <v>1742</v>
      </c>
      <c r="M125" s="274"/>
    </row>
    <row r="126" spans="1:13" ht="22.95" customHeight="1">
      <c r="A126" s="271" t="s">
        <v>4796</v>
      </c>
      <c r="B126" s="271" t="s">
        <v>21</v>
      </c>
      <c r="C126" s="272" t="s">
        <v>634</v>
      </c>
      <c r="D126" s="272" t="str">
        <f t="shared" si="1"/>
        <v>北縣溪尾二店1</v>
      </c>
      <c r="E126" s="271">
        <v>1</v>
      </c>
      <c r="F126" s="271" t="s">
        <v>4318</v>
      </c>
      <c r="G126" s="272" t="s">
        <v>4797</v>
      </c>
      <c r="H126" s="271" t="s">
        <v>4453</v>
      </c>
      <c r="I126" s="273" t="s">
        <v>4449</v>
      </c>
      <c r="J126" s="274" t="s">
        <v>12</v>
      </c>
      <c r="K126" s="275" t="s">
        <v>4450</v>
      </c>
      <c r="L126" s="271" t="s">
        <v>1742</v>
      </c>
      <c r="M126" s="274"/>
    </row>
    <row r="127" spans="1:13" ht="22.95" customHeight="1">
      <c r="A127" s="271" t="s">
        <v>4798</v>
      </c>
      <c r="B127" s="271" t="s">
        <v>21</v>
      </c>
      <c r="C127" s="272" t="s">
        <v>634</v>
      </c>
      <c r="D127" s="272" t="str">
        <f t="shared" si="1"/>
        <v>北縣溪尾二店2</v>
      </c>
      <c r="E127" s="271">
        <v>2</v>
      </c>
      <c r="F127" s="271" t="s">
        <v>4319</v>
      </c>
      <c r="G127" s="272" t="s">
        <v>4799</v>
      </c>
      <c r="H127" s="271" t="s">
        <v>4453</v>
      </c>
      <c r="I127" s="273" t="s">
        <v>4449</v>
      </c>
      <c r="J127" s="274" t="s">
        <v>12</v>
      </c>
      <c r="K127" s="275" t="s">
        <v>4450</v>
      </c>
      <c r="L127" s="271" t="s">
        <v>1742</v>
      </c>
      <c r="M127" s="274"/>
    </row>
    <row r="128" spans="1:13" ht="22.95" customHeight="1">
      <c r="A128" s="271" t="s">
        <v>4446</v>
      </c>
      <c r="B128" s="271">
        <v>2535</v>
      </c>
      <c r="C128" s="272" t="s">
        <v>106</v>
      </c>
      <c r="D128" s="272" t="str">
        <f t="shared" si="1"/>
        <v>五股五工店1</v>
      </c>
      <c r="E128" s="271">
        <v>1</v>
      </c>
      <c r="F128" s="271" t="s">
        <v>4392</v>
      </c>
      <c r="G128" s="272" t="s">
        <v>4447</v>
      </c>
      <c r="H128" s="271" t="s">
        <v>4448</v>
      </c>
      <c r="I128" s="273" t="s">
        <v>4449</v>
      </c>
      <c r="J128" s="274" t="s">
        <v>10</v>
      </c>
      <c r="K128" s="275" t="s">
        <v>4450</v>
      </c>
      <c r="L128" s="271" t="s">
        <v>1742</v>
      </c>
      <c r="M128" s="274"/>
    </row>
    <row r="129" spans="1:13" ht="22.95" customHeight="1">
      <c r="A129" s="271" t="s">
        <v>4478</v>
      </c>
      <c r="B129" s="271" t="s">
        <v>854</v>
      </c>
      <c r="C129" s="272" t="s">
        <v>855</v>
      </c>
      <c r="D129" s="272" t="str">
        <f t="shared" si="1"/>
        <v>五股訓練教室1</v>
      </c>
      <c r="E129" s="271">
        <v>1</v>
      </c>
      <c r="F129" s="271" t="s">
        <v>4393</v>
      </c>
      <c r="G129" s="272" t="s">
        <v>4479</v>
      </c>
      <c r="H129" s="271" t="s">
        <v>4453</v>
      </c>
      <c r="I129" s="273" t="s">
        <v>4449</v>
      </c>
      <c r="J129" s="274" t="s">
        <v>10</v>
      </c>
      <c r="K129" s="275" t="s">
        <v>4450</v>
      </c>
      <c r="L129" s="271" t="s">
        <v>847</v>
      </c>
      <c r="M129" s="274"/>
    </row>
    <row r="130" spans="1:13" ht="22.95" customHeight="1">
      <c r="A130" s="271" t="s">
        <v>4678</v>
      </c>
      <c r="B130" s="271">
        <v>3227</v>
      </c>
      <c r="C130" s="272" t="s">
        <v>169</v>
      </c>
      <c r="D130" s="272" t="str">
        <f t="shared" ref="D130:D193" si="2">C130&amp;E130</f>
        <v>五股四維店2</v>
      </c>
      <c r="E130" s="271">
        <v>2</v>
      </c>
      <c r="F130" s="271" t="s">
        <v>4225</v>
      </c>
      <c r="G130" s="272" t="s">
        <v>4679</v>
      </c>
      <c r="H130" s="271" t="s">
        <v>4460</v>
      </c>
      <c r="I130" s="273" t="s">
        <v>4449</v>
      </c>
      <c r="J130" s="274" t="s">
        <v>10</v>
      </c>
      <c r="K130" s="275" t="s">
        <v>4450</v>
      </c>
      <c r="L130" s="271" t="s">
        <v>1742</v>
      </c>
      <c r="M130" s="274"/>
    </row>
    <row r="131" spans="1:13" ht="22.95" customHeight="1">
      <c r="A131" s="271" t="s">
        <v>4680</v>
      </c>
      <c r="B131" s="271">
        <v>4801</v>
      </c>
      <c r="C131" s="272" t="s">
        <v>524</v>
      </c>
      <c r="D131" s="272" t="str">
        <f t="shared" si="2"/>
        <v>五股成州店1</v>
      </c>
      <c r="E131" s="271">
        <v>1</v>
      </c>
      <c r="F131" s="271" t="s">
        <v>4212</v>
      </c>
      <c r="G131" s="272" t="s">
        <v>4681</v>
      </c>
      <c r="H131" s="271" t="s">
        <v>4448</v>
      </c>
      <c r="I131" s="273" t="s">
        <v>4449</v>
      </c>
      <c r="J131" s="274" t="s">
        <v>10</v>
      </c>
      <c r="K131" s="275" t="s">
        <v>4450</v>
      </c>
      <c r="L131" s="271" t="s">
        <v>1742</v>
      </c>
      <c r="M131" s="274"/>
    </row>
    <row r="132" spans="1:13" ht="22.95" customHeight="1">
      <c r="A132" s="271" t="s">
        <v>4682</v>
      </c>
      <c r="B132" s="271">
        <v>4801</v>
      </c>
      <c r="C132" s="272" t="s">
        <v>524</v>
      </c>
      <c r="D132" s="272" t="str">
        <f t="shared" si="2"/>
        <v>五股成州店2</v>
      </c>
      <c r="E132" s="271">
        <v>2</v>
      </c>
      <c r="F132" s="271" t="s">
        <v>4213</v>
      </c>
      <c r="G132" s="272" t="s">
        <v>4683</v>
      </c>
      <c r="H132" s="271" t="s">
        <v>4448</v>
      </c>
      <c r="I132" s="273" t="s">
        <v>4449</v>
      </c>
      <c r="J132" s="274" t="s">
        <v>10</v>
      </c>
      <c r="K132" s="275" t="s">
        <v>4450</v>
      </c>
      <c r="L132" s="271" t="s">
        <v>1742</v>
      </c>
      <c r="M132" s="274"/>
    </row>
    <row r="133" spans="1:13" ht="22.95" customHeight="1">
      <c r="A133" s="271" t="s">
        <v>4684</v>
      </c>
      <c r="B133" s="271">
        <v>4819</v>
      </c>
      <c r="C133" s="272" t="s">
        <v>530</v>
      </c>
      <c r="D133" s="272" t="str">
        <f t="shared" si="2"/>
        <v>五股凌雲店1</v>
      </c>
      <c r="E133" s="271">
        <v>1</v>
      </c>
      <c r="F133" s="271" t="s">
        <v>4210</v>
      </c>
      <c r="G133" s="272" t="s">
        <v>4685</v>
      </c>
      <c r="H133" s="271" t="s">
        <v>4453</v>
      </c>
      <c r="I133" s="273" t="s">
        <v>4449</v>
      </c>
      <c r="J133" s="274" t="s">
        <v>10</v>
      </c>
      <c r="K133" s="275" t="s">
        <v>4450</v>
      </c>
      <c r="L133" s="271" t="s">
        <v>1742</v>
      </c>
      <c r="M133" s="274"/>
    </row>
    <row r="134" spans="1:13" ht="22.95" customHeight="1">
      <c r="A134" s="271" t="s">
        <v>4686</v>
      </c>
      <c r="B134" s="271">
        <v>4819</v>
      </c>
      <c r="C134" s="272" t="s">
        <v>530</v>
      </c>
      <c r="D134" s="272" t="str">
        <f t="shared" si="2"/>
        <v>五股凌雲店2</v>
      </c>
      <c r="E134" s="271">
        <v>2</v>
      </c>
      <c r="F134" s="271" t="s">
        <v>4211</v>
      </c>
      <c r="G134" s="272" t="s">
        <v>4687</v>
      </c>
      <c r="H134" s="271" t="s">
        <v>4453</v>
      </c>
      <c r="I134" s="273" t="s">
        <v>4449</v>
      </c>
      <c r="J134" s="274" t="s">
        <v>10</v>
      </c>
      <c r="K134" s="275" t="s">
        <v>4450</v>
      </c>
      <c r="L134" s="271" t="s">
        <v>1742</v>
      </c>
      <c r="M134" s="274"/>
    </row>
    <row r="135" spans="1:13" ht="22.95" customHeight="1">
      <c r="A135" s="271" t="s">
        <v>4688</v>
      </c>
      <c r="B135" s="271">
        <v>2390</v>
      </c>
      <c r="C135" s="272" t="s">
        <v>4097</v>
      </c>
      <c r="D135" s="272" t="str">
        <f t="shared" si="2"/>
        <v>五股產業園區2</v>
      </c>
      <c r="E135" s="271">
        <v>2</v>
      </c>
      <c r="F135" s="271" t="s">
        <v>4209</v>
      </c>
      <c r="G135" s="272" t="s">
        <v>4689</v>
      </c>
      <c r="H135" s="271" t="s">
        <v>4448</v>
      </c>
      <c r="I135" s="273" t="s">
        <v>4449</v>
      </c>
      <c r="J135" s="274" t="s">
        <v>10</v>
      </c>
      <c r="K135" s="275" t="s">
        <v>4450</v>
      </c>
      <c r="L135" s="271" t="s">
        <v>1742</v>
      </c>
      <c r="M135" s="274"/>
    </row>
    <row r="136" spans="1:13" ht="22.95" customHeight="1">
      <c r="A136" s="271" t="s">
        <v>4690</v>
      </c>
      <c r="B136" s="271">
        <v>3921</v>
      </c>
      <c r="C136" s="272" t="s">
        <v>262</v>
      </c>
      <c r="D136" s="272" t="str">
        <f t="shared" si="2"/>
        <v>五股福鑫店1</v>
      </c>
      <c r="E136" s="271">
        <v>1</v>
      </c>
      <c r="F136" s="271" t="s">
        <v>4253</v>
      </c>
      <c r="G136" s="272" t="s">
        <v>4691</v>
      </c>
      <c r="H136" s="271" t="s">
        <v>4453</v>
      </c>
      <c r="I136" s="273" t="s">
        <v>4449</v>
      </c>
      <c r="J136" s="274" t="s">
        <v>10</v>
      </c>
      <c r="K136" s="275" t="s">
        <v>4450</v>
      </c>
      <c r="L136" s="271" t="s">
        <v>1742</v>
      </c>
      <c r="M136" s="274"/>
    </row>
    <row r="137" spans="1:13" ht="22.95" customHeight="1">
      <c r="A137" s="271" t="s">
        <v>4692</v>
      </c>
      <c r="B137" s="271">
        <v>3921</v>
      </c>
      <c r="C137" s="272" t="s">
        <v>262</v>
      </c>
      <c r="D137" s="272" t="str">
        <f t="shared" si="2"/>
        <v>五股福鑫店2</v>
      </c>
      <c r="E137" s="271">
        <v>2</v>
      </c>
      <c r="F137" s="271" t="s">
        <v>4254</v>
      </c>
      <c r="G137" s="272" t="s">
        <v>4454</v>
      </c>
      <c r="H137" s="271" t="s">
        <v>4453</v>
      </c>
      <c r="I137" s="273" t="s">
        <v>4449</v>
      </c>
      <c r="J137" s="274" t="s">
        <v>10</v>
      </c>
      <c r="K137" s="275" t="s">
        <v>4450</v>
      </c>
      <c r="L137" s="271" t="s">
        <v>1742</v>
      </c>
      <c r="M137" s="274"/>
    </row>
    <row r="138" spans="1:13" ht="22.95" customHeight="1">
      <c r="A138" s="271" t="s">
        <v>4693</v>
      </c>
      <c r="B138" s="271">
        <v>2691</v>
      </c>
      <c r="C138" s="272" t="s">
        <v>4106</v>
      </c>
      <c r="D138" s="272" t="str">
        <f t="shared" si="2"/>
        <v>五股興珍店1</v>
      </c>
      <c r="E138" s="271">
        <v>1</v>
      </c>
      <c r="F138" s="271" t="s">
        <v>4207</v>
      </c>
      <c r="G138" s="272" t="s">
        <v>4694</v>
      </c>
      <c r="H138" s="271" t="s">
        <v>4453</v>
      </c>
      <c r="I138" s="273" t="s">
        <v>4449</v>
      </c>
      <c r="J138" s="274" t="s">
        <v>10</v>
      </c>
      <c r="K138" s="275" t="s">
        <v>4450</v>
      </c>
      <c r="L138" s="271" t="s">
        <v>1742</v>
      </c>
      <c r="M138" s="274"/>
    </row>
    <row r="139" spans="1:13" ht="22.95" customHeight="1">
      <c r="A139" s="271" t="s">
        <v>4695</v>
      </c>
      <c r="B139" s="271">
        <v>2691</v>
      </c>
      <c r="C139" s="272" t="s">
        <v>4106</v>
      </c>
      <c r="D139" s="272" t="str">
        <f t="shared" si="2"/>
        <v>五股興珍店2</v>
      </c>
      <c r="E139" s="271">
        <v>2</v>
      </c>
      <c r="F139" s="271" t="s">
        <v>4208</v>
      </c>
      <c r="G139" s="272" t="s">
        <v>4696</v>
      </c>
      <c r="H139" s="271" t="s">
        <v>4453</v>
      </c>
      <c r="I139" s="273" t="s">
        <v>4449</v>
      </c>
      <c r="J139" s="274" t="s">
        <v>10</v>
      </c>
      <c r="K139" s="275" t="s">
        <v>4450</v>
      </c>
      <c r="L139" s="271" t="s">
        <v>1742</v>
      </c>
      <c r="M139" s="274"/>
    </row>
    <row r="140" spans="1:13" ht="22.95" customHeight="1">
      <c r="A140" s="271" t="s">
        <v>4705</v>
      </c>
      <c r="B140" s="271">
        <v>2325</v>
      </c>
      <c r="C140" s="272" t="s">
        <v>90</v>
      </c>
      <c r="D140" s="272" t="str">
        <f t="shared" si="2"/>
        <v>北縣五泰店1</v>
      </c>
      <c r="E140" s="271">
        <v>1</v>
      </c>
      <c r="F140" s="271" t="s">
        <v>4217</v>
      </c>
      <c r="G140" s="272" t="s">
        <v>4706</v>
      </c>
      <c r="H140" s="271" t="s">
        <v>4460</v>
      </c>
      <c r="I140" s="273" t="s">
        <v>4449</v>
      </c>
      <c r="J140" s="274" t="s">
        <v>10</v>
      </c>
      <c r="K140" s="275" t="s">
        <v>4450</v>
      </c>
      <c r="L140" s="271" t="s">
        <v>1742</v>
      </c>
      <c r="M140" s="274"/>
    </row>
    <row r="141" spans="1:13" ht="22.95" customHeight="1">
      <c r="A141" s="271" t="s">
        <v>4707</v>
      </c>
      <c r="B141" s="271">
        <v>2325</v>
      </c>
      <c r="C141" s="272" t="s">
        <v>90</v>
      </c>
      <c r="D141" s="272" t="str">
        <f t="shared" si="2"/>
        <v>北縣五泰店2</v>
      </c>
      <c r="E141" s="271">
        <v>2</v>
      </c>
      <c r="F141" s="271" t="s">
        <v>4218</v>
      </c>
      <c r="G141" s="272" t="s">
        <v>4708</v>
      </c>
      <c r="H141" s="271" t="s">
        <v>4460</v>
      </c>
      <c r="I141" s="273" t="s">
        <v>4449</v>
      </c>
      <c r="J141" s="274" t="s">
        <v>10</v>
      </c>
      <c r="K141" s="275" t="s">
        <v>4450</v>
      </c>
      <c r="L141" s="271" t="s">
        <v>1742</v>
      </c>
      <c r="M141" s="274"/>
    </row>
    <row r="142" spans="1:13" ht="22.95" customHeight="1">
      <c r="A142" s="271" t="s">
        <v>4721</v>
      </c>
      <c r="B142" s="271">
        <v>3770</v>
      </c>
      <c r="C142" s="272" t="s">
        <v>235</v>
      </c>
      <c r="D142" s="272" t="str">
        <f t="shared" si="2"/>
        <v>北縣西雲店2</v>
      </c>
      <c r="E142" s="271">
        <v>2</v>
      </c>
      <c r="F142" s="271" t="s">
        <v>4216</v>
      </c>
      <c r="G142" s="272" t="s">
        <v>4722</v>
      </c>
      <c r="H142" s="271" t="s">
        <v>4453</v>
      </c>
      <c r="I142" s="273" t="s">
        <v>4449</v>
      </c>
      <c r="J142" s="274" t="s">
        <v>10</v>
      </c>
      <c r="K142" s="275" t="s">
        <v>4450</v>
      </c>
      <c r="L142" s="271" t="s">
        <v>1742</v>
      </c>
      <c r="M142" s="274"/>
    </row>
    <row r="143" spans="1:13" ht="22.95" customHeight="1">
      <c r="A143" s="271" t="s">
        <v>4817</v>
      </c>
      <c r="B143" s="271">
        <v>4845</v>
      </c>
      <c r="C143" s="272" t="s">
        <v>541</v>
      </c>
      <c r="D143" s="272" t="str">
        <f t="shared" si="2"/>
        <v>石門海角店1</v>
      </c>
      <c r="E143" s="271">
        <v>1</v>
      </c>
      <c r="F143" s="271" t="s">
        <v>4236</v>
      </c>
      <c r="G143" s="272" t="s">
        <v>4818</v>
      </c>
      <c r="H143" s="271" t="s">
        <v>4453</v>
      </c>
      <c r="I143" s="273" t="s">
        <v>4449</v>
      </c>
      <c r="J143" s="274" t="s">
        <v>4</v>
      </c>
      <c r="K143" s="275" t="s">
        <v>4450</v>
      </c>
      <c r="L143" s="271" t="s">
        <v>1742</v>
      </c>
      <c r="M143" s="274"/>
    </row>
    <row r="144" spans="1:13" ht="22.95" customHeight="1">
      <c r="A144" s="271" t="s">
        <v>4819</v>
      </c>
      <c r="B144" s="271">
        <v>4845</v>
      </c>
      <c r="C144" s="272" t="s">
        <v>541</v>
      </c>
      <c r="D144" s="272" t="str">
        <f t="shared" si="2"/>
        <v>石門海角店2</v>
      </c>
      <c r="E144" s="271">
        <v>2</v>
      </c>
      <c r="F144" s="271" t="s">
        <v>4237</v>
      </c>
      <c r="G144" s="272" t="s">
        <v>4820</v>
      </c>
      <c r="H144" s="271" t="s">
        <v>4453</v>
      </c>
      <c r="I144" s="273" t="s">
        <v>4449</v>
      </c>
      <c r="J144" s="274" t="s">
        <v>4</v>
      </c>
      <c r="K144" s="275" t="s">
        <v>4450</v>
      </c>
      <c r="L144" s="271" t="s">
        <v>1742</v>
      </c>
      <c r="M144" s="274"/>
    </row>
    <row r="145" spans="1:13" ht="22.95" customHeight="1">
      <c r="A145" s="271" t="s">
        <v>4468</v>
      </c>
      <c r="B145" s="271">
        <v>3752</v>
      </c>
      <c r="C145" s="272" t="s">
        <v>4047</v>
      </c>
      <c r="D145" s="272" t="str">
        <f t="shared" si="2"/>
        <v>板橋豫章店1</v>
      </c>
      <c r="E145" s="271">
        <v>1</v>
      </c>
      <c r="F145" s="271" t="s">
        <v>4384</v>
      </c>
      <c r="G145" s="272" t="s">
        <v>4469</v>
      </c>
      <c r="H145" s="271" t="s">
        <v>4460</v>
      </c>
      <c r="I145" s="273" t="s">
        <v>4449</v>
      </c>
      <c r="J145" s="274" t="s">
        <v>15</v>
      </c>
      <c r="K145" s="275" t="s">
        <v>4450</v>
      </c>
      <c r="L145" s="271" t="s">
        <v>4039</v>
      </c>
      <c r="M145" s="274"/>
    </row>
    <row r="146" spans="1:13" ht="22.95" customHeight="1">
      <c r="A146" s="271" t="s">
        <v>4470</v>
      </c>
      <c r="B146" s="271">
        <v>3752</v>
      </c>
      <c r="C146" s="272" t="s">
        <v>4047</v>
      </c>
      <c r="D146" s="272" t="str">
        <f t="shared" si="2"/>
        <v>板橋豫章店2</v>
      </c>
      <c r="E146" s="271">
        <v>2</v>
      </c>
      <c r="F146" s="271" t="s">
        <v>4385</v>
      </c>
      <c r="G146" s="272" t="s">
        <v>4471</v>
      </c>
      <c r="H146" s="271" t="s">
        <v>4460</v>
      </c>
      <c r="I146" s="273" t="s">
        <v>4449</v>
      </c>
      <c r="J146" s="274" t="s">
        <v>15</v>
      </c>
      <c r="K146" s="275" t="s">
        <v>4450</v>
      </c>
      <c r="L146" s="271" t="s">
        <v>4039</v>
      </c>
      <c r="M146" s="274"/>
    </row>
    <row r="147" spans="1:13" ht="22.95" customHeight="1">
      <c r="A147" s="271" t="s">
        <v>4723</v>
      </c>
      <c r="B147" s="271" t="s">
        <v>30</v>
      </c>
      <c r="C147" s="272" t="s">
        <v>637</v>
      </c>
      <c r="D147" s="272" t="str">
        <f t="shared" si="2"/>
        <v>北縣府中店1</v>
      </c>
      <c r="E147" s="271">
        <v>1</v>
      </c>
      <c r="F147" s="271" t="s">
        <v>4390</v>
      </c>
      <c r="G147" s="272" t="s">
        <v>4724</v>
      </c>
      <c r="H147" s="271" t="s">
        <v>4453</v>
      </c>
      <c r="I147" s="273" t="s">
        <v>4449</v>
      </c>
      <c r="J147" s="274" t="s">
        <v>15</v>
      </c>
      <c r="K147" s="275" t="s">
        <v>4450</v>
      </c>
      <c r="L147" s="271" t="s">
        <v>1742</v>
      </c>
      <c r="M147" s="274"/>
    </row>
    <row r="148" spans="1:13" ht="22.95" customHeight="1">
      <c r="A148" s="271" t="s">
        <v>4725</v>
      </c>
      <c r="B148" s="271" t="s">
        <v>30</v>
      </c>
      <c r="C148" s="272" t="s">
        <v>637</v>
      </c>
      <c r="D148" s="272" t="str">
        <f t="shared" si="2"/>
        <v>北縣府中店2</v>
      </c>
      <c r="E148" s="271">
        <v>2</v>
      </c>
      <c r="F148" s="271" t="s">
        <v>4391</v>
      </c>
      <c r="G148" s="272" t="s">
        <v>4726</v>
      </c>
      <c r="H148" s="271" t="s">
        <v>4453</v>
      </c>
      <c r="I148" s="273" t="s">
        <v>4449</v>
      </c>
      <c r="J148" s="274" t="s">
        <v>15</v>
      </c>
      <c r="K148" s="275" t="s">
        <v>4450</v>
      </c>
      <c r="L148" s="271" t="s">
        <v>1742</v>
      </c>
      <c r="M148" s="274"/>
    </row>
    <row r="149" spans="1:13" ht="22.95" customHeight="1">
      <c r="A149" s="271" t="s">
        <v>4727</v>
      </c>
      <c r="B149" s="271">
        <v>3183</v>
      </c>
      <c r="C149" s="272" t="s">
        <v>164</v>
      </c>
      <c r="D149" s="272" t="str">
        <f t="shared" si="2"/>
        <v>北縣板好店1</v>
      </c>
      <c r="E149" s="271">
        <v>1</v>
      </c>
      <c r="F149" s="271" t="s">
        <v>4267</v>
      </c>
      <c r="G149" s="272" t="s">
        <v>4728</v>
      </c>
      <c r="H149" s="271" t="s">
        <v>4453</v>
      </c>
      <c r="I149" s="273" t="s">
        <v>4449</v>
      </c>
      <c r="J149" s="274" t="s">
        <v>15</v>
      </c>
      <c r="K149" s="275" t="s">
        <v>4450</v>
      </c>
      <c r="L149" s="271" t="s">
        <v>1742</v>
      </c>
      <c r="M149" s="274"/>
    </row>
    <row r="150" spans="1:13" ht="22.95" customHeight="1">
      <c r="A150" s="271" t="s">
        <v>4729</v>
      </c>
      <c r="B150" s="271">
        <v>3183</v>
      </c>
      <c r="C150" s="272" t="s">
        <v>164</v>
      </c>
      <c r="D150" s="272" t="str">
        <f t="shared" si="2"/>
        <v>北縣板好店2</v>
      </c>
      <c r="E150" s="271">
        <v>2</v>
      </c>
      <c r="F150" s="271" t="s">
        <v>4268</v>
      </c>
      <c r="G150" s="272" t="s">
        <v>4730</v>
      </c>
      <c r="H150" s="271" t="s">
        <v>4448</v>
      </c>
      <c r="I150" s="273" t="s">
        <v>4465</v>
      </c>
      <c r="J150" s="274" t="s">
        <v>15</v>
      </c>
      <c r="K150" s="275" t="s">
        <v>4450</v>
      </c>
      <c r="L150" s="271" t="s">
        <v>1742</v>
      </c>
      <c r="M150" s="274"/>
    </row>
    <row r="151" spans="1:13" ht="22.95" customHeight="1">
      <c r="A151" s="271" t="s">
        <v>4731</v>
      </c>
      <c r="B151" s="271">
        <v>3147</v>
      </c>
      <c r="C151" s="272" t="s">
        <v>162</v>
      </c>
      <c r="D151" s="272" t="str">
        <f t="shared" si="2"/>
        <v>北縣板明店2</v>
      </c>
      <c r="E151" s="271">
        <v>2</v>
      </c>
      <c r="F151" s="271" t="s">
        <v>4246</v>
      </c>
      <c r="G151" s="272" t="s">
        <v>4732</v>
      </c>
      <c r="H151" s="271" t="s">
        <v>4453</v>
      </c>
      <c r="I151" s="273" t="s">
        <v>4449</v>
      </c>
      <c r="J151" s="274" t="s">
        <v>15</v>
      </c>
      <c r="K151" s="275" t="s">
        <v>4450</v>
      </c>
      <c r="L151" s="271" t="s">
        <v>1742</v>
      </c>
      <c r="M151" s="274"/>
    </row>
    <row r="152" spans="1:13" ht="22.95" customHeight="1">
      <c r="A152" s="271" t="s">
        <v>4733</v>
      </c>
      <c r="B152" s="271">
        <v>2746</v>
      </c>
      <c r="C152" s="272" t="s">
        <v>127</v>
      </c>
      <c r="D152" s="272" t="str">
        <f t="shared" si="2"/>
        <v>北縣板嘉店1</v>
      </c>
      <c r="E152" s="271">
        <v>1</v>
      </c>
      <c r="F152" s="271" t="s">
        <v>4366</v>
      </c>
      <c r="G152" s="272" t="s">
        <v>4734</v>
      </c>
      <c r="H152" s="271" t="s">
        <v>4460</v>
      </c>
      <c r="I152" s="273" t="s">
        <v>4449</v>
      </c>
      <c r="J152" s="274" t="s">
        <v>15</v>
      </c>
      <c r="K152" s="275" t="s">
        <v>4450</v>
      </c>
      <c r="L152" s="271" t="s">
        <v>1742</v>
      </c>
      <c r="M152" s="274"/>
    </row>
    <row r="153" spans="1:13" ht="22.95" customHeight="1">
      <c r="A153" s="271" t="s">
        <v>4735</v>
      </c>
      <c r="B153" s="271">
        <v>2746</v>
      </c>
      <c r="C153" s="272" t="s">
        <v>127</v>
      </c>
      <c r="D153" s="272" t="str">
        <f t="shared" si="2"/>
        <v>北縣板嘉店2</v>
      </c>
      <c r="E153" s="271">
        <v>2</v>
      </c>
      <c r="F153" s="271" t="s">
        <v>4367</v>
      </c>
      <c r="G153" s="272" t="s">
        <v>4736</v>
      </c>
      <c r="H153" s="271" t="s">
        <v>4448</v>
      </c>
      <c r="I153" s="273" t="s">
        <v>4449</v>
      </c>
      <c r="J153" s="274" t="s">
        <v>15</v>
      </c>
      <c r="K153" s="275" t="s">
        <v>4450</v>
      </c>
      <c r="L153" s="271" t="s">
        <v>1742</v>
      </c>
      <c r="M153" s="274"/>
    </row>
    <row r="154" spans="1:13" ht="22.95" customHeight="1">
      <c r="A154" s="271" t="s">
        <v>4737</v>
      </c>
      <c r="B154" s="271">
        <v>2422</v>
      </c>
      <c r="C154" s="272" t="s">
        <v>99</v>
      </c>
      <c r="D154" s="272" t="str">
        <f t="shared" si="2"/>
        <v>北縣板億店1</v>
      </c>
      <c r="E154" s="271">
        <v>1</v>
      </c>
      <c r="F154" s="271" t="s">
        <v>4382</v>
      </c>
      <c r="G154" s="272" t="s">
        <v>4738</v>
      </c>
      <c r="H154" s="271" t="s">
        <v>4460</v>
      </c>
      <c r="I154" s="273" t="s">
        <v>4449</v>
      </c>
      <c r="J154" s="274" t="s">
        <v>15</v>
      </c>
      <c r="K154" s="275" t="s">
        <v>4450</v>
      </c>
      <c r="L154" s="271" t="s">
        <v>1742</v>
      </c>
      <c r="M154" s="274"/>
    </row>
    <row r="155" spans="1:13" ht="22.95" customHeight="1">
      <c r="A155" s="271" t="s">
        <v>4739</v>
      </c>
      <c r="B155" s="271">
        <v>2422</v>
      </c>
      <c r="C155" s="272" t="s">
        <v>99</v>
      </c>
      <c r="D155" s="272" t="str">
        <f t="shared" si="2"/>
        <v>北縣板億店2</v>
      </c>
      <c r="E155" s="271">
        <v>2</v>
      </c>
      <c r="F155" s="271" t="s">
        <v>4383</v>
      </c>
      <c r="G155" s="272" t="s">
        <v>4740</v>
      </c>
      <c r="H155" s="271" t="s">
        <v>4460</v>
      </c>
      <c r="I155" s="273" t="s">
        <v>4449</v>
      </c>
      <c r="J155" s="274" t="s">
        <v>15</v>
      </c>
      <c r="K155" s="275" t="s">
        <v>4450</v>
      </c>
      <c r="L155" s="271" t="s">
        <v>1742</v>
      </c>
      <c r="M155" s="274"/>
    </row>
    <row r="156" spans="1:13" ht="22.95" customHeight="1">
      <c r="A156" s="271" t="s">
        <v>4741</v>
      </c>
      <c r="B156" s="271">
        <v>2403</v>
      </c>
      <c r="C156" s="272" t="s">
        <v>97</v>
      </c>
      <c r="D156" s="272" t="str">
        <f t="shared" si="2"/>
        <v>北縣板龍店1</v>
      </c>
      <c r="E156" s="271">
        <v>1</v>
      </c>
      <c r="F156" s="271" t="s">
        <v>4362</v>
      </c>
      <c r="G156" s="272" t="s">
        <v>4742</v>
      </c>
      <c r="H156" s="271" t="s">
        <v>4448</v>
      </c>
      <c r="I156" s="273" t="s">
        <v>4449</v>
      </c>
      <c r="J156" s="274" t="s">
        <v>15</v>
      </c>
      <c r="K156" s="275" t="s">
        <v>4450</v>
      </c>
      <c r="L156" s="271" t="s">
        <v>1742</v>
      </c>
      <c r="M156" s="274"/>
    </row>
    <row r="157" spans="1:13" ht="22.95" customHeight="1">
      <c r="A157" s="271" t="s">
        <v>4743</v>
      </c>
      <c r="B157" s="271">
        <v>2403</v>
      </c>
      <c r="C157" s="272" t="s">
        <v>97</v>
      </c>
      <c r="D157" s="272" t="str">
        <f t="shared" si="2"/>
        <v>北縣板龍店2</v>
      </c>
      <c r="E157" s="271">
        <v>2</v>
      </c>
      <c r="F157" s="271" t="s">
        <v>4363</v>
      </c>
      <c r="G157" s="272" t="s">
        <v>4744</v>
      </c>
      <c r="H157" s="271" t="s">
        <v>4448</v>
      </c>
      <c r="I157" s="273" t="s">
        <v>4465</v>
      </c>
      <c r="J157" s="274" t="s">
        <v>15</v>
      </c>
      <c r="K157" s="275" t="s">
        <v>4450</v>
      </c>
      <c r="L157" s="271" t="s">
        <v>1742</v>
      </c>
      <c r="M157" s="274"/>
    </row>
    <row r="158" spans="1:13" ht="22.95" customHeight="1">
      <c r="A158" s="271" t="s">
        <v>4745</v>
      </c>
      <c r="B158" s="271">
        <v>3551</v>
      </c>
      <c r="C158" s="272" t="s">
        <v>197</v>
      </c>
      <c r="D158" s="272" t="str">
        <f t="shared" si="2"/>
        <v>北縣板豐店1</v>
      </c>
      <c r="E158" s="271">
        <v>1</v>
      </c>
      <c r="F158" s="271" t="s">
        <v>4364</v>
      </c>
      <c r="G158" s="272" t="s">
        <v>4746</v>
      </c>
      <c r="H158" s="271" t="s">
        <v>4453</v>
      </c>
      <c r="I158" s="273" t="s">
        <v>4449</v>
      </c>
      <c r="J158" s="274" t="s">
        <v>15</v>
      </c>
      <c r="K158" s="275" t="s">
        <v>4450</v>
      </c>
      <c r="L158" s="271" t="s">
        <v>1742</v>
      </c>
      <c r="M158" s="274"/>
    </row>
    <row r="159" spans="1:13" ht="22.95" customHeight="1">
      <c r="A159" s="271" t="s">
        <v>4747</v>
      </c>
      <c r="B159" s="271">
        <v>3551</v>
      </c>
      <c r="C159" s="272" t="s">
        <v>197</v>
      </c>
      <c r="D159" s="272" t="str">
        <f t="shared" si="2"/>
        <v>北縣板豐店2</v>
      </c>
      <c r="E159" s="271">
        <v>2</v>
      </c>
      <c r="F159" s="271" t="s">
        <v>4365</v>
      </c>
      <c r="G159" s="272" t="s">
        <v>4748</v>
      </c>
      <c r="H159" s="271" t="s">
        <v>4453</v>
      </c>
      <c r="I159" s="273" t="s">
        <v>4465</v>
      </c>
      <c r="J159" s="274" t="s">
        <v>15</v>
      </c>
      <c r="K159" s="275" t="s">
        <v>4450</v>
      </c>
      <c r="L159" s="271" t="s">
        <v>1742</v>
      </c>
      <c r="M159" s="274"/>
    </row>
    <row r="160" spans="1:13" ht="22.95" customHeight="1">
      <c r="A160" s="271" t="s">
        <v>4800</v>
      </c>
      <c r="B160" s="271" t="s">
        <v>31</v>
      </c>
      <c r="C160" s="272" t="s">
        <v>639</v>
      </c>
      <c r="D160" s="272" t="str">
        <f t="shared" si="2"/>
        <v>北縣僑中三店1</v>
      </c>
      <c r="E160" s="271">
        <v>1</v>
      </c>
      <c r="F160" s="271" t="s">
        <v>4360</v>
      </c>
      <c r="G160" s="272" t="s">
        <v>4801</v>
      </c>
      <c r="H160" s="271" t="s">
        <v>4460</v>
      </c>
      <c r="I160" s="273" t="s">
        <v>4449</v>
      </c>
      <c r="J160" s="274" t="s">
        <v>15</v>
      </c>
      <c r="K160" s="275" t="s">
        <v>4450</v>
      </c>
      <c r="L160" s="271" t="s">
        <v>1742</v>
      </c>
      <c r="M160" s="274"/>
    </row>
    <row r="161" spans="1:13" ht="22.95" customHeight="1">
      <c r="A161" s="271" t="s">
        <v>4802</v>
      </c>
      <c r="B161" s="271" t="s">
        <v>31</v>
      </c>
      <c r="C161" s="272" t="s">
        <v>639</v>
      </c>
      <c r="D161" s="272" t="str">
        <f t="shared" si="2"/>
        <v>北縣僑中三店2</v>
      </c>
      <c r="E161" s="271">
        <v>2</v>
      </c>
      <c r="F161" s="271" t="s">
        <v>4361</v>
      </c>
      <c r="G161" s="272" t="s">
        <v>4454</v>
      </c>
      <c r="H161" s="271" t="s">
        <v>4460</v>
      </c>
      <c r="I161" s="273" t="s">
        <v>4449</v>
      </c>
      <c r="J161" s="274" t="s">
        <v>15</v>
      </c>
      <c r="K161" s="275" t="s">
        <v>4450</v>
      </c>
      <c r="L161" s="271" t="s">
        <v>1742</v>
      </c>
      <c r="M161" s="274"/>
    </row>
    <row r="162" spans="1:13" ht="22.95" customHeight="1">
      <c r="A162" s="271" t="s">
        <v>4803</v>
      </c>
      <c r="B162" s="271" t="s">
        <v>29</v>
      </c>
      <c r="C162" s="272" t="s">
        <v>636</v>
      </c>
      <c r="D162" s="272" t="str">
        <f t="shared" si="2"/>
        <v>北縣僑福店1</v>
      </c>
      <c r="E162" s="271">
        <v>1</v>
      </c>
      <c r="F162" s="271" t="s">
        <v>4359</v>
      </c>
      <c r="G162" s="272" t="s">
        <v>4804</v>
      </c>
      <c r="H162" s="271" t="s">
        <v>4460</v>
      </c>
      <c r="I162" s="273" t="s">
        <v>4449</v>
      </c>
      <c r="J162" s="274" t="s">
        <v>15</v>
      </c>
      <c r="K162" s="275" t="s">
        <v>4450</v>
      </c>
      <c r="L162" s="271" t="s">
        <v>1742</v>
      </c>
      <c r="M162" s="274" t="s">
        <v>5093</v>
      </c>
    </row>
    <row r="163" spans="1:13" ht="22.95" customHeight="1">
      <c r="A163" s="271" t="s">
        <v>4821</v>
      </c>
      <c r="B163" s="271" t="s">
        <v>33</v>
      </c>
      <c r="C163" s="272" t="s">
        <v>648</v>
      </c>
      <c r="D163" s="272" t="str">
        <f t="shared" si="2"/>
        <v>板橋大興店1</v>
      </c>
      <c r="E163" s="271">
        <v>1</v>
      </c>
      <c r="F163" s="271" t="s">
        <v>4380</v>
      </c>
      <c r="G163" s="272" t="s">
        <v>4822</v>
      </c>
      <c r="H163" s="271" t="s">
        <v>4453</v>
      </c>
      <c r="I163" s="273" t="s">
        <v>4465</v>
      </c>
      <c r="J163" s="274" t="s">
        <v>15</v>
      </c>
      <c r="K163" s="275" t="s">
        <v>4450</v>
      </c>
      <c r="L163" s="271" t="s">
        <v>1742</v>
      </c>
      <c r="M163" s="274"/>
    </row>
    <row r="164" spans="1:13" ht="22.95" customHeight="1">
      <c r="A164" s="271" t="s">
        <v>4823</v>
      </c>
      <c r="B164" s="271" t="s">
        <v>33</v>
      </c>
      <c r="C164" s="272" t="s">
        <v>648</v>
      </c>
      <c r="D164" s="272" t="str">
        <f t="shared" si="2"/>
        <v>板橋大興店2</v>
      </c>
      <c r="E164" s="271">
        <v>2</v>
      </c>
      <c r="F164" s="271" t="s">
        <v>4381</v>
      </c>
      <c r="G164" s="272" t="s">
        <v>4824</v>
      </c>
      <c r="H164" s="271" t="s">
        <v>4453</v>
      </c>
      <c r="I164" s="273" t="s">
        <v>4455</v>
      </c>
      <c r="J164" s="274" t="s">
        <v>15</v>
      </c>
      <c r="K164" s="275" t="s">
        <v>4450</v>
      </c>
      <c r="L164" s="271" t="s">
        <v>1742</v>
      </c>
      <c r="M164" s="274"/>
    </row>
    <row r="165" spans="1:13" ht="22.95" customHeight="1">
      <c r="A165" s="271" t="s">
        <v>4825</v>
      </c>
      <c r="B165" s="271">
        <v>3962</v>
      </c>
      <c r="C165" s="272" t="s">
        <v>272</v>
      </c>
      <c r="D165" s="272" t="str">
        <f t="shared" si="2"/>
        <v>板橋仁化店1</v>
      </c>
      <c r="E165" s="271">
        <v>1</v>
      </c>
      <c r="F165" s="271" t="s">
        <v>4353</v>
      </c>
      <c r="G165" s="272" t="s">
        <v>4826</v>
      </c>
      <c r="H165" s="271" t="s">
        <v>4460</v>
      </c>
      <c r="I165" s="273" t="s">
        <v>4449</v>
      </c>
      <c r="J165" s="274" t="s">
        <v>15</v>
      </c>
      <c r="K165" s="275" t="s">
        <v>4450</v>
      </c>
      <c r="L165" s="271" t="s">
        <v>1742</v>
      </c>
      <c r="M165" s="274"/>
    </row>
    <row r="166" spans="1:13" ht="22.95" customHeight="1">
      <c r="A166" s="271" t="s">
        <v>4827</v>
      </c>
      <c r="B166" s="271">
        <v>3962</v>
      </c>
      <c r="C166" s="272" t="s">
        <v>272</v>
      </c>
      <c r="D166" s="272" t="str">
        <f t="shared" si="2"/>
        <v>板橋仁化店2</v>
      </c>
      <c r="E166" s="271">
        <v>2</v>
      </c>
      <c r="F166" s="271" t="s">
        <v>4354</v>
      </c>
      <c r="G166" s="272" t="s">
        <v>4828</v>
      </c>
      <c r="H166" s="271" t="s">
        <v>4460</v>
      </c>
      <c r="I166" s="273" t="s">
        <v>4449</v>
      </c>
      <c r="J166" s="274" t="s">
        <v>15</v>
      </c>
      <c r="K166" s="275" t="s">
        <v>4450</v>
      </c>
      <c r="L166" s="271" t="s">
        <v>1742</v>
      </c>
      <c r="M166" s="274"/>
    </row>
    <row r="167" spans="1:13" ht="22.95" customHeight="1">
      <c r="A167" s="271" t="s">
        <v>4829</v>
      </c>
      <c r="B167" s="271">
        <v>3965</v>
      </c>
      <c r="C167" s="272" t="s">
        <v>275</v>
      </c>
      <c r="D167" s="272" t="str">
        <f t="shared" si="2"/>
        <v>板橋民治店1</v>
      </c>
      <c r="E167" s="271">
        <v>1</v>
      </c>
      <c r="F167" s="271" t="s">
        <v>4355</v>
      </c>
      <c r="G167" s="272" t="s">
        <v>4830</v>
      </c>
      <c r="H167" s="271" t="s">
        <v>4453</v>
      </c>
      <c r="I167" s="273" t="s">
        <v>4449</v>
      </c>
      <c r="J167" s="274" t="s">
        <v>15</v>
      </c>
      <c r="K167" s="275" t="s">
        <v>4450</v>
      </c>
      <c r="L167" s="271" t="s">
        <v>1742</v>
      </c>
      <c r="M167" s="274"/>
    </row>
    <row r="168" spans="1:13" ht="22.95" customHeight="1">
      <c r="A168" s="271" t="s">
        <v>4831</v>
      </c>
      <c r="B168" s="271">
        <v>3965</v>
      </c>
      <c r="C168" s="272" t="s">
        <v>275</v>
      </c>
      <c r="D168" s="272" t="str">
        <f t="shared" si="2"/>
        <v>板橋民治店2</v>
      </c>
      <c r="E168" s="271">
        <v>2</v>
      </c>
      <c r="F168" s="271" t="s">
        <v>4356</v>
      </c>
      <c r="G168" s="272" t="s">
        <v>4832</v>
      </c>
      <c r="H168" s="271" t="s">
        <v>4453</v>
      </c>
      <c r="I168" s="273" t="s">
        <v>4449</v>
      </c>
      <c r="J168" s="274" t="s">
        <v>15</v>
      </c>
      <c r="K168" s="275" t="s">
        <v>4450</v>
      </c>
      <c r="L168" s="271" t="s">
        <v>1742</v>
      </c>
      <c r="M168" s="274"/>
    </row>
    <row r="169" spans="1:13" ht="22.95" customHeight="1">
      <c r="A169" s="271" t="s">
        <v>4833</v>
      </c>
      <c r="B169" s="271">
        <v>4167</v>
      </c>
      <c r="C169" s="272" t="s">
        <v>319</v>
      </c>
      <c r="D169" s="272" t="str">
        <f t="shared" si="2"/>
        <v>板橋松翠店1</v>
      </c>
      <c r="E169" s="271">
        <v>1</v>
      </c>
      <c r="F169" s="271" t="s">
        <v>4269</v>
      </c>
      <c r="G169" s="272" t="s">
        <v>4834</v>
      </c>
      <c r="H169" s="271" t="s">
        <v>4460</v>
      </c>
      <c r="I169" s="273" t="s">
        <v>4449</v>
      </c>
      <c r="J169" s="274" t="s">
        <v>15</v>
      </c>
      <c r="K169" s="275" t="s">
        <v>4450</v>
      </c>
      <c r="L169" s="271" t="s">
        <v>1742</v>
      </c>
      <c r="M169" s="274"/>
    </row>
    <row r="170" spans="1:13" ht="22.95" customHeight="1">
      <c r="A170" s="271" t="s">
        <v>4835</v>
      </c>
      <c r="B170" s="271">
        <v>4167</v>
      </c>
      <c r="C170" s="272" t="s">
        <v>319</v>
      </c>
      <c r="D170" s="272" t="str">
        <f t="shared" si="2"/>
        <v>板橋松翠店2</v>
      </c>
      <c r="E170" s="271">
        <v>2</v>
      </c>
      <c r="F170" s="271" t="s">
        <v>4270</v>
      </c>
      <c r="G170" s="272" t="s">
        <v>4836</v>
      </c>
      <c r="H170" s="271" t="s">
        <v>4460</v>
      </c>
      <c r="I170" s="273" t="s">
        <v>4449</v>
      </c>
      <c r="J170" s="274" t="s">
        <v>15</v>
      </c>
      <c r="K170" s="275" t="s">
        <v>4450</v>
      </c>
      <c r="L170" s="271" t="s">
        <v>1742</v>
      </c>
      <c r="M170" s="274"/>
    </row>
    <row r="171" spans="1:13" ht="22.95" customHeight="1">
      <c r="A171" s="271" t="s">
        <v>4837</v>
      </c>
      <c r="B171" s="271">
        <v>3955</v>
      </c>
      <c r="C171" s="272" t="s">
        <v>268</v>
      </c>
      <c r="D171" s="272" t="str">
        <f t="shared" si="2"/>
        <v>板橋海龍店1</v>
      </c>
      <c r="E171" s="271">
        <v>1</v>
      </c>
      <c r="F171" s="271" t="s">
        <v>4357</v>
      </c>
      <c r="G171" s="272" t="s">
        <v>4838</v>
      </c>
      <c r="H171" s="271" t="s">
        <v>4448</v>
      </c>
      <c r="I171" s="273" t="s">
        <v>4465</v>
      </c>
      <c r="J171" s="274" t="s">
        <v>15</v>
      </c>
      <c r="K171" s="275" t="s">
        <v>4450</v>
      </c>
      <c r="L171" s="271" t="s">
        <v>1742</v>
      </c>
      <c r="M171" s="274"/>
    </row>
    <row r="172" spans="1:13" ht="22.95" customHeight="1">
      <c r="A172" s="271" t="s">
        <v>4839</v>
      </c>
      <c r="B172" s="271">
        <v>3955</v>
      </c>
      <c r="C172" s="272" t="s">
        <v>268</v>
      </c>
      <c r="D172" s="272" t="str">
        <f t="shared" si="2"/>
        <v>板橋海龍店2</v>
      </c>
      <c r="E172" s="271">
        <v>2</v>
      </c>
      <c r="F172" s="271" t="s">
        <v>4358</v>
      </c>
      <c r="G172" s="272" t="s">
        <v>4840</v>
      </c>
      <c r="H172" s="271" t="s">
        <v>4460</v>
      </c>
      <c r="I172" s="273" t="s">
        <v>4449</v>
      </c>
      <c r="J172" s="274" t="s">
        <v>15</v>
      </c>
      <c r="K172" s="275" t="s">
        <v>4450</v>
      </c>
      <c r="L172" s="271" t="s">
        <v>1742</v>
      </c>
      <c r="M172" s="274"/>
    </row>
    <row r="173" spans="1:13" ht="22.95" customHeight="1">
      <c r="A173" s="271" t="s">
        <v>4841</v>
      </c>
      <c r="B173" s="271">
        <v>3416</v>
      </c>
      <c r="C173" s="272" t="s">
        <v>4043</v>
      </c>
      <c r="D173" s="272" t="str">
        <f t="shared" si="2"/>
        <v>板橋國慶店1</v>
      </c>
      <c r="E173" s="271">
        <v>1</v>
      </c>
      <c r="F173" s="271" t="s">
        <v>4388</v>
      </c>
      <c r="G173" s="272" t="s">
        <v>4842</v>
      </c>
      <c r="H173" s="271" t="s">
        <v>4453</v>
      </c>
      <c r="I173" s="273" t="s">
        <v>4449</v>
      </c>
      <c r="J173" s="274" t="s">
        <v>15</v>
      </c>
      <c r="K173" s="275" t="s">
        <v>4450</v>
      </c>
      <c r="L173" s="271" t="s">
        <v>1742</v>
      </c>
      <c r="M173" s="274"/>
    </row>
    <row r="174" spans="1:13" ht="22.95" customHeight="1">
      <c r="A174" s="271" t="s">
        <v>4843</v>
      </c>
      <c r="B174" s="271">
        <v>3416</v>
      </c>
      <c r="C174" s="272" t="s">
        <v>4043</v>
      </c>
      <c r="D174" s="272" t="str">
        <f t="shared" si="2"/>
        <v>板橋國慶店2</v>
      </c>
      <c r="E174" s="271">
        <v>2</v>
      </c>
      <c r="F174" s="271" t="s">
        <v>4389</v>
      </c>
      <c r="G174" s="272" t="s">
        <v>4844</v>
      </c>
      <c r="H174" s="271" t="s">
        <v>4453</v>
      </c>
      <c r="I174" s="273" t="s">
        <v>4449</v>
      </c>
      <c r="J174" s="274" t="s">
        <v>15</v>
      </c>
      <c r="K174" s="275" t="s">
        <v>4450</v>
      </c>
      <c r="L174" s="271" t="s">
        <v>1742</v>
      </c>
      <c r="M174" s="274"/>
    </row>
    <row r="175" spans="1:13" ht="22.95" customHeight="1">
      <c r="A175" s="271" t="s">
        <v>4845</v>
      </c>
      <c r="B175" s="271">
        <v>2224</v>
      </c>
      <c r="C175" s="272" t="s">
        <v>73</v>
      </c>
      <c r="D175" s="272" t="str">
        <f t="shared" si="2"/>
        <v>板橋莒光店1</v>
      </c>
      <c r="E175" s="271">
        <v>1</v>
      </c>
      <c r="F175" s="271" t="s">
        <v>4372</v>
      </c>
      <c r="G175" s="272" t="s">
        <v>4846</v>
      </c>
      <c r="H175" s="271" t="s">
        <v>4448</v>
      </c>
      <c r="I175" s="273" t="s">
        <v>4449</v>
      </c>
      <c r="J175" s="274" t="s">
        <v>15</v>
      </c>
      <c r="K175" s="275" t="s">
        <v>4450</v>
      </c>
      <c r="L175" s="271" t="s">
        <v>1742</v>
      </c>
      <c r="M175" s="274"/>
    </row>
    <row r="176" spans="1:13" ht="22.95" customHeight="1">
      <c r="A176" s="271" t="s">
        <v>4847</v>
      </c>
      <c r="B176" s="271">
        <v>2224</v>
      </c>
      <c r="C176" s="272" t="s">
        <v>73</v>
      </c>
      <c r="D176" s="272" t="str">
        <f t="shared" si="2"/>
        <v>板橋莒光店2</v>
      </c>
      <c r="E176" s="271">
        <v>2</v>
      </c>
      <c r="F176" s="271" t="s">
        <v>4373</v>
      </c>
      <c r="G176" s="272" t="s">
        <v>4848</v>
      </c>
      <c r="H176" s="271" t="s">
        <v>4448</v>
      </c>
      <c r="I176" s="273" t="s">
        <v>4449</v>
      </c>
      <c r="J176" s="274" t="s">
        <v>15</v>
      </c>
      <c r="K176" s="275" t="s">
        <v>4450</v>
      </c>
      <c r="L176" s="271" t="s">
        <v>1742</v>
      </c>
      <c r="M176" s="274"/>
    </row>
    <row r="177" spans="1:13" ht="22.95" customHeight="1">
      <c r="A177" s="271" t="s">
        <v>4849</v>
      </c>
      <c r="B177" s="271">
        <v>2995</v>
      </c>
      <c r="C177" s="272" t="s">
        <v>152</v>
      </c>
      <c r="D177" s="272" t="str">
        <f t="shared" si="2"/>
        <v>板橋湳雅夜市1</v>
      </c>
      <c r="E177" s="271">
        <v>1</v>
      </c>
      <c r="F177" s="271" t="s">
        <v>4386</v>
      </c>
      <c r="G177" s="272" t="s">
        <v>4850</v>
      </c>
      <c r="H177" s="271" t="s">
        <v>4453</v>
      </c>
      <c r="I177" s="273" t="s">
        <v>4455</v>
      </c>
      <c r="J177" s="274" t="s">
        <v>15</v>
      </c>
      <c r="K177" s="275" t="s">
        <v>4450</v>
      </c>
      <c r="L177" s="271" t="s">
        <v>1742</v>
      </c>
      <c r="M177" s="274"/>
    </row>
    <row r="178" spans="1:13" ht="22.95" customHeight="1">
      <c r="A178" s="271" t="s">
        <v>4851</v>
      </c>
      <c r="B178" s="271">
        <v>2995</v>
      </c>
      <c r="C178" s="272" t="s">
        <v>152</v>
      </c>
      <c r="D178" s="272" t="str">
        <f t="shared" si="2"/>
        <v>板橋湳雅夜市2</v>
      </c>
      <c r="E178" s="271">
        <v>2</v>
      </c>
      <c r="F178" s="271" t="s">
        <v>4387</v>
      </c>
      <c r="G178" s="272" t="s">
        <v>4852</v>
      </c>
      <c r="H178" s="271" t="s">
        <v>4453</v>
      </c>
      <c r="I178" s="273" t="s">
        <v>4455</v>
      </c>
      <c r="J178" s="274" t="s">
        <v>15</v>
      </c>
      <c r="K178" s="275" t="s">
        <v>4450</v>
      </c>
      <c r="L178" s="271" t="s">
        <v>1742</v>
      </c>
      <c r="M178" s="274"/>
    </row>
    <row r="179" spans="1:13" ht="22.95" customHeight="1">
      <c r="A179" s="271" t="s">
        <v>4853</v>
      </c>
      <c r="B179" s="271">
        <v>4145</v>
      </c>
      <c r="C179" s="272" t="s">
        <v>313</v>
      </c>
      <c r="D179" s="272" t="str">
        <f t="shared" si="2"/>
        <v>板橋僑興店1</v>
      </c>
      <c r="E179" s="271">
        <v>1</v>
      </c>
      <c r="F179" s="271" t="s">
        <v>4378</v>
      </c>
      <c r="G179" s="272" t="s">
        <v>4854</v>
      </c>
      <c r="H179" s="271" t="s">
        <v>4453</v>
      </c>
      <c r="I179" s="273" t="s">
        <v>4455</v>
      </c>
      <c r="J179" s="274" t="s">
        <v>15</v>
      </c>
      <c r="K179" s="275" t="s">
        <v>4450</v>
      </c>
      <c r="L179" s="271" t="s">
        <v>1742</v>
      </c>
      <c r="M179" s="274"/>
    </row>
    <row r="180" spans="1:13" ht="22.95" customHeight="1">
      <c r="A180" s="271" t="s">
        <v>4855</v>
      </c>
      <c r="B180" s="271">
        <v>4145</v>
      </c>
      <c r="C180" s="272" t="s">
        <v>313</v>
      </c>
      <c r="D180" s="272" t="str">
        <f t="shared" si="2"/>
        <v>板橋僑興店2</v>
      </c>
      <c r="E180" s="271">
        <v>2</v>
      </c>
      <c r="F180" s="271" t="s">
        <v>4379</v>
      </c>
      <c r="G180" s="272" t="s">
        <v>4856</v>
      </c>
      <c r="H180" s="271" t="s">
        <v>4453</v>
      </c>
      <c r="I180" s="273" t="s">
        <v>4455</v>
      </c>
      <c r="J180" s="274" t="s">
        <v>15</v>
      </c>
      <c r="K180" s="275" t="s">
        <v>4450</v>
      </c>
      <c r="L180" s="271" t="s">
        <v>1742</v>
      </c>
      <c r="M180" s="274"/>
    </row>
    <row r="181" spans="1:13" ht="22.95" customHeight="1">
      <c r="A181" s="271" t="s">
        <v>4857</v>
      </c>
      <c r="B181" s="271">
        <v>3818</v>
      </c>
      <c r="C181" s="272" t="s">
        <v>1414</v>
      </c>
      <c r="D181" s="272" t="str">
        <f t="shared" si="2"/>
        <v>板橋漢江店2</v>
      </c>
      <c r="E181" s="271">
        <v>2</v>
      </c>
      <c r="F181" s="271" t="s">
        <v>4206</v>
      </c>
      <c r="G181" s="272" t="s">
        <v>4858</v>
      </c>
      <c r="H181" s="271" t="s">
        <v>4460</v>
      </c>
      <c r="I181" s="273" t="s">
        <v>4449</v>
      </c>
      <c r="J181" s="274" t="s">
        <v>15</v>
      </c>
      <c r="K181" s="275" t="s">
        <v>4450</v>
      </c>
      <c r="L181" s="271" t="s">
        <v>1742</v>
      </c>
      <c r="M181" s="274"/>
    </row>
    <row r="182" spans="1:13" ht="22.95" customHeight="1">
      <c r="A182" s="271" t="s">
        <v>4859</v>
      </c>
      <c r="B182" s="271">
        <v>4046</v>
      </c>
      <c r="C182" s="272" t="s">
        <v>295</v>
      </c>
      <c r="D182" s="272" t="str">
        <f t="shared" si="2"/>
        <v>板橋福康店1</v>
      </c>
      <c r="E182" s="271">
        <v>1</v>
      </c>
      <c r="F182" s="271" t="s">
        <v>4376</v>
      </c>
      <c r="G182" s="272" t="s">
        <v>4860</v>
      </c>
      <c r="H182" s="271" t="s">
        <v>4460</v>
      </c>
      <c r="I182" s="273" t="s">
        <v>4449</v>
      </c>
      <c r="J182" s="274" t="s">
        <v>15</v>
      </c>
      <c r="K182" s="275" t="s">
        <v>4450</v>
      </c>
      <c r="L182" s="271" t="s">
        <v>1742</v>
      </c>
      <c r="M182" s="274"/>
    </row>
    <row r="183" spans="1:13" ht="22.95" customHeight="1">
      <c r="A183" s="271" t="s">
        <v>4861</v>
      </c>
      <c r="B183" s="271">
        <v>4046</v>
      </c>
      <c r="C183" s="272" t="s">
        <v>295</v>
      </c>
      <c r="D183" s="272" t="str">
        <f t="shared" si="2"/>
        <v>板橋福康店2</v>
      </c>
      <c r="E183" s="271">
        <v>2</v>
      </c>
      <c r="F183" s="271" t="s">
        <v>4377</v>
      </c>
      <c r="G183" s="272" t="s">
        <v>4862</v>
      </c>
      <c r="H183" s="271" t="s">
        <v>4460</v>
      </c>
      <c r="I183" s="273" t="s">
        <v>4449</v>
      </c>
      <c r="J183" s="274" t="s">
        <v>15</v>
      </c>
      <c r="K183" s="275" t="s">
        <v>4450</v>
      </c>
      <c r="L183" s="271" t="s">
        <v>1742</v>
      </c>
      <c r="M183" s="274"/>
    </row>
    <row r="184" spans="1:13" ht="22.95" customHeight="1">
      <c r="A184" s="271" t="s">
        <v>4863</v>
      </c>
      <c r="B184" s="271">
        <v>4917</v>
      </c>
      <c r="C184" s="272" t="s">
        <v>558</v>
      </c>
      <c r="D184" s="272" t="str">
        <f t="shared" si="2"/>
        <v>板橋翠華店2</v>
      </c>
      <c r="E184" s="271">
        <v>2</v>
      </c>
      <c r="F184" s="271" t="s">
        <v>4368</v>
      </c>
      <c r="G184" s="272" t="s">
        <v>4864</v>
      </c>
      <c r="H184" s="271" t="s">
        <v>4453</v>
      </c>
      <c r="I184" s="273" t="s">
        <v>4562</v>
      </c>
      <c r="J184" s="274" t="s">
        <v>15</v>
      </c>
      <c r="K184" s="275" t="s">
        <v>4450</v>
      </c>
      <c r="L184" s="271" t="s">
        <v>1742</v>
      </c>
      <c r="M184" s="274"/>
    </row>
    <row r="185" spans="1:13" ht="22.95" customHeight="1">
      <c r="A185" s="271" t="s">
        <v>4865</v>
      </c>
      <c r="B185" s="271">
        <v>2221</v>
      </c>
      <c r="C185" s="272" t="s">
        <v>1434</v>
      </c>
      <c r="D185" s="272" t="str">
        <f t="shared" si="2"/>
        <v>板橋雙十店2</v>
      </c>
      <c r="E185" s="271">
        <v>2</v>
      </c>
      <c r="F185" s="271" t="s">
        <v>4369</v>
      </c>
      <c r="G185" s="272" t="s">
        <v>4866</v>
      </c>
      <c r="H185" s="271" t="s">
        <v>4460</v>
      </c>
      <c r="I185" s="273" t="s">
        <v>4449</v>
      </c>
      <c r="J185" s="274" t="s">
        <v>15</v>
      </c>
      <c r="K185" s="275" t="s">
        <v>4450</v>
      </c>
      <c r="L185" s="271" t="s">
        <v>1742</v>
      </c>
      <c r="M185" s="274"/>
    </row>
    <row r="186" spans="1:13" ht="22.95" customHeight="1">
      <c r="A186" s="271" t="s">
        <v>4867</v>
      </c>
      <c r="B186" s="271">
        <v>3399</v>
      </c>
      <c r="C186" s="272" t="s">
        <v>4046</v>
      </c>
      <c r="D186" s="272" t="str">
        <f t="shared" si="2"/>
        <v>板橋藝文中心1</v>
      </c>
      <c r="E186" s="271">
        <v>1</v>
      </c>
      <c r="F186" s="271" t="s">
        <v>4370</v>
      </c>
      <c r="G186" s="272" t="s">
        <v>4868</v>
      </c>
      <c r="H186" s="271" t="s">
        <v>4453</v>
      </c>
      <c r="I186" s="273" t="s">
        <v>4449</v>
      </c>
      <c r="J186" s="274" t="s">
        <v>15</v>
      </c>
      <c r="K186" s="275" t="s">
        <v>4450</v>
      </c>
      <c r="L186" s="271" t="s">
        <v>1742</v>
      </c>
      <c r="M186" s="274"/>
    </row>
    <row r="187" spans="1:13" ht="22.95" customHeight="1">
      <c r="A187" s="271" t="s">
        <v>4869</v>
      </c>
      <c r="B187" s="271">
        <v>3399</v>
      </c>
      <c r="C187" s="272" t="s">
        <v>4046</v>
      </c>
      <c r="D187" s="272" t="str">
        <f t="shared" si="2"/>
        <v>板橋藝文中心2</v>
      </c>
      <c r="E187" s="271">
        <v>2</v>
      </c>
      <c r="F187" s="271" t="s">
        <v>4371</v>
      </c>
      <c r="G187" s="272" t="s">
        <v>4870</v>
      </c>
      <c r="H187" s="271" t="s">
        <v>4453</v>
      </c>
      <c r="I187" s="273" t="s">
        <v>4449</v>
      </c>
      <c r="J187" s="274" t="s">
        <v>15</v>
      </c>
      <c r="K187" s="275" t="s">
        <v>4450</v>
      </c>
      <c r="L187" s="271" t="s">
        <v>1742</v>
      </c>
      <c r="M187" s="274"/>
    </row>
    <row r="188" spans="1:13" ht="22.95" customHeight="1">
      <c r="A188" s="271" t="s">
        <v>4871</v>
      </c>
      <c r="B188" s="271" t="s">
        <v>34</v>
      </c>
      <c r="C188" s="272" t="s">
        <v>653</v>
      </c>
      <c r="D188" s="272" t="str">
        <f t="shared" si="2"/>
        <v>板橋寶翠店1</v>
      </c>
      <c r="E188" s="271">
        <v>1</v>
      </c>
      <c r="F188" s="271" t="s">
        <v>4152</v>
      </c>
      <c r="G188" s="272" t="s">
        <v>4872</v>
      </c>
      <c r="H188" s="271" t="s">
        <v>4453</v>
      </c>
      <c r="I188" s="273" t="s">
        <v>4449</v>
      </c>
      <c r="J188" s="274" t="s">
        <v>15</v>
      </c>
      <c r="K188" s="275" t="s">
        <v>4450</v>
      </c>
      <c r="L188" s="271" t="s">
        <v>1742</v>
      </c>
      <c r="M188" s="274"/>
    </row>
    <row r="189" spans="1:13" ht="22.95" customHeight="1">
      <c r="A189" s="271" t="s">
        <v>4873</v>
      </c>
      <c r="B189" s="271" t="s">
        <v>34</v>
      </c>
      <c r="C189" s="272" t="s">
        <v>653</v>
      </c>
      <c r="D189" s="272" t="str">
        <f t="shared" si="2"/>
        <v>板橋寶翠店2</v>
      </c>
      <c r="E189" s="271">
        <v>2</v>
      </c>
      <c r="F189" s="271" t="s">
        <v>4153</v>
      </c>
      <c r="G189" s="272" t="s">
        <v>4874</v>
      </c>
      <c r="H189" s="271" t="s">
        <v>4453</v>
      </c>
      <c r="I189" s="273" t="s">
        <v>4449</v>
      </c>
      <c r="J189" s="274" t="s">
        <v>15</v>
      </c>
      <c r="K189" s="275" t="s">
        <v>4450</v>
      </c>
      <c r="L189" s="271" t="s">
        <v>1742</v>
      </c>
      <c r="M189" s="274"/>
    </row>
    <row r="190" spans="1:13" ht="22.95" customHeight="1">
      <c r="A190" s="271" t="s">
        <v>5011</v>
      </c>
      <c r="B190" s="271">
        <v>2069</v>
      </c>
      <c r="C190" s="272" t="s">
        <v>4112</v>
      </c>
      <c r="D190" s="272" t="str">
        <f t="shared" si="2"/>
        <v>板橋江子翠站1</v>
      </c>
      <c r="E190" s="271">
        <v>1</v>
      </c>
      <c r="F190" s="271" t="s">
        <v>4374</v>
      </c>
      <c r="G190" s="272" t="s">
        <v>5012</v>
      </c>
      <c r="H190" s="271" t="s">
        <v>4460</v>
      </c>
      <c r="I190" s="273" t="s">
        <v>4449</v>
      </c>
      <c r="J190" s="274" t="s">
        <v>15</v>
      </c>
      <c r="K190" s="275" t="s">
        <v>4450</v>
      </c>
      <c r="L190" s="271">
        <v>0</v>
      </c>
      <c r="M190" s="274"/>
    </row>
    <row r="191" spans="1:13" ht="22.95" customHeight="1">
      <c r="A191" s="271" t="s">
        <v>5013</v>
      </c>
      <c r="B191" s="271">
        <v>2069</v>
      </c>
      <c r="C191" s="272" t="s">
        <v>4112</v>
      </c>
      <c r="D191" s="272" t="str">
        <f t="shared" si="2"/>
        <v>板橋江子翠站2</v>
      </c>
      <c r="E191" s="271">
        <v>2</v>
      </c>
      <c r="F191" s="271" t="s">
        <v>4375</v>
      </c>
      <c r="G191" s="272" t="s">
        <v>5014</v>
      </c>
      <c r="H191" s="271" t="s">
        <v>4453</v>
      </c>
      <c r="I191" s="273" t="s">
        <v>4465</v>
      </c>
      <c r="J191" s="274" t="s">
        <v>15</v>
      </c>
      <c r="K191" s="275" t="s">
        <v>4450</v>
      </c>
      <c r="L191" s="271">
        <v>0</v>
      </c>
      <c r="M191" s="274"/>
    </row>
    <row r="192" spans="1:13" ht="22.95" customHeight="1">
      <c r="A192" s="271" t="s">
        <v>4463</v>
      </c>
      <c r="B192" s="271">
        <v>3243</v>
      </c>
      <c r="C192" s="272" t="s">
        <v>170</v>
      </c>
      <c r="D192" s="272" t="str">
        <f t="shared" si="2"/>
        <v>北縣醒吾店1</v>
      </c>
      <c r="E192" s="271">
        <v>1</v>
      </c>
      <c r="F192" s="271" t="s">
        <v>4402</v>
      </c>
      <c r="G192" s="272" t="s">
        <v>4464</v>
      </c>
      <c r="H192" s="271" t="s">
        <v>4460</v>
      </c>
      <c r="I192" s="273" t="s">
        <v>4465</v>
      </c>
      <c r="J192" s="274" t="s">
        <v>8</v>
      </c>
      <c r="K192" s="275" t="s">
        <v>4450</v>
      </c>
      <c r="L192" s="271" t="s">
        <v>4039</v>
      </c>
      <c r="M192" s="274"/>
    </row>
    <row r="193" spans="1:13" ht="22.95" customHeight="1">
      <c r="A193" s="271" t="s">
        <v>4466</v>
      </c>
      <c r="B193" s="271">
        <v>3243</v>
      </c>
      <c r="C193" s="272" t="s">
        <v>170</v>
      </c>
      <c r="D193" s="272" t="str">
        <f t="shared" si="2"/>
        <v>北縣醒吾店2</v>
      </c>
      <c r="E193" s="271">
        <v>2</v>
      </c>
      <c r="F193" s="271" t="s">
        <v>4403</v>
      </c>
      <c r="G193" s="272" t="s">
        <v>4467</v>
      </c>
      <c r="H193" s="271" t="s">
        <v>4453</v>
      </c>
      <c r="I193" s="273" t="s">
        <v>4449</v>
      </c>
      <c r="J193" s="274" t="s">
        <v>8</v>
      </c>
      <c r="K193" s="275" t="s">
        <v>4450</v>
      </c>
      <c r="L193" s="271" t="s">
        <v>4039</v>
      </c>
      <c r="M193" s="274"/>
    </row>
    <row r="194" spans="1:13" ht="22.95" customHeight="1">
      <c r="A194" s="271" t="s">
        <v>4875</v>
      </c>
      <c r="B194" s="271">
        <v>4834</v>
      </c>
      <c r="C194" s="272" t="s">
        <v>536</v>
      </c>
      <c r="D194" s="272" t="str">
        <f t="shared" ref="D194:D257" si="3">C194&amp;E194</f>
        <v>林口大千苑店1</v>
      </c>
      <c r="E194" s="271">
        <v>1</v>
      </c>
      <c r="F194" s="271" t="s">
        <v>4398</v>
      </c>
      <c r="G194" s="272" t="s">
        <v>4876</v>
      </c>
      <c r="H194" s="271" t="s">
        <v>4460</v>
      </c>
      <c r="I194" s="273" t="s">
        <v>4449</v>
      </c>
      <c r="J194" s="274" t="s">
        <v>8</v>
      </c>
      <c r="K194" s="275" t="s">
        <v>4450</v>
      </c>
      <c r="L194" s="271" t="s">
        <v>1742</v>
      </c>
      <c r="M194" s="274"/>
    </row>
    <row r="195" spans="1:13" ht="22.95" customHeight="1">
      <c r="A195" s="271" t="s">
        <v>4877</v>
      </c>
      <c r="B195" s="271">
        <v>4326</v>
      </c>
      <c r="C195" s="272" t="s">
        <v>365</v>
      </c>
      <c r="D195" s="272" t="str">
        <f t="shared" si="3"/>
        <v>林口建安店1</v>
      </c>
      <c r="E195" s="271">
        <v>1</v>
      </c>
      <c r="F195" s="271" t="s">
        <v>4394</v>
      </c>
      <c r="G195" s="272" t="s">
        <v>4878</v>
      </c>
      <c r="H195" s="271" t="s">
        <v>4453</v>
      </c>
      <c r="I195" s="273" t="s">
        <v>4449</v>
      </c>
      <c r="J195" s="274" t="s">
        <v>8</v>
      </c>
      <c r="K195" s="275" t="s">
        <v>4450</v>
      </c>
      <c r="L195" s="271" t="s">
        <v>1742</v>
      </c>
      <c r="M195" s="274"/>
    </row>
    <row r="196" spans="1:13" ht="22.95" customHeight="1">
      <c r="A196" s="271" t="s">
        <v>4879</v>
      </c>
      <c r="B196" s="271">
        <v>4326</v>
      </c>
      <c r="C196" s="272" t="s">
        <v>365</v>
      </c>
      <c r="D196" s="272" t="str">
        <f t="shared" si="3"/>
        <v>林口建安店2</v>
      </c>
      <c r="E196" s="271">
        <v>2</v>
      </c>
      <c r="F196" s="271" t="s">
        <v>4395</v>
      </c>
      <c r="G196" s="272" t="s">
        <v>4880</v>
      </c>
      <c r="H196" s="271" t="s">
        <v>4453</v>
      </c>
      <c r="I196" s="273" t="s">
        <v>4449</v>
      </c>
      <c r="J196" s="274" t="s">
        <v>8</v>
      </c>
      <c r="K196" s="275" t="s">
        <v>4450</v>
      </c>
      <c r="L196" s="271" t="s">
        <v>1742</v>
      </c>
      <c r="M196" s="274"/>
    </row>
    <row r="197" spans="1:13" ht="22.95" customHeight="1">
      <c r="A197" s="271" t="s">
        <v>4881</v>
      </c>
      <c r="B197" s="271">
        <v>4057</v>
      </c>
      <c r="C197" s="272" t="s">
        <v>299</v>
      </c>
      <c r="D197" s="272" t="str">
        <f t="shared" si="3"/>
        <v>林口香澄店1</v>
      </c>
      <c r="E197" s="271">
        <v>1</v>
      </c>
      <c r="F197" s="271" t="s">
        <v>4232</v>
      </c>
      <c r="G197" s="272" t="s">
        <v>4882</v>
      </c>
      <c r="H197" s="271" t="s">
        <v>4453</v>
      </c>
      <c r="I197" s="273" t="s">
        <v>4449</v>
      </c>
      <c r="J197" s="274" t="s">
        <v>8</v>
      </c>
      <c r="K197" s="275" t="s">
        <v>4450</v>
      </c>
      <c r="L197" s="271" t="s">
        <v>1742</v>
      </c>
      <c r="M197" s="274"/>
    </row>
    <row r="198" spans="1:13" ht="22.95" customHeight="1">
      <c r="A198" s="271" t="s">
        <v>4883</v>
      </c>
      <c r="B198" s="271">
        <v>4057</v>
      </c>
      <c r="C198" s="272" t="s">
        <v>299</v>
      </c>
      <c r="D198" s="272" t="str">
        <f t="shared" si="3"/>
        <v>林口香澄店2</v>
      </c>
      <c r="E198" s="271">
        <v>2</v>
      </c>
      <c r="F198" s="271" t="s">
        <v>4233</v>
      </c>
      <c r="G198" s="272" t="s">
        <v>4884</v>
      </c>
      <c r="H198" s="271" t="s">
        <v>4453</v>
      </c>
      <c r="I198" s="273" t="s">
        <v>4449</v>
      </c>
      <c r="J198" s="274" t="s">
        <v>8</v>
      </c>
      <c r="K198" s="275" t="s">
        <v>4450</v>
      </c>
      <c r="L198" s="271" t="s">
        <v>1742</v>
      </c>
      <c r="M198" s="274"/>
    </row>
    <row r="199" spans="1:13" ht="22.95" customHeight="1">
      <c r="A199" s="271" t="s">
        <v>4885</v>
      </c>
      <c r="B199" s="271">
        <v>4715</v>
      </c>
      <c r="C199" s="272" t="s">
        <v>491</v>
      </c>
      <c r="D199" s="272" t="str">
        <f t="shared" si="3"/>
        <v>林口捷韻店1</v>
      </c>
      <c r="E199" s="271">
        <v>1</v>
      </c>
      <c r="F199" s="271" t="s">
        <v>4396</v>
      </c>
      <c r="G199" s="272" t="s">
        <v>4886</v>
      </c>
      <c r="H199" s="271" t="s">
        <v>4453</v>
      </c>
      <c r="I199" s="273" t="s">
        <v>4449</v>
      </c>
      <c r="J199" s="274" t="s">
        <v>8</v>
      </c>
      <c r="K199" s="275" t="s">
        <v>4450</v>
      </c>
      <c r="L199" s="271" t="s">
        <v>1742</v>
      </c>
      <c r="M199" s="274"/>
    </row>
    <row r="200" spans="1:13" ht="22.95" customHeight="1">
      <c r="A200" s="271" t="s">
        <v>4887</v>
      </c>
      <c r="B200" s="271">
        <v>4715</v>
      </c>
      <c r="C200" s="272" t="s">
        <v>491</v>
      </c>
      <c r="D200" s="272" t="str">
        <f t="shared" si="3"/>
        <v>林口捷韻店2</v>
      </c>
      <c r="E200" s="271">
        <v>2</v>
      </c>
      <c r="F200" s="271" t="s">
        <v>4397</v>
      </c>
      <c r="G200" s="272" t="s">
        <v>4888</v>
      </c>
      <c r="H200" s="271" t="s">
        <v>4453</v>
      </c>
      <c r="I200" s="273" t="s">
        <v>4449</v>
      </c>
      <c r="J200" s="274" t="s">
        <v>8</v>
      </c>
      <c r="K200" s="275" t="s">
        <v>4450</v>
      </c>
      <c r="L200" s="271" t="s">
        <v>1742</v>
      </c>
      <c r="M200" s="274"/>
    </row>
    <row r="201" spans="1:13" ht="22.95" customHeight="1">
      <c r="A201" s="271" t="s">
        <v>4889</v>
      </c>
      <c r="B201" s="271">
        <v>3878</v>
      </c>
      <c r="C201" s="272" t="s">
        <v>250</v>
      </c>
      <c r="D201" s="272" t="str">
        <f t="shared" si="3"/>
        <v>林口清梅店1</v>
      </c>
      <c r="E201" s="271">
        <v>1</v>
      </c>
      <c r="F201" s="271" t="s">
        <v>4255</v>
      </c>
      <c r="G201" s="272" t="s">
        <v>4890</v>
      </c>
      <c r="H201" s="271" t="s">
        <v>4453</v>
      </c>
      <c r="I201" s="273" t="s">
        <v>4449</v>
      </c>
      <c r="J201" s="274" t="s">
        <v>8</v>
      </c>
      <c r="K201" s="275" t="s">
        <v>4450</v>
      </c>
      <c r="L201" s="271" t="s">
        <v>1742</v>
      </c>
      <c r="M201" s="274"/>
    </row>
    <row r="202" spans="1:13" ht="22.95" customHeight="1">
      <c r="A202" s="271" t="s">
        <v>4891</v>
      </c>
      <c r="B202" s="271">
        <v>4483</v>
      </c>
      <c r="C202" s="272" t="s">
        <v>407</v>
      </c>
      <c r="D202" s="272" t="str">
        <f t="shared" si="3"/>
        <v>林口築夢店1</v>
      </c>
      <c r="E202" s="271">
        <v>1</v>
      </c>
      <c r="F202" s="271" t="s">
        <v>4401</v>
      </c>
      <c r="G202" s="272" t="s">
        <v>4892</v>
      </c>
      <c r="H202" s="271" t="s">
        <v>4460</v>
      </c>
      <c r="I202" s="273" t="s">
        <v>4449</v>
      </c>
      <c r="J202" s="274" t="s">
        <v>8</v>
      </c>
      <c r="K202" s="275" t="s">
        <v>4450</v>
      </c>
      <c r="L202" s="271" t="s">
        <v>1742</v>
      </c>
      <c r="M202" s="274"/>
    </row>
    <row r="203" spans="1:13" ht="22.95" customHeight="1">
      <c r="A203" s="271" t="s">
        <v>4893</v>
      </c>
      <c r="B203" s="271">
        <v>4154</v>
      </c>
      <c r="C203" s="272" t="s">
        <v>315</v>
      </c>
      <c r="D203" s="272" t="str">
        <f t="shared" si="3"/>
        <v>林口麗園店1</v>
      </c>
      <c r="E203" s="271">
        <v>1</v>
      </c>
      <c r="F203" s="271" t="s">
        <v>4399</v>
      </c>
      <c r="G203" s="272" t="s">
        <v>4894</v>
      </c>
      <c r="H203" s="271" t="s">
        <v>4448</v>
      </c>
      <c r="I203" s="273" t="s">
        <v>4449</v>
      </c>
      <c r="J203" s="274" t="s">
        <v>8</v>
      </c>
      <c r="K203" s="275" t="s">
        <v>4450</v>
      </c>
      <c r="L203" s="271" t="s">
        <v>1742</v>
      </c>
      <c r="M203" s="274"/>
    </row>
    <row r="204" spans="1:13" ht="22.95" customHeight="1">
      <c r="A204" s="271" t="s">
        <v>4895</v>
      </c>
      <c r="B204" s="271">
        <v>4154</v>
      </c>
      <c r="C204" s="272" t="s">
        <v>315</v>
      </c>
      <c r="D204" s="272" t="str">
        <f t="shared" si="3"/>
        <v>林口麗園店2</v>
      </c>
      <c r="E204" s="271">
        <v>2</v>
      </c>
      <c r="F204" s="271" t="s">
        <v>4400</v>
      </c>
      <c r="G204" s="272" t="s">
        <v>4896</v>
      </c>
      <c r="H204" s="271" t="s">
        <v>4460</v>
      </c>
      <c r="I204" s="273" t="s">
        <v>4449</v>
      </c>
      <c r="J204" s="274" t="s">
        <v>8</v>
      </c>
      <c r="K204" s="275" t="s">
        <v>4450</v>
      </c>
      <c r="L204" s="271" t="s">
        <v>1742</v>
      </c>
      <c r="M204" s="274"/>
    </row>
    <row r="205" spans="1:13" ht="22.95" customHeight="1">
      <c r="A205" s="271" t="s">
        <v>4753</v>
      </c>
      <c r="B205" s="271">
        <v>2267</v>
      </c>
      <c r="C205" s="272" t="s">
        <v>79</v>
      </c>
      <c r="D205" s="272" t="str">
        <f t="shared" si="3"/>
        <v>北縣金陽店1</v>
      </c>
      <c r="E205" s="271">
        <v>1</v>
      </c>
      <c r="F205" s="271" t="s">
        <v>4234</v>
      </c>
      <c r="G205" s="272" t="s">
        <v>4754</v>
      </c>
      <c r="H205" s="271" t="s">
        <v>4460</v>
      </c>
      <c r="I205" s="273" t="s">
        <v>4449</v>
      </c>
      <c r="J205" s="274" t="s">
        <v>7</v>
      </c>
      <c r="K205" s="275" t="s">
        <v>4450</v>
      </c>
      <c r="L205" s="271" t="s">
        <v>1742</v>
      </c>
      <c r="M205" s="274"/>
    </row>
    <row r="206" spans="1:13" ht="22.95" customHeight="1">
      <c r="A206" s="271" t="s">
        <v>4755</v>
      </c>
      <c r="B206" s="271">
        <v>2267</v>
      </c>
      <c r="C206" s="272" t="s">
        <v>79</v>
      </c>
      <c r="D206" s="272" t="str">
        <f t="shared" si="3"/>
        <v>北縣金陽店2</v>
      </c>
      <c r="E206" s="271">
        <v>2</v>
      </c>
      <c r="F206" s="271" t="s">
        <v>4235</v>
      </c>
      <c r="G206" s="272" t="s">
        <v>4756</v>
      </c>
      <c r="H206" s="271" t="s">
        <v>4460</v>
      </c>
      <c r="I206" s="273" t="s">
        <v>4449</v>
      </c>
      <c r="J206" s="274" t="s">
        <v>7</v>
      </c>
      <c r="K206" s="275" t="s">
        <v>4450</v>
      </c>
      <c r="L206" s="271" t="s">
        <v>1742</v>
      </c>
      <c r="M206" s="274"/>
    </row>
    <row r="207" spans="1:13" ht="22.95" customHeight="1">
      <c r="A207" s="271" t="s">
        <v>4776</v>
      </c>
      <c r="B207" s="271">
        <v>3606</v>
      </c>
      <c r="C207" s="272" t="s">
        <v>205</v>
      </c>
      <c r="D207" s="272" t="str">
        <f t="shared" si="3"/>
        <v>北縣泰富店1</v>
      </c>
      <c r="E207" s="271">
        <v>1</v>
      </c>
      <c r="F207" s="271" t="s">
        <v>4230</v>
      </c>
      <c r="G207" s="272" t="s">
        <v>4777</v>
      </c>
      <c r="H207" s="271" t="s">
        <v>4453</v>
      </c>
      <c r="I207" s="273" t="s">
        <v>4449</v>
      </c>
      <c r="J207" s="274" t="s">
        <v>14</v>
      </c>
      <c r="K207" s="275" t="s">
        <v>4450</v>
      </c>
      <c r="L207" s="271" t="s">
        <v>1742</v>
      </c>
      <c r="M207" s="274"/>
    </row>
    <row r="208" spans="1:13" ht="22.95" customHeight="1">
      <c r="A208" s="271" t="s">
        <v>4778</v>
      </c>
      <c r="B208" s="271">
        <v>3606</v>
      </c>
      <c r="C208" s="272" t="s">
        <v>205</v>
      </c>
      <c r="D208" s="272" t="str">
        <f t="shared" si="3"/>
        <v>北縣泰富店2</v>
      </c>
      <c r="E208" s="271">
        <v>2</v>
      </c>
      <c r="F208" s="271" t="s">
        <v>4231</v>
      </c>
      <c r="G208" s="272" t="s">
        <v>4779</v>
      </c>
      <c r="H208" s="271" t="s">
        <v>4453</v>
      </c>
      <c r="I208" s="273" t="s">
        <v>4449</v>
      </c>
      <c r="J208" s="274" t="s">
        <v>14</v>
      </c>
      <c r="K208" s="275" t="s">
        <v>4450</v>
      </c>
      <c r="L208" s="271" t="s">
        <v>1742</v>
      </c>
      <c r="M208" s="274"/>
    </row>
    <row r="209" spans="1:13" ht="22.95" customHeight="1">
      <c r="A209" s="271" t="s">
        <v>4897</v>
      </c>
      <c r="B209" s="271">
        <v>4656</v>
      </c>
      <c r="C209" s="272" t="s">
        <v>473</v>
      </c>
      <c r="D209" s="272" t="str">
        <f t="shared" si="3"/>
        <v>泰山新民店1</v>
      </c>
      <c r="E209" s="271">
        <v>1</v>
      </c>
      <c r="F209" s="271" t="s">
        <v>4228</v>
      </c>
      <c r="G209" s="272" t="s">
        <v>4898</v>
      </c>
      <c r="H209" s="271" t="s">
        <v>4899</v>
      </c>
      <c r="I209" s="273" t="s">
        <v>4465</v>
      </c>
      <c r="J209" s="274" t="s">
        <v>14</v>
      </c>
      <c r="K209" s="275" t="s">
        <v>4450</v>
      </c>
      <c r="L209" s="271" t="s">
        <v>1742</v>
      </c>
      <c r="M209" s="274"/>
    </row>
    <row r="210" spans="1:13" ht="22.95" customHeight="1">
      <c r="A210" s="271" t="s">
        <v>4900</v>
      </c>
      <c r="B210" s="271">
        <v>4656</v>
      </c>
      <c r="C210" s="272" t="s">
        <v>473</v>
      </c>
      <c r="D210" s="272" t="str">
        <f t="shared" si="3"/>
        <v>泰山新民店2</v>
      </c>
      <c r="E210" s="271">
        <v>2</v>
      </c>
      <c r="F210" s="271" t="s">
        <v>4229</v>
      </c>
      <c r="G210" s="272" t="s">
        <v>4901</v>
      </c>
      <c r="H210" s="271" t="s">
        <v>4453</v>
      </c>
      <c r="I210" s="273" t="s">
        <v>4449</v>
      </c>
      <c r="J210" s="274" t="s">
        <v>14</v>
      </c>
      <c r="K210" s="275" t="s">
        <v>4450</v>
      </c>
      <c r="L210" s="271" t="s">
        <v>1742</v>
      </c>
      <c r="M210" s="274"/>
    </row>
    <row r="211" spans="1:13" ht="22.95" customHeight="1">
      <c r="A211" s="271" t="s">
        <v>4472</v>
      </c>
      <c r="B211" s="271">
        <v>3751</v>
      </c>
      <c r="C211" s="272" t="s">
        <v>229</v>
      </c>
      <c r="D211" s="272" t="str">
        <f t="shared" si="3"/>
        <v>淡水真理大1</v>
      </c>
      <c r="E211" s="271">
        <v>1</v>
      </c>
      <c r="F211" s="271" t="s">
        <v>4328</v>
      </c>
      <c r="G211" s="272" t="s">
        <v>4473</v>
      </c>
      <c r="H211" s="271" t="s">
        <v>4453</v>
      </c>
      <c r="I211" s="273" t="s">
        <v>4449</v>
      </c>
      <c r="J211" s="274" t="s">
        <v>6</v>
      </c>
      <c r="K211" s="275" t="s">
        <v>4450</v>
      </c>
      <c r="L211" s="271" t="s">
        <v>4039</v>
      </c>
      <c r="M211" s="274"/>
    </row>
    <row r="212" spans="1:13" ht="22.95" customHeight="1">
      <c r="A212" s="271" t="s">
        <v>4474</v>
      </c>
      <c r="B212" s="271">
        <v>3751</v>
      </c>
      <c r="C212" s="272" t="s">
        <v>229</v>
      </c>
      <c r="D212" s="272" t="str">
        <f t="shared" si="3"/>
        <v>淡水真理大2</v>
      </c>
      <c r="E212" s="271">
        <v>2</v>
      </c>
      <c r="F212" s="271" t="s">
        <v>4329</v>
      </c>
      <c r="G212" s="272" t="s">
        <v>4475</v>
      </c>
      <c r="H212" s="271" t="s">
        <v>4453</v>
      </c>
      <c r="I212" s="273" t="s">
        <v>4449</v>
      </c>
      <c r="J212" s="274" t="s">
        <v>6</v>
      </c>
      <c r="K212" s="275" t="s">
        <v>4450</v>
      </c>
      <c r="L212" s="271" t="s">
        <v>4039</v>
      </c>
      <c r="M212" s="274"/>
    </row>
    <row r="213" spans="1:13" ht="22.95" customHeight="1">
      <c r="A213" s="271" t="s">
        <v>4784</v>
      </c>
      <c r="B213" s="271">
        <v>2318</v>
      </c>
      <c r="C213" s="272" t="s">
        <v>88</v>
      </c>
      <c r="D213" s="272" t="str">
        <f t="shared" si="3"/>
        <v>北縣淡俊店2</v>
      </c>
      <c r="E213" s="271">
        <v>2</v>
      </c>
      <c r="F213" s="271" t="s">
        <v>4274</v>
      </c>
      <c r="G213" s="272" t="s">
        <v>4785</v>
      </c>
      <c r="H213" s="271" t="s">
        <v>4448</v>
      </c>
      <c r="I213" s="273" t="s">
        <v>4449</v>
      </c>
      <c r="J213" s="274" t="s">
        <v>6</v>
      </c>
      <c r="K213" s="275" t="s">
        <v>4450</v>
      </c>
      <c r="L213" s="271" t="s">
        <v>1742</v>
      </c>
      <c r="M213" s="274"/>
    </row>
    <row r="214" spans="1:13" ht="22.95" customHeight="1">
      <c r="A214" s="271" t="s">
        <v>4902</v>
      </c>
      <c r="B214" s="271">
        <v>2897</v>
      </c>
      <c r="C214" s="272" t="s">
        <v>143</v>
      </c>
      <c r="D214" s="272" t="str">
        <f t="shared" si="3"/>
        <v>淡水台電宿舍1</v>
      </c>
      <c r="E214" s="271">
        <v>1</v>
      </c>
      <c r="F214" s="271" t="s">
        <v>4334</v>
      </c>
      <c r="G214" s="272" t="s">
        <v>4903</v>
      </c>
      <c r="H214" s="271" t="s">
        <v>4453</v>
      </c>
      <c r="I214" s="273" t="s">
        <v>4449</v>
      </c>
      <c r="J214" s="274" t="s">
        <v>6</v>
      </c>
      <c r="K214" s="275" t="s">
        <v>4450</v>
      </c>
      <c r="L214" s="271" t="s">
        <v>1742</v>
      </c>
      <c r="M214" s="274"/>
    </row>
    <row r="215" spans="1:13" ht="22.95" customHeight="1">
      <c r="A215" s="271" t="s">
        <v>4904</v>
      </c>
      <c r="B215" s="271">
        <v>2897</v>
      </c>
      <c r="C215" s="272" t="s">
        <v>143</v>
      </c>
      <c r="D215" s="272" t="str">
        <f t="shared" si="3"/>
        <v>淡水台電宿舍2</v>
      </c>
      <c r="E215" s="271">
        <v>2</v>
      </c>
      <c r="F215" s="271" t="s">
        <v>4335</v>
      </c>
      <c r="G215" s="272" t="s">
        <v>4905</v>
      </c>
      <c r="H215" s="271" t="s">
        <v>4453</v>
      </c>
      <c r="I215" s="273" t="s">
        <v>4449</v>
      </c>
      <c r="J215" s="274" t="s">
        <v>6</v>
      </c>
      <c r="K215" s="275" t="s">
        <v>4450</v>
      </c>
      <c r="L215" s="271" t="s">
        <v>1742</v>
      </c>
      <c r="M215" s="274"/>
    </row>
    <row r="216" spans="1:13" ht="22.95" customHeight="1">
      <c r="A216" s="271" t="s">
        <v>4906</v>
      </c>
      <c r="B216" s="271">
        <v>2749</v>
      </c>
      <c r="C216" s="272" t="s">
        <v>128</v>
      </c>
      <c r="D216" s="272" t="str">
        <f t="shared" si="3"/>
        <v>淡水灰瑤子1</v>
      </c>
      <c r="E216" s="271">
        <v>1</v>
      </c>
      <c r="F216" s="271" t="s">
        <v>4249</v>
      </c>
      <c r="G216" s="272" t="s">
        <v>4907</v>
      </c>
      <c r="H216" s="271" t="s">
        <v>4453</v>
      </c>
      <c r="I216" s="273" t="s">
        <v>4449</v>
      </c>
      <c r="J216" s="274" t="s">
        <v>6</v>
      </c>
      <c r="K216" s="275" t="s">
        <v>4450</v>
      </c>
      <c r="L216" s="271" t="s">
        <v>1742</v>
      </c>
      <c r="M216" s="274"/>
    </row>
    <row r="217" spans="1:13" ht="22.95" customHeight="1">
      <c r="A217" s="271" t="s">
        <v>4908</v>
      </c>
      <c r="B217" s="271">
        <v>2749</v>
      </c>
      <c r="C217" s="272" t="s">
        <v>128</v>
      </c>
      <c r="D217" s="272" t="str">
        <f t="shared" si="3"/>
        <v>淡水灰瑤子2</v>
      </c>
      <c r="E217" s="271">
        <v>2</v>
      </c>
      <c r="F217" s="271" t="s">
        <v>4250</v>
      </c>
      <c r="G217" s="272" t="s">
        <v>4909</v>
      </c>
      <c r="H217" s="271" t="s">
        <v>4453</v>
      </c>
      <c r="I217" s="273" t="s">
        <v>4449</v>
      </c>
      <c r="J217" s="274" t="s">
        <v>6</v>
      </c>
      <c r="K217" s="275" t="s">
        <v>4450</v>
      </c>
      <c r="L217" s="271" t="s">
        <v>1742</v>
      </c>
      <c r="M217" s="274"/>
    </row>
    <row r="218" spans="1:13" ht="22.95" customHeight="1">
      <c r="A218" s="271" t="s">
        <v>4910</v>
      </c>
      <c r="B218" s="271" t="s">
        <v>42</v>
      </c>
      <c r="C218" s="272" t="s">
        <v>1478</v>
      </c>
      <c r="D218" s="272" t="str">
        <f t="shared" si="3"/>
        <v>淡水金龍店1</v>
      </c>
      <c r="E218" s="271">
        <v>1</v>
      </c>
      <c r="F218" s="271" t="s">
        <v>4149</v>
      </c>
      <c r="G218" s="272" t="s">
        <v>4911</v>
      </c>
      <c r="H218" s="271" t="s">
        <v>4460</v>
      </c>
      <c r="I218" s="273" t="s">
        <v>4455</v>
      </c>
      <c r="J218" s="274" t="s">
        <v>6</v>
      </c>
      <c r="K218" s="275" t="s">
        <v>4450</v>
      </c>
      <c r="L218" s="271" t="s">
        <v>1742</v>
      </c>
      <c r="M218" s="274"/>
    </row>
    <row r="219" spans="1:13" ht="22.95" customHeight="1">
      <c r="A219" s="271" t="s">
        <v>4912</v>
      </c>
      <c r="B219" s="271" t="s">
        <v>42</v>
      </c>
      <c r="C219" s="272" t="s">
        <v>1478</v>
      </c>
      <c r="D219" s="272" t="str">
        <f t="shared" si="3"/>
        <v>淡水金龍店2</v>
      </c>
      <c r="E219" s="271">
        <v>2</v>
      </c>
      <c r="F219" s="271" t="s">
        <v>4150</v>
      </c>
      <c r="G219" s="272" t="s">
        <v>4913</v>
      </c>
      <c r="H219" s="271" t="s">
        <v>4460</v>
      </c>
      <c r="I219" s="273" t="s">
        <v>4455</v>
      </c>
      <c r="J219" s="274" t="s">
        <v>6</v>
      </c>
      <c r="K219" s="275" t="s">
        <v>4450</v>
      </c>
      <c r="L219" s="271" t="s">
        <v>1742</v>
      </c>
      <c r="M219" s="274"/>
    </row>
    <row r="220" spans="1:13" ht="22.95" customHeight="1">
      <c r="A220" s="271" t="s">
        <v>4914</v>
      </c>
      <c r="B220" s="271">
        <v>4298</v>
      </c>
      <c r="C220" s="272" t="s">
        <v>356</v>
      </c>
      <c r="D220" s="272" t="str">
        <f t="shared" si="3"/>
        <v>淡水後洲店1</v>
      </c>
      <c r="E220" s="271">
        <v>1</v>
      </c>
      <c r="F220" s="271" t="s">
        <v>4338</v>
      </c>
      <c r="G220" s="272" t="s">
        <v>4915</v>
      </c>
      <c r="H220" s="271" t="s">
        <v>4460</v>
      </c>
      <c r="I220" s="273" t="s">
        <v>4449</v>
      </c>
      <c r="J220" s="274" t="s">
        <v>6</v>
      </c>
      <c r="K220" s="275" t="s">
        <v>4450</v>
      </c>
      <c r="L220" s="271" t="s">
        <v>1742</v>
      </c>
      <c r="M220" s="274"/>
    </row>
    <row r="221" spans="1:13" ht="22.95" customHeight="1">
      <c r="A221" s="271" t="s">
        <v>4916</v>
      </c>
      <c r="B221" s="271">
        <v>4298</v>
      </c>
      <c r="C221" s="272" t="s">
        <v>356</v>
      </c>
      <c r="D221" s="272" t="str">
        <f t="shared" si="3"/>
        <v>淡水後洲店2</v>
      </c>
      <c r="E221" s="271">
        <v>2</v>
      </c>
      <c r="F221" s="271" t="s">
        <v>4339</v>
      </c>
      <c r="G221" s="272" t="s">
        <v>4917</v>
      </c>
      <c r="H221" s="271" t="s">
        <v>4460</v>
      </c>
      <c r="I221" s="273" t="s">
        <v>4449</v>
      </c>
      <c r="J221" s="274" t="s">
        <v>6</v>
      </c>
      <c r="K221" s="275" t="s">
        <v>4450</v>
      </c>
      <c r="L221" s="271" t="s">
        <v>1742</v>
      </c>
      <c r="M221" s="274"/>
    </row>
    <row r="222" spans="1:13" ht="22.95" customHeight="1">
      <c r="A222" s="271" t="s">
        <v>4918</v>
      </c>
      <c r="B222" s="271">
        <v>4788</v>
      </c>
      <c r="C222" s="272" t="s">
        <v>522</v>
      </c>
      <c r="D222" s="272" t="str">
        <f t="shared" si="3"/>
        <v>淡水國家店1</v>
      </c>
      <c r="E222" s="271">
        <v>1</v>
      </c>
      <c r="F222" s="271" t="s">
        <v>4336</v>
      </c>
      <c r="G222" s="272" t="s">
        <v>4919</v>
      </c>
      <c r="H222" s="271" t="s">
        <v>4460</v>
      </c>
      <c r="I222" s="273" t="s">
        <v>4449</v>
      </c>
      <c r="J222" s="274" t="s">
        <v>6</v>
      </c>
      <c r="K222" s="275" t="s">
        <v>4450</v>
      </c>
      <c r="L222" s="271" t="s">
        <v>1742</v>
      </c>
      <c r="M222" s="274"/>
    </row>
    <row r="223" spans="1:13" ht="22.95" customHeight="1">
      <c r="A223" s="271" t="s">
        <v>4920</v>
      </c>
      <c r="B223" s="271">
        <v>4788</v>
      </c>
      <c r="C223" s="272" t="s">
        <v>522</v>
      </c>
      <c r="D223" s="272" t="str">
        <f t="shared" si="3"/>
        <v>淡水國家店2</v>
      </c>
      <c r="E223" s="271">
        <v>2</v>
      </c>
      <c r="F223" s="271" t="s">
        <v>4337</v>
      </c>
      <c r="G223" s="272" t="s">
        <v>4921</v>
      </c>
      <c r="H223" s="271" t="s">
        <v>4460</v>
      </c>
      <c r="I223" s="273" t="s">
        <v>4449</v>
      </c>
      <c r="J223" s="274" t="s">
        <v>6</v>
      </c>
      <c r="K223" s="275" t="s">
        <v>4450</v>
      </c>
      <c r="L223" s="271" t="s">
        <v>1742</v>
      </c>
      <c r="M223" s="274"/>
    </row>
    <row r="224" spans="1:13" ht="22.95" customHeight="1">
      <c r="A224" s="271" t="s">
        <v>4922</v>
      </c>
      <c r="B224" s="271">
        <v>4153</v>
      </c>
      <c r="C224" s="272" t="s">
        <v>314</v>
      </c>
      <c r="D224" s="272" t="str">
        <f t="shared" si="3"/>
        <v>淡水莊園店1</v>
      </c>
      <c r="E224" s="271">
        <v>1</v>
      </c>
      <c r="F224" s="271" t="s">
        <v>4331</v>
      </c>
      <c r="G224" s="272" t="s">
        <v>4923</v>
      </c>
      <c r="H224" s="271" t="s">
        <v>4453</v>
      </c>
      <c r="I224" s="273" t="s">
        <v>4455</v>
      </c>
      <c r="J224" s="274" t="s">
        <v>6</v>
      </c>
      <c r="K224" s="275" t="s">
        <v>4450</v>
      </c>
      <c r="L224" s="271" t="s">
        <v>1742</v>
      </c>
      <c r="M224" s="274"/>
    </row>
    <row r="225" spans="1:13" ht="22.95" customHeight="1">
      <c r="A225" s="271" t="s">
        <v>4924</v>
      </c>
      <c r="B225" s="271">
        <v>4153</v>
      </c>
      <c r="C225" s="272" t="s">
        <v>314</v>
      </c>
      <c r="D225" s="272" t="str">
        <f t="shared" si="3"/>
        <v>淡水莊園店2</v>
      </c>
      <c r="E225" s="271">
        <v>2</v>
      </c>
      <c r="F225" s="271" t="s">
        <v>4332</v>
      </c>
      <c r="G225" s="272" t="s">
        <v>4925</v>
      </c>
      <c r="H225" s="271" t="s">
        <v>4453</v>
      </c>
      <c r="I225" s="273" t="s">
        <v>4455</v>
      </c>
      <c r="J225" s="274" t="s">
        <v>6</v>
      </c>
      <c r="K225" s="275" t="s">
        <v>4450</v>
      </c>
      <c r="L225" s="271" t="s">
        <v>1742</v>
      </c>
      <c r="M225" s="274"/>
    </row>
    <row r="226" spans="1:13" ht="22.95" customHeight="1">
      <c r="A226" s="271" t="s">
        <v>4926</v>
      </c>
      <c r="B226" s="271">
        <v>4093</v>
      </c>
      <c r="C226" s="272" t="s">
        <v>1472</v>
      </c>
      <c r="D226" s="272" t="str">
        <f t="shared" si="3"/>
        <v>淡水新市一2</v>
      </c>
      <c r="E226" s="271">
        <v>2</v>
      </c>
      <c r="F226" s="271" t="s">
        <v>4330</v>
      </c>
      <c r="G226" s="272" t="s">
        <v>4927</v>
      </c>
      <c r="H226" s="271" t="s">
        <v>4460</v>
      </c>
      <c r="I226" s="273" t="s">
        <v>4449</v>
      </c>
      <c r="J226" s="274" t="s">
        <v>6</v>
      </c>
      <c r="K226" s="275" t="s">
        <v>4450</v>
      </c>
      <c r="L226" s="271" t="s">
        <v>1742</v>
      </c>
      <c r="M226" s="274"/>
    </row>
    <row r="227" spans="1:13" ht="22.95" customHeight="1">
      <c r="A227" s="271" t="s">
        <v>4928</v>
      </c>
      <c r="B227" s="271">
        <v>4529</v>
      </c>
      <c r="C227" s="272" t="s">
        <v>428</v>
      </c>
      <c r="D227" s="272" t="str">
        <f t="shared" si="3"/>
        <v>淡水新洲店1</v>
      </c>
      <c r="E227" s="271">
        <v>1</v>
      </c>
      <c r="F227" s="271" t="s">
        <v>4247</v>
      </c>
      <c r="G227" s="272" t="s">
        <v>4929</v>
      </c>
      <c r="H227" s="271" t="s">
        <v>4453</v>
      </c>
      <c r="I227" s="273" t="s">
        <v>4455</v>
      </c>
      <c r="J227" s="274" t="s">
        <v>6</v>
      </c>
      <c r="K227" s="275" t="s">
        <v>4450</v>
      </c>
      <c r="L227" s="271" t="s">
        <v>1742</v>
      </c>
      <c r="M227" s="274"/>
    </row>
    <row r="228" spans="1:13" ht="22.95" customHeight="1">
      <c r="A228" s="271" t="s">
        <v>4930</v>
      </c>
      <c r="B228" s="271">
        <v>4529</v>
      </c>
      <c r="C228" s="272" t="s">
        <v>428</v>
      </c>
      <c r="D228" s="272" t="str">
        <f t="shared" si="3"/>
        <v>淡水新洲店2</v>
      </c>
      <c r="E228" s="271">
        <v>2</v>
      </c>
      <c r="F228" s="271" t="s">
        <v>4248</v>
      </c>
      <c r="G228" s="272" t="s">
        <v>4931</v>
      </c>
      <c r="H228" s="271" t="s">
        <v>4453</v>
      </c>
      <c r="I228" s="273" t="s">
        <v>4455</v>
      </c>
      <c r="J228" s="274" t="s">
        <v>6</v>
      </c>
      <c r="K228" s="275" t="s">
        <v>4450</v>
      </c>
      <c r="L228" s="271" t="s">
        <v>1742</v>
      </c>
      <c r="M228" s="274"/>
    </row>
    <row r="229" spans="1:13" ht="22.95" customHeight="1">
      <c r="A229" s="271" t="s">
        <v>4932</v>
      </c>
      <c r="B229" s="271">
        <v>4739</v>
      </c>
      <c r="C229" s="272" t="s">
        <v>502</v>
      </c>
      <c r="D229" s="272" t="str">
        <f t="shared" si="3"/>
        <v>淡水櫻花店2</v>
      </c>
      <c r="E229" s="271">
        <v>2</v>
      </c>
      <c r="F229" s="271" t="s">
        <v>4333</v>
      </c>
      <c r="G229" s="272" t="s">
        <v>4933</v>
      </c>
      <c r="H229" s="271" t="s">
        <v>4460</v>
      </c>
      <c r="I229" s="273" t="s">
        <v>4449</v>
      </c>
      <c r="J229" s="274" t="s">
        <v>6</v>
      </c>
      <c r="K229" s="275" t="s">
        <v>4450</v>
      </c>
      <c r="L229" s="271" t="s">
        <v>1742</v>
      </c>
      <c r="M229" s="274"/>
    </row>
    <row r="230" spans="1:13" ht="22.95" customHeight="1">
      <c r="A230" s="271" t="s">
        <v>4458</v>
      </c>
      <c r="B230" s="271">
        <v>3851</v>
      </c>
      <c r="C230" s="272" t="s">
        <v>244</v>
      </c>
      <c r="D230" s="272" t="str">
        <f t="shared" si="3"/>
        <v>北縣輔園店1</v>
      </c>
      <c r="E230" s="271">
        <v>1</v>
      </c>
      <c r="F230" s="271" t="s">
        <v>4408</v>
      </c>
      <c r="G230" s="272" t="s">
        <v>4459</v>
      </c>
      <c r="H230" s="271" t="s">
        <v>4460</v>
      </c>
      <c r="I230" s="273" t="s">
        <v>4449</v>
      </c>
      <c r="J230" s="274" t="s">
        <v>13</v>
      </c>
      <c r="K230" s="275" t="s">
        <v>4450</v>
      </c>
      <c r="L230" s="271" t="s">
        <v>4039</v>
      </c>
      <c r="M230" s="274"/>
    </row>
    <row r="231" spans="1:13" ht="22.95" customHeight="1">
      <c r="A231" s="271" t="s">
        <v>4461</v>
      </c>
      <c r="B231" s="271">
        <v>3851</v>
      </c>
      <c r="C231" s="272" t="s">
        <v>244</v>
      </c>
      <c r="D231" s="272" t="str">
        <f t="shared" si="3"/>
        <v>北縣輔園店2</v>
      </c>
      <c r="E231" s="271">
        <v>2</v>
      </c>
      <c r="F231" s="271" t="s">
        <v>4409</v>
      </c>
      <c r="G231" s="272" t="s">
        <v>4462</v>
      </c>
      <c r="H231" s="271" t="s">
        <v>4460</v>
      </c>
      <c r="I231" s="273" t="s">
        <v>4449</v>
      </c>
      <c r="J231" s="274" t="s">
        <v>13</v>
      </c>
      <c r="K231" s="275" t="s">
        <v>4450</v>
      </c>
      <c r="L231" s="271" t="s">
        <v>4039</v>
      </c>
      <c r="M231" s="274"/>
    </row>
    <row r="232" spans="1:13" ht="22.95" customHeight="1">
      <c r="A232" s="271" t="s">
        <v>4476</v>
      </c>
      <c r="B232" s="271" t="s">
        <v>48</v>
      </c>
      <c r="C232" s="272" t="s">
        <v>742</v>
      </c>
      <c r="D232" s="272" t="str">
        <f t="shared" si="3"/>
        <v>田倉新樹店1</v>
      </c>
      <c r="E232" s="271">
        <v>1</v>
      </c>
      <c r="F232" s="271" t="s">
        <v>4258</v>
      </c>
      <c r="G232" s="272" t="s">
        <v>4477</v>
      </c>
      <c r="H232" s="271" t="s">
        <v>4460</v>
      </c>
      <c r="I232" s="273" t="s">
        <v>4465</v>
      </c>
      <c r="J232" s="274" t="s">
        <v>13</v>
      </c>
      <c r="K232" s="275" t="s">
        <v>4450</v>
      </c>
      <c r="L232" s="271" t="s">
        <v>1743</v>
      </c>
      <c r="M232" s="274"/>
    </row>
    <row r="233" spans="1:13" ht="22.95" customHeight="1">
      <c r="A233" s="271" t="s">
        <v>4786</v>
      </c>
      <c r="B233" s="271">
        <v>3652</v>
      </c>
      <c r="C233" s="272" t="s">
        <v>215</v>
      </c>
      <c r="D233" s="272" t="str">
        <f t="shared" si="3"/>
        <v>北縣莊民店1</v>
      </c>
      <c r="E233" s="271">
        <v>1</v>
      </c>
      <c r="F233" s="271" t="s">
        <v>4410</v>
      </c>
      <c r="G233" s="272" t="s">
        <v>4787</v>
      </c>
      <c r="H233" s="271" t="s">
        <v>4460</v>
      </c>
      <c r="I233" s="273" t="s">
        <v>4449</v>
      </c>
      <c r="J233" s="274" t="s">
        <v>13</v>
      </c>
      <c r="K233" s="275" t="s">
        <v>4450</v>
      </c>
      <c r="L233" s="271" t="s">
        <v>1742</v>
      </c>
      <c r="M233" s="274"/>
    </row>
    <row r="234" spans="1:13" ht="22.95" customHeight="1">
      <c r="A234" s="271" t="s">
        <v>4788</v>
      </c>
      <c r="B234" s="271">
        <v>3652</v>
      </c>
      <c r="C234" s="272" t="s">
        <v>215</v>
      </c>
      <c r="D234" s="272" t="str">
        <f t="shared" si="3"/>
        <v>北縣莊民店2</v>
      </c>
      <c r="E234" s="271">
        <v>2</v>
      </c>
      <c r="F234" s="271" t="s">
        <v>4411</v>
      </c>
      <c r="G234" s="272" t="s">
        <v>4789</v>
      </c>
      <c r="H234" s="271" t="s">
        <v>4460</v>
      </c>
      <c r="I234" s="273" t="s">
        <v>4449</v>
      </c>
      <c r="J234" s="274" t="s">
        <v>13</v>
      </c>
      <c r="K234" s="275" t="s">
        <v>4450</v>
      </c>
      <c r="L234" s="271" t="s">
        <v>1742</v>
      </c>
      <c r="M234" s="274"/>
    </row>
    <row r="235" spans="1:13" ht="22.95" customHeight="1">
      <c r="A235" s="271" t="s">
        <v>4790</v>
      </c>
      <c r="B235" s="271">
        <v>3052</v>
      </c>
      <c r="C235" s="272" t="s">
        <v>154</v>
      </c>
      <c r="D235" s="272" t="str">
        <f t="shared" si="3"/>
        <v>北縣莊玲店1</v>
      </c>
      <c r="E235" s="271">
        <v>1</v>
      </c>
      <c r="F235" s="271" t="s">
        <v>4155</v>
      </c>
      <c r="G235" s="272" t="s">
        <v>4791</v>
      </c>
      <c r="H235" s="271" t="s">
        <v>4448</v>
      </c>
      <c r="I235" s="273" t="s">
        <v>4449</v>
      </c>
      <c r="J235" s="274" t="s">
        <v>13</v>
      </c>
      <c r="K235" s="275" t="s">
        <v>4450</v>
      </c>
      <c r="L235" s="271" t="s">
        <v>1742</v>
      </c>
      <c r="M235" s="274"/>
    </row>
    <row r="236" spans="1:13" ht="22.95" customHeight="1">
      <c r="A236" s="271" t="s">
        <v>4792</v>
      </c>
      <c r="B236" s="271">
        <v>3052</v>
      </c>
      <c r="C236" s="272" t="s">
        <v>154</v>
      </c>
      <c r="D236" s="272" t="str">
        <f t="shared" si="3"/>
        <v>北縣莊玲店2</v>
      </c>
      <c r="E236" s="271">
        <v>2</v>
      </c>
      <c r="F236" s="271" t="s">
        <v>4156</v>
      </c>
      <c r="G236" s="272" t="s">
        <v>4793</v>
      </c>
      <c r="H236" s="271" t="s">
        <v>4448</v>
      </c>
      <c r="I236" s="273" t="s">
        <v>4449</v>
      </c>
      <c r="J236" s="274" t="s">
        <v>13</v>
      </c>
      <c r="K236" s="275" t="s">
        <v>4450</v>
      </c>
      <c r="L236" s="271" t="s">
        <v>1742</v>
      </c>
      <c r="M236" s="274"/>
    </row>
    <row r="237" spans="1:13" ht="22.95" customHeight="1">
      <c r="A237" s="271" t="s">
        <v>4794</v>
      </c>
      <c r="B237" s="271">
        <v>3380</v>
      </c>
      <c r="C237" s="272" t="s">
        <v>182</v>
      </c>
      <c r="D237" s="272" t="str">
        <f t="shared" si="3"/>
        <v>北縣莊勝店2</v>
      </c>
      <c r="E237" s="271">
        <v>2</v>
      </c>
      <c r="F237" s="271" t="s">
        <v>4157</v>
      </c>
      <c r="G237" s="272" t="s">
        <v>4795</v>
      </c>
      <c r="H237" s="271" t="s">
        <v>4448</v>
      </c>
      <c r="I237" s="273" t="s">
        <v>4449</v>
      </c>
      <c r="J237" s="274" t="s">
        <v>13</v>
      </c>
      <c r="K237" s="275" t="s">
        <v>4450</v>
      </c>
      <c r="L237" s="271" t="s">
        <v>1742</v>
      </c>
      <c r="M237" s="274"/>
    </row>
    <row r="238" spans="1:13" ht="22.95" customHeight="1">
      <c r="A238" s="271" t="s">
        <v>4805</v>
      </c>
      <c r="B238" s="271">
        <v>2109</v>
      </c>
      <c r="C238" s="272" t="s">
        <v>63</v>
      </c>
      <c r="D238" s="272" t="str">
        <f t="shared" si="3"/>
        <v>北縣瓊林南店1</v>
      </c>
      <c r="E238" s="271">
        <v>1</v>
      </c>
      <c r="F238" s="271" t="s">
        <v>4259</v>
      </c>
      <c r="G238" s="272" t="s">
        <v>4806</v>
      </c>
      <c r="H238" s="271" t="s">
        <v>4460</v>
      </c>
      <c r="I238" s="273" t="s">
        <v>4465</v>
      </c>
      <c r="J238" s="274" t="s">
        <v>13</v>
      </c>
      <c r="K238" s="275" t="s">
        <v>4450</v>
      </c>
      <c r="L238" s="271" t="s">
        <v>1742</v>
      </c>
      <c r="M238" s="274"/>
    </row>
    <row r="239" spans="1:13" ht="22.95" customHeight="1">
      <c r="A239" s="271" t="s">
        <v>4807</v>
      </c>
      <c r="B239" s="271">
        <v>2109</v>
      </c>
      <c r="C239" s="272" t="s">
        <v>63</v>
      </c>
      <c r="D239" s="272" t="str">
        <f t="shared" si="3"/>
        <v>北縣瓊林南店2</v>
      </c>
      <c r="E239" s="271">
        <v>2</v>
      </c>
      <c r="F239" s="271" t="s">
        <v>4260</v>
      </c>
      <c r="G239" s="272" t="s">
        <v>4808</v>
      </c>
      <c r="H239" s="271" t="s">
        <v>4460</v>
      </c>
      <c r="I239" s="273" t="s">
        <v>4465</v>
      </c>
      <c r="J239" s="274" t="s">
        <v>13</v>
      </c>
      <c r="K239" s="275" t="s">
        <v>4450</v>
      </c>
      <c r="L239" s="271" t="s">
        <v>1742</v>
      </c>
      <c r="M239" s="274"/>
    </row>
    <row r="240" spans="1:13" ht="22.95" customHeight="1">
      <c r="A240" s="271" t="s">
        <v>4934</v>
      </c>
      <c r="B240" s="271">
        <v>4856</v>
      </c>
      <c r="C240" s="272" t="s">
        <v>545</v>
      </c>
      <c r="D240" s="272" t="str">
        <f t="shared" si="3"/>
        <v>新莊小胖店2</v>
      </c>
      <c r="E240" s="271">
        <v>2</v>
      </c>
      <c r="F240" s="271" t="s">
        <v>4168</v>
      </c>
      <c r="G240" s="272" t="s">
        <v>4935</v>
      </c>
      <c r="H240" s="271" t="s">
        <v>4460</v>
      </c>
      <c r="I240" s="273" t="s">
        <v>4449</v>
      </c>
      <c r="J240" s="274" t="s">
        <v>13</v>
      </c>
      <c r="K240" s="275" t="s">
        <v>4450</v>
      </c>
      <c r="L240" s="271" t="s">
        <v>1742</v>
      </c>
      <c r="M240" s="274"/>
    </row>
    <row r="241" spans="1:13" ht="22.95" customHeight="1">
      <c r="A241" s="271" t="s">
        <v>4936</v>
      </c>
      <c r="B241" s="271">
        <v>4163</v>
      </c>
      <c r="C241" s="272" t="s">
        <v>318</v>
      </c>
      <c r="D241" s="272" t="str">
        <f t="shared" si="3"/>
        <v>新莊中泉店1</v>
      </c>
      <c r="E241" s="271">
        <v>1</v>
      </c>
      <c r="F241" s="271" t="s">
        <v>4196</v>
      </c>
      <c r="G241" s="272" t="s">
        <v>4937</v>
      </c>
      <c r="H241" s="271" t="s">
        <v>4448</v>
      </c>
      <c r="I241" s="273" t="s">
        <v>4449</v>
      </c>
      <c r="J241" s="274" t="s">
        <v>13</v>
      </c>
      <c r="K241" s="275" t="s">
        <v>4450</v>
      </c>
      <c r="L241" s="271" t="s">
        <v>1742</v>
      </c>
      <c r="M241" s="274"/>
    </row>
    <row r="242" spans="1:13" ht="22.95" customHeight="1">
      <c r="A242" s="271" t="s">
        <v>4938</v>
      </c>
      <c r="B242" s="271">
        <v>4163</v>
      </c>
      <c r="C242" s="272" t="s">
        <v>318</v>
      </c>
      <c r="D242" s="272" t="str">
        <f t="shared" si="3"/>
        <v>新莊中泉店2</v>
      </c>
      <c r="E242" s="271">
        <v>2</v>
      </c>
      <c r="F242" s="271" t="s">
        <v>4197</v>
      </c>
      <c r="G242" s="272" t="s">
        <v>4939</v>
      </c>
      <c r="H242" s="271" t="s">
        <v>4448</v>
      </c>
      <c r="I242" s="273" t="s">
        <v>4449</v>
      </c>
      <c r="J242" s="274" t="s">
        <v>13</v>
      </c>
      <c r="K242" s="275" t="s">
        <v>4450</v>
      </c>
      <c r="L242" s="271" t="s">
        <v>1742</v>
      </c>
      <c r="M242" s="274"/>
    </row>
    <row r="243" spans="1:13" ht="22.95" customHeight="1">
      <c r="A243" s="271" t="s">
        <v>4940</v>
      </c>
      <c r="B243" s="271">
        <v>5057</v>
      </c>
      <c r="C243" s="272" t="s">
        <v>579</v>
      </c>
      <c r="D243" s="272" t="str">
        <f t="shared" si="3"/>
        <v>新莊中港店1</v>
      </c>
      <c r="E243" s="271">
        <v>1</v>
      </c>
      <c r="F243" s="271" t="s">
        <v>4412</v>
      </c>
      <c r="G243" s="272" t="s">
        <v>4941</v>
      </c>
      <c r="H243" s="271" t="s">
        <v>4453</v>
      </c>
      <c r="I243" s="273" t="s">
        <v>4465</v>
      </c>
      <c r="J243" s="274" t="s">
        <v>13</v>
      </c>
      <c r="K243" s="275" t="s">
        <v>4450</v>
      </c>
      <c r="L243" s="271" t="s">
        <v>1742</v>
      </c>
      <c r="M243" s="274"/>
    </row>
    <row r="244" spans="1:13" ht="22.95" customHeight="1">
      <c r="A244" s="271" t="s">
        <v>4942</v>
      </c>
      <c r="B244" s="271">
        <v>5057</v>
      </c>
      <c r="C244" s="272" t="s">
        <v>579</v>
      </c>
      <c r="D244" s="272" t="str">
        <f t="shared" si="3"/>
        <v>新莊中港店2</v>
      </c>
      <c r="E244" s="271">
        <v>2</v>
      </c>
      <c r="F244" s="271" t="s">
        <v>4413</v>
      </c>
      <c r="G244" s="272" t="s">
        <v>4943</v>
      </c>
      <c r="H244" s="271" t="s">
        <v>4448</v>
      </c>
      <c r="I244" s="273" t="s">
        <v>4562</v>
      </c>
      <c r="J244" s="274" t="s">
        <v>13</v>
      </c>
      <c r="K244" s="275" t="s">
        <v>4450</v>
      </c>
      <c r="L244" s="271" t="s">
        <v>1742</v>
      </c>
      <c r="M244" s="274"/>
    </row>
    <row r="245" spans="1:13" ht="22.95" customHeight="1">
      <c r="A245" s="271" t="s">
        <v>4944</v>
      </c>
      <c r="B245" s="271">
        <v>2362</v>
      </c>
      <c r="C245" s="272" t="s">
        <v>93</v>
      </c>
      <c r="D245" s="272" t="str">
        <f t="shared" si="3"/>
        <v>新莊化成店1</v>
      </c>
      <c r="E245" s="271">
        <v>1</v>
      </c>
      <c r="F245" s="271" t="s">
        <v>4414</v>
      </c>
      <c r="G245" s="272" t="s">
        <v>4945</v>
      </c>
      <c r="H245" s="271" t="s">
        <v>4448</v>
      </c>
      <c r="I245" s="273" t="s">
        <v>4449</v>
      </c>
      <c r="J245" s="274" t="s">
        <v>13</v>
      </c>
      <c r="K245" s="275" t="s">
        <v>4450</v>
      </c>
      <c r="L245" s="271" t="s">
        <v>1742</v>
      </c>
      <c r="M245" s="274"/>
    </row>
    <row r="246" spans="1:13" ht="22.95" customHeight="1">
      <c r="A246" s="271" t="s">
        <v>4946</v>
      </c>
      <c r="B246" s="271">
        <v>2362</v>
      </c>
      <c r="C246" s="272" t="s">
        <v>93</v>
      </c>
      <c r="D246" s="272" t="str">
        <f t="shared" si="3"/>
        <v>新莊化成店2</v>
      </c>
      <c r="E246" s="271">
        <v>2</v>
      </c>
      <c r="F246" s="271" t="s">
        <v>4415</v>
      </c>
      <c r="G246" s="272" t="s">
        <v>4947</v>
      </c>
      <c r="H246" s="271" t="s">
        <v>4448</v>
      </c>
      <c r="I246" s="273" t="s">
        <v>4449</v>
      </c>
      <c r="J246" s="274" t="s">
        <v>13</v>
      </c>
      <c r="K246" s="275" t="s">
        <v>4450</v>
      </c>
      <c r="L246" s="271" t="s">
        <v>1742</v>
      </c>
      <c r="M246" s="274"/>
    </row>
    <row r="247" spans="1:13" ht="22.95" customHeight="1">
      <c r="A247" s="271" t="s">
        <v>4948</v>
      </c>
      <c r="B247" s="271">
        <v>4025</v>
      </c>
      <c r="C247" s="272" t="s">
        <v>292</v>
      </c>
      <c r="D247" s="272" t="str">
        <f t="shared" si="3"/>
        <v>新莊祐信店1</v>
      </c>
      <c r="E247" s="271">
        <v>1</v>
      </c>
      <c r="F247" s="271" t="s">
        <v>4416</v>
      </c>
      <c r="G247" s="272" t="s">
        <v>4949</v>
      </c>
      <c r="H247" s="271" t="s">
        <v>4460</v>
      </c>
      <c r="I247" s="273" t="s">
        <v>4449</v>
      </c>
      <c r="J247" s="274" t="s">
        <v>13</v>
      </c>
      <c r="K247" s="275" t="s">
        <v>4450</v>
      </c>
      <c r="L247" s="271" t="s">
        <v>1742</v>
      </c>
      <c r="M247" s="274"/>
    </row>
    <row r="248" spans="1:13" ht="22.95" customHeight="1">
      <c r="A248" s="271" t="s">
        <v>4950</v>
      </c>
      <c r="B248" s="271">
        <v>4025</v>
      </c>
      <c r="C248" s="272" t="s">
        <v>292</v>
      </c>
      <c r="D248" s="272" t="str">
        <f t="shared" si="3"/>
        <v>新莊祐信店2</v>
      </c>
      <c r="E248" s="271">
        <v>2</v>
      </c>
      <c r="F248" s="271" t="s">
        <v>4417</v>
      </c>
      <c r="G248" s="272" t="s">
        <v>4951</v>
      </c>
      <c r="H248" s="271" t="s">
        <v>4460</v>
      </c>
      <c r="I248" s="273" t="s">
        <v>4449</v>
      </c>
      <c r="J248" s="274" t="s">
        <v>13</v>
      </c>
      <c r="K248" s="275" t="s">
        <v>4450</v>
      </c>
      <c r="L248" s="271" t="s">
        <v>1742</v>
      </c>
      <c r="M248" s="274"/>
    </row>
    <row r="249" spans="1:13" ht="22.95" customHeight="1">
      <c r="A249" s="271" t="s">
        <v>4952</v>
      </c>
      <c r="B249" s="271">
        <v>4341</v>
      </c>
      <c r="C249" s="272" t="s">
        <v>367</v>
      </c>
      <c r="D249" s="272" t="str">
        <f t="shared" si="3"/>
        <v>新莊莊美店1</v>
      </c>
      <c r="E249" s="271">
        <v>1</v>
      </c>
      <c r="F249" s="271" t="s">
        <v>4405</v>
      </c>
      <c r="G249" s="272" t="s">
        <v>4953</v>
      </c>
      <c r="H249" s="271" t="s">
        <v>4453</v>
      </c>
      <c r="I249" s="273" t="s">
        <v>4449</v>
      </c>
      <c r="J249" s="274" t="s">
        <v>13</v>
      </c>
      <c r="K249" s="275" t="s">
        <v>4450</v>
      </c>
      <c r="L249" s="271" t="s">
        <v>1742</v>
      </c>
      <c r="M249" s="274"/>
    </row>
    <row r="250" spans="1:13" ht="22.95" customHeight="1">
      <c r="A250" s="271" t="s">
        <v>4954</v>
      </c>
      <c r="B250" s="271">
        <v>4341</v>
      </c>
      <c r="C250" s="272" t="s">
        <v>367</v>
      </c>
      <c r="D250" s="272" t="str">
        <f t="shared" si="3"/>
        <v>新莊莊美店2</v>
      </c>
      <c r="E250" s="271">
        <v>2</v>
      </c>
      <c r="F250" s="271" t="s">
        <v>4406</v>
      </c>
      <c r="G250" s="272" t="s">
        <v>4955</v>
      </c>
      <c r="H250" s="271" t="s">
        <v>4453</v>
      </c>
      <c r="I250" s="273" t="s">
        <v>4449</v>
      </c>
      <c r="J250" s="274" t="s">
        <v>13</v>
      </c>
      <c r="K250" s="275" t="s">
        <v>4450</v>
      </c>
      <c r="L250" s="271" t="s">
        <v>1742</v>
      </c>
      <c r="M250" s="274"/>
    </row>
    <row r="251" spans="1:13" ht="22.95" customHeight="1">
      <c r="A251" s="271" t="s">
        <v>4956</v>
      </c>
      <c r="B251" s="271" t="s">
        <v>44</v>
      </c>
      <c r="C251" s="272" t="s">
        <v>640</v>
      </c>
      <c r="D251" s="272" t="str">
        <f t="shared" si="3"/>
        <v>新莊裕民店1</v>
      </c>
      <c r="E251" s="271">
        <v>1</v>
      </c>
      <c r="F251" s="271" t="s">
        <v>4151</v>
      </c>
      <c r="G251" s="272" t="s">
        <v>4957</v>
      </c>
      <c r="H251" s="271" t="s">
        <v>4460</v>
      </c>
      <c r="I251" s="273" t="s">
        <v>4449</v>
      </c>
      <c r="J251" s="274" t="s">
        <v>13</v>
      </c>
      <c r="K251" s="275" t="s">
        <v>4450</v>
      </c>
      <c r="L251" s="271" t="s">
        <v>1742</v>
      </c>
      <c r="M251" s="274"/>
    </row>
    <row r="252" spans="1:13" ht="22.95" customHeight="1">
      <c r="A252" s="271" t="s">
        <v>4958</v>
      </c>
      <c r="B252" s="271">
        <v>4194</v>
      </c>
      <c r="C252" s="272" t="s">
        <v>326</v>
      </c>
      <c r="D252" s="272" t="str">
        <f t="shared" si="3"/>
        <v>新莊鼎苑店1</v>
      </c>
      <c r="E252" s="271">
        <v>1</v>
      </c>
      <c r="F252" s="271" t="s">
        <v>4275</v>
      </c>
      <c r="G252" s="272" t="s">
        <v>4959</v>
      </c>
      <c r="H252" s="271" t="s">
        <v>4460</v>
      </c>
      <c r="I252" s="273" t="s">
        <v>4449</v>
      </c>
      <c r="J252" s="274" t="s">
        <v>13</v>
      </c>
      <c r="K252" s="275" t="s">
        <v>4450</v>
      </c>
      <c r="L252" s="271" t="s">
        <v>1742</v>
      </c>
      <c r="M252" s="274"/>
    </row>
    <row r="253" spans="1:13" ht="22.95" customHeight="1">
      <c r="A253" s="271" t="s">
        <v>4960</v>
      </c>
      <c r="B253" s="271">
        <v>4194</v>
      </c>
      <c r="C253" s="272" t="s">
        <v>326</v>
      </c>
      <c r="D253" s="272" t="str">
        <f t="shared" si="3"/>
        <v>新莊鼎苑店2</v>
      </c>
      <c r="E253" s="271">
        <v>2</v>
      </c>
      <c r="F253" s="271" t="s">
        <v>4276</v>
      </c>
      <c r="G253" s="272" t="s">
        <v>4961</v>
      </c>
      <c r="H253" s="271" t="s">
        <v>4460</v>
      </c>
      <c r="I253" s="273" t="s">
        <v>4449</v>
      </c>
      <c r="J253" s="274" t="s">
        <v>13</v>
      </c>
      <c r="K253" s="275" t="s">
        <v>4450</v>
      </c>
      <c r="L253" s="271" t="s">
        <v>1742</v>
      </c>
      <c r="M253" s="274"/>
    </row>
    <row r="254" spans="1:13" ht="22.95" customHeight="1">
      <c r="A254" s="271" t="s">
        <v>4962</v>
      </c>
      <c r="B254" s="271">
        <v>3999</v>
      </c>
      <c r="C254" s="272" t="s">
        <v>282</v>
      </c>
      <c r="D254" s="272" t="str">
        <f t="shared" si="3"/>
        <v>新莊福祐店2</v>
      </c>
      <c r="E254" s="271">
        <v>2</v>
      </c>
      <c r="F254" s="271" t="s">
        <v>4407</v>
      </c>
      <c r="G254" s="272" t="s">
        <v>4454</v>
      </c>
      <c r="H254" s="271" t="s">
        <v>4460</v>
      </c>
      <c r="I254" s="273" t="s">
        <v>4449</v>
      </c>
      <c r="J254" s="274" t="s">
        <v>13</v>
      </c>
      <c r="K254" s="275" t="s">
        <v>4450</v>
      </c>
      <c r="L254" s="271" t="s">
        <v>1742</v>
      </c>
      <c r="M254" s="274"/>
    </row>
    <row r="255" spans="1:13" ht="22.95" customHeight="1">
      <c r="A255" s="271" t="s">
        <v>4963</v>
      </c>
      <c r="B255" s="271">
        <v>4552</v>
      </c>
      <c r="C255" s="272" t="s">
        <v>434</v>
      </c>
      <c r="D255" s="272" t="str">
        <f t="shared" si="3"/>
        <v>新莊福慧店1</v>
      </c>
      <c r="E255" s="271">
        <v>1</v>
      </c>
      <c r="F255" s="271" t="s">
        <v>4404</v>
      </c>
      <c r="G255" s="272" t="s">
        <v>4964</v>
      </c>
      <c r="H255" s="271" t="s">
        <v>4453</v>
      </c>
      <c r="I255" s="273" t="s">
        <v>4465</v>
      </c>
      <c r="J255" s="274" t="s">
        <v>13</v>
      </c>
      <c r="K255" s="275" t="s">
        <v>4450</v>
      </c>
      <c r="L255" s="271" t="s">
        <v>1742</v>
      </c>
      <c r="M255" s="274"/>
    </row>
    <row r="256" spans="1:13" ht="22.95" customHeight="1">
      <c r="A256" s="271" t="s">
        <v>4965</v>
      </c>
      <c r="B256" s="271" t="s">
        <v>45</v>
      </c>
      <c r="C256" s="272" t="s">
        <v>638</v>
      </c>
      <c r="D256" s="272" t="str">
        <f t="shared" si="3"/>
        <v>新莊福營店1</v>
      </c>
      <c r="E256" s="271">
        <v>1</v>
      </c>
      <c r="F256" s="271" t="s">
        <v>4183</v>
      </c>
      <c r="G256" s="272" t="s">
        <v>4966</v>
      </c>
      <c r="H256" s="271" t="s">
        <v>4460</v>
      </c>
      <c r="I256" s="273" t="s">
        <v>4449</v>
      </c>
      <c r="J256" s="274" t="s">
        <v>13</v>
      </c>
      <c r="K256" s="275" t="s">
        <v>4450</v>
      </c>
      <c r="L256" s="271" t="s">
        <v>1742</v>
      </c>
      <c r="M256" s="274"/>
    </row>
    <row r="257" spans="1:13" ht="22.95" customHeight="1">
      <c r="A257" s="271" t="s">
        <v>4967</v>
      </c>
      <c r="B257" s="271" t="s">
        <v>45</v>
      </c>
      <c r="C257" s="272" t="s">
        <v>638</v>
      </c>
      <c r="D257" s="272" t="str">
        <f t="shared" si="3"/>
        <v>新莊福營店2</v>
      </c>
      <c r="E257" s="271">
        <v>2</v>
      </c>
      <c r="F257" s="271" t="s">
        <v>4184</v>
      </c>
      <c r="G257" s="272" t="s">
        <v>4968</v>
      </c>
      <c r="H257" s="271" t="s">
        <v>4460</v>
      </c>
      <c r="I257" s="273" t="s">
        <v>4449</v>
      </c>
      <c r="J257" s="274" t="s">
        <v>13</v>
      </c>
      <c r="K257" s="275" t="s">
        <v>4450</v>
      </c>
      <c r="L257" s="271" t="s">
        <v>1742</v>
      </c>
      <c r="M257" s="274"/>
    </row>
    <row r="258" spans="1:13" ht="22.95" customHeight="1">
      <c r="A258" s="271" t="s">
        <v>4969</v>
      </c>
      <c r="B258" s="271">
        <v>4228</v>
      </c>
      <c r="C258" s="272" t="s">
        <v>1554</v>
      </c>
      <c r="D258" s="272" t="str">
        <f t="shared" ref="D258:D282" si="4">C258&amp;E258</f>
        <v>新莊頭前公園1</v>
      </c>
      <c r="E258" s="271">
        <v>1</v>
      </c>
      <c r="F258" s="271" t="s">
        <v>4418</v>
      </c>
      <c r="G258" s="272" t="s">
        <v>4970</v>
      </c>
      <c r="H258" s="271" t="s">
        <v>4460</v>
      </c>
      <c r="I258" s="273" t="s">
        <v>4449</v>
      </c>
      <c r="J258" s="274" t="s">
        <v>13</v>
      </c>
      <c r="K258" s="275" t="s">
        <v>4450</v>
      </c>
      <c r="L258" s="271" t="s">
        <v>1742</v>
      </c>
      <c r="M258" s="274"/>
    </row>
    <row r="259" spans="1:13" ht="22.95" customHeight="1">
      <c r="A259" s="271" t="s">
        <v>4971</v>
      </c>
      <c r="B259" s="271">
        <v>4228</v>
      </c>
      <c r="C259" s="272" t="s">
        <v>1554</v>
      </c>
      <c r="D259" s="272" t="str">
        <f t="shared" si="4"/>
        <v>新莊頭前公園2</v>
      </c>
      <c r="E259" s="271">
        <v>2</v>
      </c>
      <c r="F259" s="271" t="s">
        <v>4419</v>
      </c>
      <c r="G259" s="272" t="s">
        <v>4972</v>
      </c>
      <c r="H259" s="271" t="s">
        <v>4460</v>
      </c>
      <c r="I259" s="273" t="s">
        <v>4449</v>
      </c>
      <c r="J259" s="274" t="s">
        <v>13</v>
      </c>
      <c r="K259" s="275" t="s">
        <v>4450</v>
      </c>
      <c r="L259" s="271" t="s">
        <v>1742</v>
      </c>
      <c r="M259" s="274"/>
    </row>
    <row r="260" spans="1:13" ht="22.95" customHeight="1">
      <c r="A260" s="271" t="s">
        <v>4973</v>
      </c>
      <c r="B260" s="271">
        <v>4144</v>
      </c>
      <c r="C260" s="272" t="s">
        <v>312</v>
      </c>
      <c r="D260" s="272" t="str">
        <f t="shared" si="4"/>
        <v>新莊頭前店1</v>
      </c>
      <c r="E260" s="271">
        <v>1</v>
      </c>
      <c r="F260" s="271" t="s">
        <v>4238</v>
      </c>
      <c r="G260" s="272" t="s">
        <v>4974</v>
      </c>
      <c r="H260" s="271" t="s">
        <v>4448</v>
      </c>
      <c r="I260" s="273" t="s">
        <v>4449</v>
      </c>
      <c r="J260" s="274" t="s">
        <v>13</v>
      </c>
      <c r="K260" s="275" t="s">
        <v>4450</v>
      </c>
      <c r="L260" s="271" t="s">
        <v>1742</v>
      </c>
      <c r="M260" s="274"/>
    </row>
    <row r="261" spans="1:13" ht="22.95" customHeight="1">
      <c r="A261" s="271" t="s">
        <v>4975</v>
      </c>
      <c r="B261" s="271">
        <v>4144</v>
      </c>
      <c r="C261" s="272" t="s">
        <v>312</v>
      </c>
      <c r="D261" s="272" t="str">
        <f t="shared" si="4"/>
        <v>新莊頭前店2</v>
      </c>
      <c r="E261" s="271">
        <v>2</v>
      </c>
      <c r="F261" s="271" t="s">
        <v>4239</v>
      </c>
      <c r="G261" s="272" t="s">
        <v>4976</v>
      </c>
      <c r="H261" s="271" t="s">
        <v>4448</v>
      </c>
      <c r="I261" s="273" t="s">
        <v>4449</v>
      </c>
      <c r="J261" s="274" t="s">
        <v>13</v>
      </c>
      <c r="K261" s="275" t="s">
        <v>4450</v>
      </c>
      <c r="L261" s="271" t="s">
        <v>1742</v>
      </c>
      <c r="M261" s="274"/>
    </row>
    <row r="262" spans="1:13" ht="22.95" customHeight="1">
      <c r="A262" s="271" t="s">
        <v>4977</v>
      </c>
      <c r="B262" s="271">
        <v>2743</v>
      </c>
      <c r="C262" s="272" t="s">
        <v>126</v>
      </c>
      <c r="D262" s="272" t="str">
        <f t="shared" si="4"/>
        <v>新莊豐年店2</v>
      </c>
      <c r="E262" s="271">
        <v>2</v>
      </c>
      <c r="F262" s="271" t="s">
        <v>4264</v>
      </c>
      <c r="G262" s="272" t="s">
        <v>4978</v>
      </c>
      <c r="H262" s="271" t="s">
        <v>4448</v>
      </c>
      <c r="I262" s="273" t="s">
        <v>4455</v>
      </c>
      <c r="J262" s="274" t="s">
        <v>13</v>
      </c>
      <c r="K262" s="275" t="s">
        <v>4450</v>
      </c>
      <c r="L262" s="271" t="s">
        <v>1742</v>
      </c>
      <c r="M262" s="274"/>
    </row>
    <row r="263" spans="1:13" ht="22.95" customHeight="1">
      <c r="A263" s="271" t="s">
        <v>4979</v>
      </c>
      <c r="B263" s="271">
        <v>4005</v>
      </c>
      <c r="C263" s="272" t="s">
        <v>284</v>
      </c>
      <c r="D263" s="272" t="str">
        <f t="shared" si="4"/>
        <v>新莊雙鳳店1</v>
      </c>
      <c r="E263" s="271">
        <v>1</v>
      </c>
      <c r="F263" s="271" t="s">
        <v>4226</v>
      </c>
      <c r="G263" s="272" t="s">
        <v>4980</v>
      </c>
      <c r="H263" s="271" t="s">
        <v>4453</v>
      </c>
      <c r="I263" s="273" t="s">
        <v>4449</v>
      </c>
      <c r="J263" s="274" t="s">
        <v>13</v>
      </c>
      <c r="K263" s="275" t="s">
        <v>4450</v>
      </c>
      <c r="L263" s="271" t="s">
        <v>1742</v>
      </c>
      <c r="M263" s="274"/>
    </row>
    <row r="264" spans="1:13" ht="22.95" customHeight="1">
      <c r="A264" s="271" t="s">
        <v>4981</v>
      </c>
      <c r="B264" s="271">
        <v>4005</v>
      </c>
      <c r="C264" s="272" t="s">
        <v>284</v>
      </c>
      <c r="D264" s="272" t="str">
        <f t="shared" si="4"/>
        <v>新莊雙鳳店2</v>
      </c>
      <c r="E264" s="271">
        <v>2</v>
      </c>
      <c r="F264" s="271" t="s">
        <v>4227</v>
      </c>
      <c r="G264" s="272" t="s">
        <v>4982</v>
      </c>
      <c r="H264" s="271" t="s">
        <v>4460</v>
      </c>
      <c r="I264" s="273" t="s">
        <v>4449</v>
      </c>
      <c r="J264" s="274" t="s">
        <v>13</v>
      </c>
      <c r="K264" s="275" t="s">
        <v>4450</v>
      </c>
      <c r="L264" s="271" t="s">
        <v>1742</v>
      </c>
      <c r="M264" s="274"/>
    </row>
    <row r="265" spans="1:13" ht="22.95" customHeight="1">
      <c r="A265" s="271" t="s">
        <v>4809</v>
      </c>
      <c r="B265" s="271">
        <v>2958</v>
      </c>
      <c r="C265" s="272" t="s">
        <v>148</v>
      </c>
      <c r="D265" s="272" t="str">
        <f t="shared" si="4"/>
        <v>北縣蘆旺店1</v>
      </c>
      <c r="E265" s="271">
        <v>1</v>
      </c>
      <c r="F265" s="271" t="s">
        <v>4343</v>
      </c>
      <c r="G265" s="272" t="s">
        <v>4810</v>
      </c>
      <c r="H265" s="271" t="s">
        <v>4448</v>
      </c>
      <c r="I265" s="273" t="s">
        <v>4449</v>
      </c>
      <c r="J265" s="274" t="s">
        <v>11</v>
      </c>
      <c r="K265" s="275" t="s">
        <v>4450</v>
      </c>
      <c r="L265" s="271" t="s">
        <v>1742</v>
      </c>
      <c r="M265" s="274"/>
    </row>
    <row r="266" spans="1:13" ht="22.95" customHeight="1">
      <c r="A266" s="271" t="s">
        <v>4811</v>
      </c>
      <c r="B266" s="271">
        <v>2958</v>
      </c>
      <c r="C266" s="272" t="s">
        <v>148</v>
      </c>
      <c r="D266" s="272" t="str">
        <f t="shared" si="4"/>
        <v>北縣蘆旺店2</v>
      </c>
      <c r="E266" s="271">
        <v>2</v>
      </c>
      <c r="F266" s="271" t="s">
        <v>4344</v>
      </c>
      <c r="G266" s="272" t="s">
        <v>4812</v>
      </c>
      <c r="H266" s="271" t="s">
        <v>4448</v>
      </c>
      <c r="I266" s="273" t="s">
        <v>4449</v>
      </c>
      <c r="J266" s="274" t="s">
        <v>11</v>
      </c>
      <c r="K266" s="275" t="s">
        <v>4450</v>
      </c>
      <c r="L266" s="271" t="s">
        <v>1742</v>
      </c>
      <c r="M266" s="274"/>
    </row>
    <row r="267" spans="1:13" ht="22.95" customHeight="1">
      <c r="A267" s="271" t="s">
        <v>4813</v>
      </c>
      <c r="B267" s="271">
        <v>3452</v>
      </c>
      <c r="C267" s="272" t="s">
        <v>188</v>
      </c>
      <c r="D267" s="272" t="str">
        <f t="shared" si="4"/>
        <v>北縣蘆信店1</v>
      </c>
      <c r="E267" s="271">
        <v>1</v>
      </c>
      <c r="F267" s="271" t="s">
        <v>4340</v>
      </c>
      <c r="G267" s="272" t="s">
        <v>4814</v>
      </c>
      <c r="H267" s="271" t="s">
        <v>4448</v>
      </c>
      <c r="I267" s="273" t="s">
        <v>4449</v>
      </c>
      <c r="J267" s="274" t="s">
        <v>11</v>
      </c>
      <c r="K267" s="275" t="s">
        <v>4450</v>
      </c>
      <c r="L267" s="271" t="s">
        <v>1742</v>
      </c>
      <c r="M267" s="274"/>
    </row>
    <row r="268" spans="1:13" ht="22.95" customHeight="1">
      <c r="A268" s="271" t="s">
        <v>4815</v>
      </c>
      <c r="B268" s="271">
        <v>3452</v>
      </c>
      <c r="C268" s="272" t="s">
        <v>188</v>
      </c>
      <c r="D268" s="272" t="str">
        <f t="shared" si="4"/>
        <v>北縣蘆信店2</v>
      </c>
      <c r="E268" s="271">
        <v>2</v>
      </c>
      <c r="F268" s="271" t="s">
        <v>4341</v>
      </c>
      <c r="G268" s="272" t="s">
        <v>4816</v>
      </c>
      <c r="H268" s="271" t="s">
        <v>4448</v>
      </c>
      <c r="I268" s="273" t="s">
        <v>4449</v>
      </c>
      <c r="J268" s="274" t="s">
        <v>11</v>
      </c>
      <c r="K268" s="275" t="s">
        <v>4450</v>
      </c>
      <c r="L268" s="271" t="s">
        <v>1742</v>
      </c>
      <c r="M268" s="274"/>
    </row>
    <row r="269" spans="1:13" ht="22.95" customHeight="1">
      <c r="A269" s="271" t="s">
        <v>4983</v>
      </c>
      <c r="B269" s="271">
        <v>3929</v>
      </c>
      <c r="C269" s="272" t="s">
        <v>1524</v>
      </c>
      <c r="D269" s="272" t="str">
        <f t="shared" si="4"/>
        <v>蘆洲中山一1</v>
      </c>
      <c r="E269" s="271">
        <v>1</v>
      </c>
      <c r="F269" s="271" t="s">
        <v>4342</v>
      </c>
      <c r="G269" s="272" t="s">
        <v>4984</v>
      </c>
      <c r="H269" s="271" t="s">
        <v>4460</v>
      </c>
      <c r="I269" s="273" t="s">
        <v>4449</v>
      </c>
      <c r="J269" s="274" t="s">
        <v>11</v>
      </c>
      <c r="K269" s="275" t="s">
        <v>4450</v>
      </c>
      <c r="L269" s="271" t="s">
        <v>1742</v>
      </c>
      <c r="M269" s="274"/>
    </row>
    <row r="270" spans="1:13" ht="22.95" customHeight="1">
      <c r="A270" s="271" t="s">
        <v>4985</v>
      </c>
      <c r="B270" s="271">
        <v>4923</v>
      </c>
      <c r="C270" s="272" t="s">
        <v>559</v>
      </c>
      <c r="D270" s="272" t="str">
        <f t="shared" si="4"/>
        <v>蘆洲永平店2</v>
      </c>
      <c r="E270" s="271">
        <v>2</v>
      </c>
      <c r="F270" s="271" t="s">
        <v>4347</v>
      </c>
      <c r="G270" s="272" t="s">
        <v>4986</v>
      </c>
      <c r="H270" s="271" t="s">
        <v>4453</v>
      </c>
      <c r="I270" s="273" t="s">
        <v>4465</v>
      </c>
      <c r="J270" s="274" t="s">
        <v>11</v>
      </c>
      <c r="K270" s="275" t="s">
        <v>4450</v>
      </c>
      <c r="L270" s="271" t="s">
        <v>1742</v>
      </c>
      <c r="M270" s="274"/>
    </row>
    <row r="271" spans="1:13" ht="22.95" customHeight="1">
      <c r="A271" s="271" t="s">
        <v>4987</v>
      </c>
      <c r="B271" s="271">
        <v>4036</v>
      </c>
      <c r="C271" s="272" t="s">
        <v>1526</v>
      </c>
      <c r="D271" s="272" t="str">
        <f t="shared" si="4"/>
        <v>蘆洲永樂店1</v>
      </c>
      <c r="E271" s="271">
        <v>1</v>
      </c>
      <c r="F271" s="271" t="s">
        <v>4154</v>
      </c>
      <c r="G271" s="272" t="s">
        <v>4988</v>
      </c>
      <c r="H271" s="271" t="s">
        <v>4460</v>
      </c>
      <c r="I271" s="273" t="s">
        <v>4449</v>
      </c>
      <c r="J271" s="274" t="s">
        <v>11</v>
      </c>
      <c r="K271" s="275" t="s">
        <v>4450</v>
      </c>
      <c r="L271" s="271" t="s">
        <v>1742</v>
      </c>
      <c r="M271" s="274"/>
    </row>
    <row r="272" spans="1:13" ht="22.95" customHeight="1">
      <c r="A272" s="271" t="s">
        <v>4989</v>
      </c>
      <c r="B272" s="271">
        <v>4125</v>
      </c>
      <c r="C272" s="272" t="s">
        <v>311</v>
      </c>
      <c r="D272" s="272" t="str">
        <f t="shared" si="4"/>
        <v>蘆洲長樂店1</v>
      </c>
      <c r="E272" s="271">
        <v>1</v>
      </c>
      <c r="F272" s="271" t="s">
        <v>4348</v>
      </c>
      <c r="G272" s="272" t="s">
        <v>4990</v>
      </c>
      <c r="H272" s="271" t="s">
        <v>4460</v>
      </c>
      <c r="I272" s="273" t="s">
        <v>4449</v>
      </c>
      <c r="J272" s="274" t="s">
        <v>11</v>
      </c>
      <c r="K272" s="275" t="s">
        <v>4450</v>
      </c>
      <c r="L272" s="271" t="s">
        <v>1742</v>
      </c>
      <c r="M272" s="274"/>
    </row>
    <row r="273" spans="1:13" ht="22.95" customHeight="1">
      <c r="A273" s="271" t="s">
        <v>4991</v>
      </c>
      <c r="B273" s="271">
        <v>4125</v>
      </c>
      <c r="C273" s="272" t="s">
        <v>311</v>
      </c>
      <c r="D273" s="272" t="str">
        <f t="shared" si="4"/>
        <v>蘆洲長樂店2</v>
      </c>
      <c r="E273" s="271">
        <v>2</v>
      </c>
      <c r="F273" s="271" t="s">
        <v>4349</v>
      </c>
      <c r="G273" s="272" t="s">
        <v>4992</v>
      </c>
      <c r="H273" s="271" t="s">
        <v>4460</v>
      </c>
      <c r="I273" s="273" t="s">
        <v>4465</v>
      </c>
      <c r="J273" s="274" t="s">
        <v>11</v>
      </c>
      <c r="K273" s="275" t="s">
        <v>4450</v>
      </c>
      <c r="L273" s="271" t="s">
        <v>1742</v>
      </c>
      <c r="M273" s="274"/>
    </row>
    <row r="274" spans="1:13" ht="22.95" customHeight="1">
      <c r="A274" s="271" t="s">
        <v>4993</v>
      </c>
      <c r="B274" s="271">
        <v>4609</v>
      </c>
      <c r="C274" s="272" t="s">
        <v>454</v>
      </c>
      <c r="D274" s="272" t="str">
        <f t="shared" si="4"/>
        <v>蘆洲洲正店1</v>
      </c>
      <c r="E274" s="271">
        <v>1</v>
      </c>
      <c r="F274" s="271" t="s">
        <v>4350</v>
      </c>
      <c r="G274" s="272" t="s">
        <v>4994</v>
      </c>
      <c r="H274" s="271" t="s">
        <v>4453</v>
      </c>
      <c r="I274" s="273" t="s">
        <v>4465</v>
      </c>
      <c r="J274" s="274" t="s">
        <v>11</v>
      </c>
      <c r="K274" s="275" t="s">
        <v>4450</v>
      </c>
      <c r="L274" s="271" t="s">
        <v>1742</v>
      </c>
      <c r="M274" s="274"/>
    </row>
    <row r="275" spans="1:13" ht="22.95" customHeight="1">
      <c r="A275" s="271" t="s">
        <v>4995</v>
      </c>
      <c r="B275" s="271">
        <v>4609</v>
      </c>
      <c r="C275" s="272" t="s">
        <v>454</v>
      </c>
      <c r="D275" s="272" t="str">
        <f t="shared" si="4"/>
        <v>蘆洲洲正店2</v>
      </c>
      <c r="E275" s="271">
        <v>2</v>
      </c>
      <c r="F275" s="271" t="s">
        <v>4351</v>
      </c>
      <c r="G275" s="272" t="s">
        <v>4996</v>
      </c>
      <c r="H275" s="271" t="s">
        <v>4453</v>
      </c>
      <c r="I275" s="273" t="s">
        <v>4449</v>
      </c>
      <c r="J275" s="274" t="s">
        <v>11</v>
      </c>
      <c r="K275" s="275" t="s">
        <v>4450</v>
      </c>
      <c r="L275" s="271" t="s">
        <v>1742</v>
      </c>
      <c r="M275" s="274"/>
    </row>
    <row r="276" spans="1:13" ht="22.95" customHeight="1">
      <c r="A276" s="271" t="s">
        <v>4997</v>
      </c>
      <c r="B276" s="271">
        <v>4218</v>
      </c>
      <c r="C276" s="272" t="s">
        <v>4115</v>
      </c>
      <c r="D276" s="272" t="str">
        <f t="shared" si="4"/>
        <v>蘆洲湧蓮店2</v>
      </c>
      <c r="E276" s="271">
        <v>2</v>
      </c>
      <c r="F276" s="271" t="s">
        <v>4352</v>
      </c>
      <c r="G276" s="272" t="s">
        <v>4998</v>
      </c>
      <c r="H276" s="271" t="s">
        <v>4460</v>
      </c>
      <c r="I276" s="273" t="s">
        <v>4449</v>
      </c>
      <c r="J276" s="274" t="s">
        <v>11</v>
      </c>
      <c r="K276" s="275" t="s">
        <v>4450</v>
      </c>
      <c r="L276" s="271" t="s">
        <v>1742</v>
      </c>
      <c r="M276" s="274"/>
    </row>
    <row r="277" spans="1:13" ht="22.95" customHeight="1">
      <c r="A277" s="271" t="s">
        <v>4999</v>
      </c>
      <c r="B277" s="271">
        <v>2301</v>
      </c>
      <c r="C277" s="272" t="s">
        <v>1519</v>
      </c>
      <c r="D277" s="272" t="str">
        <f t="shared" si="4"/>
        <v>蘆洲樂平店1</v>
      </c>
      <c r="E277" s="271">
        <v>1</v>
      </c>
      <c r="F277" s="271" t="s">
        <v>4160</v>
      </c>
      <c r="G277" s="272" t="s">
        <v>5000</v>
      </c>
      <c r="H277" s="271" t="s">
        <v>4453</v>
      </c>
      <c r="I277" s="273" t="s">
        <v>4465</v>
      </c>
      <c r="J277" s="274" t="s">
        <v>11</v>
      </c>
      <c r="K277" s="275" t="s">
        <v>4450</v>
      </c>
      <c r="L277" s="271" t="s">
        <v>1742</v>
      </c>
      <c r="M277" s="274"/>
    </row>
    <row r="278" spans="1:13" ht="22.95" customHeight="1">
      <c r="A278" s="271" t="s">
        <v>5001</v>
      </c>
      <c r="B278" s="271">
        <v>2301</v>
      </c>
      <c r="C278" s="272" t="s">
        <v>1519</v>
      </c>
      <c r="D278" s="272" t="str">
        <f t="shared" si="4"/>
        <v>蘆洲樂平店2</v>
      </c>
      <c r="E278" s="271">
        <v>2</v>
      </c>
      <c r="F278" s="271" t="s">
        <v>4161</v>
      </c>
      <c r="G278" s="272" t="s">
        <v>5002</v>
      </c>
      <c r="H278" s="271" t="s">
        <v>4448</v>
      </c>
      <c r="I278" s="273" t="s">
        <v>4449</v>
      </c>
      <c r="J278" s="274" t="s">
        <v>11</v>
      </c>
      <c r="K278" s="275" t="s">
        <v>4450</v>
      </c>
      <c r="L278" s="271" t="s">
        <v>1742</v>
      </c>
      <c r="M278" s="274"/>
    </row>
    <row r="279" spans="1:13" ht="22.95" customHeight="1">
      <c r="A279" s="271" t="s">
        <v>5003</v>
      </c>
      <c r="B279" s="271" t="s">
        <v>17</v>
      </c>
      <c r="C279" s="272" t="s">
        <v>1532</v>
      </c>
      <c r="D279" s="272" t="str">
        <f t="shared" si="4"/>
        <v>蘆洲權義店1</v>
      </c>
      <c r="E279" s="271">
        <v>1</v>
      </c>
      <c r="F279" s="271" t="s">
        <v>4158</v>
      </c>
      <c r="G279" s="272" t="s">
        <v>5004</v>
      </c>
      <c r="H279" s="271" t="s">
        <v>4460</v>
      </c>
      <c r="I279" s="273" t="s">
        <v>4449</v>
      </c>
      <c r="J279" s="274" t="s">
        <v>11</v>
      </c>
      <c r="K279" s="275" t="s">
        <v>4450</v>
      </c>
      <c r="L279" s="271" t="s">
        <v>1742</v>
      </c>
      <c r="M279" s="274"/>
    </row>
    <row r="280" spans="1:13" ht="22.95" customHeight="1">
      <c r="A280" s="271" t="s">
        <v>5005</v>
      </c>
      <c r="B280" s="271" t="s">
        <v>17</v>
      </c>
      <c r="C280" s="272" t="s">
        <v>1532</v>
      </c>
      <c r="D280" s="272" t="str">
        <f t="shared" si="4"/>
        <v>蘆洲權義店2</v>
      </c>
      <c r="E280" s="271">
        <v>2</v>
      </c>
      <c r="F280" s="271" t="s">
        <v>4159</v>
      </c>
      <c r="G280" s="272" t="s">
        <v>5006</v>
      </c>
      <c r="H280" s="271" t="s">
        <v>4460</v>
      </c>
      <c r="I280" s="273" t="s">
        <v>4465</v>
      </c>
      <c r="J280" s="274" t="s">
        <v>11</v>
      </c>
      <c r="K280" s="275" t="s">
        <v>4450</v>
      </c>
      <c r="L280" s="271" t="s">
        <v>1742</v>
      </c>
      <c r="M280" s="274"/>
    </row>
    <row r="281" spans="1:13" ht="22.95" customHeight="1">
      <c r="A281" s="271" t="s">
        <v>5007</v>
      </c>
      <c r="B281" s="271">
        <v>2890</v>
      </c>
      <c r="C281" s="272" t="s">
        <v>4421</v>
      </c>
      <c r="D281" s="272" t="str">
        <f t="shared" si="4"/>
        <v>蘆洲鷺江店1</v>
      </c>
      <c r="E281" s="271">
        <v>1</v>
      </c>
      <c r="F281" s="271" t="s">
        <v>4345</v>
      </c>
      <c r="G281" s="272" t="s">
        <v>5008</v>
      </c>
      <c r="H281" s="271" t="s">
        <v>4448</v>
      </c>
      <c r="I281" s="273" t="s">
        <v>4449</v>
      </c>
      <c r="J281" s="274" t="s">
        <v>11</v>
      </c>
      <c r="K281" s="275" t="s">
        <v>4450</v>
      </c>
      <c r="L281" s="271" t="s">
        <v>1742</v>
      </c>
      <c r="M281" s="274"/>
    </row>
    <row r="282" spans="1:13" ht="22.95" customHeight="1">
      <c r="A282" s="271" t="s">
        <v>5009</v>
      </c>
      <c r="B282" s="271">
        <v>2890</v>
      </c>
      <c r="C282" s="272" t="s">
        <v>4421</v>
      </c>
      <c r="D282" s="272" t="str">
        <f t="shared" si="4"/>
        <v>蘆洲鷺江店2</v>
      </c>
      <c r="E282" s="271">
        <v>2</v>
      </c>
      <c r="F282" s="271" t="s">
        <v>4346</v>
      </c>
      <c r="G282" s="272" t="s">
        <v>5010</v>
      </c>
      <c r="H282" s="271" t="s">
        <v>4448</v>
      </c>
      <c r="I282" s="273" t="s">
        <v>4449</v>
      </c>
      <c r="J282" s="274" t="s">
        <v>11</v>
      </c>
      <c r="K282" s="275" t="s">
        <v>4450</v>
      </c>
      <c r="L282" s="271" t="s">
        <v>1742</v>
      </c>
      <c r="M282" s="274"/>
    </row>
    <row r="285" spans="1:13">
      <c r="G285" s="277"/>
      <c r="I285" s="277"/>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9" t="s">
        <v>1749</v>
      </c>
      <c r="B1" s="379"/>
      <c r="D1" s="378" t="s">
        <v>1750</v>
      </c>
      <c r="E1" s="378"/>
      <c r="F1" s="378"/>
      <c r="G1" s="378"/>
      <c r="H1" s="378"/>
      <c r="I1" s="378"/>
      <c r="J1" s="378"/>
      <c r="K1" s="378"/>
      <c r="M1" s="378" t="s">
        <v>1751</v>
      </c>
      <c r="N1" s="378"/>
      <c r="O1" s="378"/>
      <c r="P1" s="378"/>
      <c r="Q1" s="378"/>
      <c r="R1" s="378"/>
      <c r="S1" s="378"/>
      <c r="T1" s="53"/>
      <c r="V1" s="378" t="s">
        <v>1752</v>
      </c>
      <c r="W1" s="378"/>
      <c r="X1" s="378"/>
      <c r="Y1" s="378"/>
      <c r="Z1" s="378"/>
      <c r="AA1" s="378"/>
      <c r="AB1" s="378"/>
      <c r="AC1" s="378"/>
      <c r="AD1" s="378"/>
      <c r="AF1" s="378" t="s">
        <v>1753</v>
      </c>
      <c r="AG1" s="378"/>
      <c r="AH1" s="378"/>
      <c r="AI1" s="378"/>
      <c r="AJ1" s="378"/>
      <c r="AK1" s="378"/>
      <c r="AL1" s="378"/>
      <c r="AM1" s="378"/>
      <c r="AN1" s="378"/>
      <c r="AP1" s="378" t="s">
        <v>1754</v>
      </c>
      <c r="AQ1" s="378"/>
      <c r="AR1" s="378"/>
      <c r="AS1" s="378"/>
      <c r="AT1" s="378"/>
      <c r="AU1" s="378"/>
      <c r="AV1" s="378"/>
      <c r="AW1" s="378"/>
      <c r="AX1" s="378"/>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78" t="s">
        <v>1952</v>
      </c>
      <c r="N35" s="378"/>
      <c r="O35" s="378"/>
      <c r="P35" s="378"/>
      <c r="Q35" s="378"/>
      <c r="R35" s="378"/>
      <c r="S35" s="378"/>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78" t="s">
        <v>2035</v>
      </c>
      <c r="N51" s="378"/>
      <c r="O51" s="378"/>
      <c r="P51" s="378"/>
      <c r="Q51" s="378"/>
      <c r="R51" s="378"/>
      <c r="S51" s="378"/>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2025-05-26T09:05:22Z</dcterms:modified>
</cp:coreProperties>
</file>