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29C252E-A1EF-4BD5-85A1-6389FD10E08B}"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98" i="12" l="1"/>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97" i="1"/>
  <c r="B98" i="1"/>
  <c r="B94" i="1"/>
  <c r="B99" i="1"/>
  <c r="B61" i="1"/>
  <c r="B100" i="1"/>
  <c r="B101" i="1"/>
  <c r="B92" i="1"/>
  <c r="B102" i="1"/>
  <c r="B103" i="1"/>
  <c r="B104" i="1"/>
  <c r="B105" i="1"/>
  <c r="B106" i="1"/>
  <c r="B107" i="1"/>
  <c r="B57" i="1"/>
  <c r="B108" i="1"/>
  <c r="B64" i="1"/>
  <c r="B63" i="1"/>
  <c r="B60" i="1"/>
  <c r="B56" i="1"/>
  <c r="B62" i="1"/>
  <c r="B66" i="1"/>
  <c r="B70" i="1"/>
  <c r="B109" i="1"/>
  <c r="B69" i="1"/>
  <c r="B77" i="1"/>
  <c r="B95" i="1"/>
  <c r="B74" i="1"/>
  <c r="B73" i="1"/>
  <c r="B110" i="1"/>
  <c r="B111" i="1"/>
  <c r="B112" i="1"/>
  <c r="B113" i="1"/>
  <c r="B114" i="1"/>
  <c r="B115" i="1"/>
  <c r="B116" i="1"/>
  <c r="B117" i="1"/>
  <c r="B118" i="1"/>
  <c r="B59" i="1"/>
  <c r="B58" i="1"/>
  <c r="B119" i="1"/>
  <c r="B120" i="1"/>
  <c r="B121" i="1"/>
  <c r="B122" i="1"/>
  <c r="B55" i="1"/>
  <c r="B123" i="1"/>
  <c r="B86" i="1"/>
  <c r="B124" i="1"/>
  <c r="B81" i="1"/>
  <c r="B75" i="1"/>
  <c r="B125" i="1"/>
  <c r="B93" i="1"/>
  <c r="B126" i="1"/>
  <c r="B84" i="1"/>
  <c r="B85" i="1"/>
  <c r="B127" i="1"/>
  <c r="B128" i="1"/>
  <c r="B129" i="1"/>
  <c r="B130" i="1"/>
  <c r="B131" i="1"/>
  <c r="B132" i="1"/>
  <c r="B133" i="1"/>
  <c r="B134" i="1"/>
  <c r="B135" i="1"/>
  <c r="B79" i="1"/>
  <c r="B136" i="1"/>
  <c r="B71" i="1"/>
  <c r="B67" i="1"/>
  <c r="B137" i="1"/>
  <c r="B138" i="1"/>
  <c r="B139" i="1"/>
  <c r="B140" i="1"/>
  <c r="B141" i="1"/>
  <c r="B142" i="1"/>
  <c r="B143" i="1"/>
  <c r="B144" i="1"/>
  <c r="B145" i="1"/>
  <c r="B89" i="1"/>
  <c r="B146" i="1"/>
  <c r="B72" i="1"/>
  <c r="B147" i="1"/>
  <c r="B148" i="1"/>
  <c r="B149" i="1"/>
  <c r="B150" i="1"/>
  <c r="B88" i="1"/>
  <c r="B151" i="1"/>
  <c r="B152" i="1"/>
  <c r="B153" i="1"/>
  <c r="B154" i="1"/>
  <c r="B155" i="1"/>
  <c r="B96"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5" i="3"/>
  <c r="C8" i="2"/>
  <c r="C9" i="2"/>
  <c r="C10" i="2"/>
  <c r="C11" i="2"/>
  <c r="C12" i="2"/>
  <c r="C13" i="2"/>
  <c r="C14" i="2"/>
  <c r="C55" i="2"/>
  <c r="C56" i="2"/>
  <c r="D56" i="2" s="1"/>
  <c r="E56" i="2" s="1"/>
  <c r="C15" i="2"/>
  <c r="C16" i="2"/>
  <c r="D16" i="2" s="1"/>
  <c r="E16" i="2" s="1"/>
  <c r="C17" i="2"/>
  <c r="C18" i="2"/>
  <c r="C19" i="2"/>
  <c r="C20" i="2"/>
  <c r="D20" i="2" s="1"/>
  <c r="E20" i="2" s="1"/>
  <c r="C21" i="2"/>
  <c r="D21" i="2" s="1"/>
  <c r="E21" i="2" s="1"/>
  <c r="C22" i="2"/>
  <c r="C23" i="2"/>
  <c r="C24" i="2"/>
  <c r="C25" i="2"/>
  <c r="D25" i="2" s="1"/>
  <c r="E25" i="2" s="1"/>
  <c r="C47" i="2"/>
  <c r="C26" i="2"/>
  <c r="D26" i="2" s="1"/>
  <c r="E26" i="2" s="1"/>
  <c r="C27" i="2"/>
  <c r="C58" i="2"/>
  <c r="D58" i="2" s="1"/>
  <c r="E58" i="2" s="1"/>
  <c r="C59" i="2"/>
  <c r="C28" i="2"/>
  <c r="D28" i="2" s="1"/>
  <c r="E28" i="2" s="1"/>
  <c r="C29" i="2"/>
  <c r="C30" i="2"/>
  <c r="D30" i="2" s="1"/>
  <c r="E30" i="2" s="1"/>
  <c r="C31" i="2"/>
  <c r="C32" i="2"/>
  <c r="C49" i="2"/>
  <c r="D49" i="2" s="1"/>
  <c r="E49" i="2" s="1"/>
  <c r="C33" i="2"/>
  <c r="C45" i="2"/>
  <c r="D45" i="2" s="1"/>
  <c r="E45" i="2" s="1"/>
  <c r="C60" i="2"/>
  <c r="D60" i="2" s="1"/>
  <c r="E60" i="2" s="1"/>
  <c r="C48" i="2"/>
  <c r="D48" i="2" s="1"/>
  <c r="E48" i="2" s="1"/>
  <c r="C34" i="2"/>
  <c r="C35" i="2"/>
  <c r="C36" i="2"/>
  <c r="D36" i="2" s="1"/>
  <c r="E36" i="2" s="1"/>
  <c r="C37" i="2"/>
  <c r="C38" i="2"/>
  <c r="C39" i="2"/>
  <c r="C50" i="2"/>
  <c r="D50" i="2" s="1"/>
  <c r="E50" i="2" s="1"/>
  <c r="C46" i="2"/>
  <c r="C51" i="2"/>
  <c r="C52" i="2"/>
  <c r="D52" i="2" s="1"/>
  <c r="E52" i="2" s="1"/>
  <c r="C53" i="2"/>
  <c r="D53" i="2" s="1"/>
  <c r="E53" i="2" s="1"/>
  <c r="C40" i="2"/>
  <c r="C57" i="2"/>
  <c r="D57" i="2" s="1"/>
  <c r="E57" i="2" s="1"/>
  <c r="C41" i="2"/>
  <c r="C54" i="2"/>
  <c r="D54" i="2" s="1"/>
  <c r="E54" i="2" s="1"/>
  <c r="C42" i="2"/>
  <c r="C43" i="2"/>
  <c r="C44" i="2"/>
  <c r="D44" i="2" s="1"/>
  <c r="E44" i="2" s="1"/>
  <c r="C61" i="2"/>
  <c r="D61" i="2" s="1"/>
  <c r="E61" i="2" s="1"/>
  <c r="C62" i="2"/>
  <c r="D62" i="2" s="1"/>
  <c r="E62" i="2" s="1"/>
  <c r="C63" i="2"/>
  <c r="C64" i="2"/>
  <c r="D64" i="2" s="1"/>
  <c r="E64" i="2" s="1"/>
  <c r="C7" i="2"/>
  <c r="C5"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23" i="4"/>
  <c r="C24" i="4"/>
  <c r="C25" i="4"/>
  <c r="C26" i="4"/>
  <c r="C27" i="4"/>
  <c r="C28" i="4"/>
  <c r="C29" i="4"/>
  <c r="C30" i="4"/>
  <c r="C77" i="4"/>
  <c r="C87" i="4"/>
  <c r="D87" i="4" s="1"/>
  <c r="E87" i="4" s="1"/>
  <c r="C31" i="4"/>
  <c r="C32" i="4"/>
  <c r="C33" i="4"/>
  <c r="C79" i="4"/>
  <c r="C34" i="4"/>
  <c r="D34" i="4" s="1"/>
  <c r="E34" i="4" s="1"/>
  <c r="C91" i="4"/>
  <c r="D91" i="4" s="1"/>
  <c r="E91" i="4" s="1"/>
  <c r="C92" i="4"/>
  <c r="D92" i="4" s="1"/>
  <c r="E92" i="4" s="1"/>
  <c r="C35" i="4"/>
  <c r="C36" i="4"/>
  <c r="C80" i="4"/>
  <c r="D80" i="4" s="1"/>
  <c r="E80" i="4" s="1"/>
  <c r="C88" i="4"/>
  <c r="D88" i="4" s="1"/>
  <c r="E88" i="4" s="1"/>
  <c r="C89" i="4"/>
  <c r="D89" i="4" s="1"/>
  <c r="E89" i="4" s="1"/>
  <c r="C37" i="4"/>
  <c r="C93" i="4"/>
  <c r="D93" i="4" s="1"/>
  <c r="E93" i="4" s="1"/>
  <c r="C98" i="4"/>
  <c r="C99" i="4"/>
  <c r="D99" i="4" s="1"/>
  <c r="E99" i="4" s="1"/>
  <c r="C38" i="4"/>
  <c r="C96" i="4"/>
  <c r="D96" i="4" s="1"/>
  <c r="E96" i="4" s="1"/>
  <c r="C94" i="4"/>
  <c r="C95" i="4"/>
  <c r="D95" i="4" s="1"/>
  <c r="E95" i="4" s="1"/>
  <c r="C97" i="4"/>
  <c r="D97" i="4" s="1"/>
  <c r="E97" i="4" s="1"/>
  <c r="C81" i="4"/>
  <c r="D81" i="4" s="1"/>
  <c r="E81" i="4" s="1"/>
  <c r="C39" i="4"/>
  <c r="D39" i="4" s="1"/>
  <c r="E39" i="4" s="1"/>
  <c r="C82" i="4"/>
  <c r="D82" i="4" s="1"/>
  <c r="E82" i="4" s="1"/>
  <c r="C83" i="4"/>
  <c r="C40" i="4"/>
  <c r="D40" i="4" s="1"/>
  <c r="E40" i="4" s="1"/>
  <c r="C41" i="4"/>
  <c r="D41" i="4" s="1"/>
  <c r="E41" i="4" s="1"/>
  <c r="C42" i="4"/>
  <c r="D42" i="4" s="1"/>
  <c r="E42" i="4" s="1"/>
  <c r="C43" i="4"/>
  <c r="C90" i="4"/>
  <c r="C44" i="4"/>
  <c r="C45" i="4"/>
  <c r="C86" i="4"/>
  <c r="C84" i="4"/>
  <c r="D84" i="4" s="1"/>
  <c r="E84" i="4" s="1"/>
  <c r="C46" i="4"/>
  <c r="C47" i="4"/>
  <c r="D47" i="4" s="1"/>
  <c r="E47" i="4" s="1"/>
  <c r="C48" i="4"/>
  <c r="C49" i="4"/>
  <c r="C85" i="4"/>
  <c r="C50" i="4"/>
  <c r="C51" i="4"/>
  <c r="C52" i="4"/>
  <c r="C53" i="4"/>
  <c r="C54" i="4"/>
  <c r="D54" i="4" s="1"/>
  <c r="E54" i="4" s="1"/>
  <c r="C55" i="4"/>
  <c r="C56" i="4"/>
  <c r="D56" i="4" s="1"/>
  <c r="E56" i="4" s="1"/>
  <c r="C57" i="4"/>
  <c r="C58" i="4"/>
  <c r="D58" i="4" s="1"/>
  <c r="E58" i="4" s="1"/>
  <c r="C59" i="4"/>
  <c r="C60" i="4"/>
  <c r="C61" i="4"/>
  <c r="C62" i="4"/>
  <c r="D62" i="4" s="1"/>
  <c r="E62" i="4" s="1"/>
  <c r="C63" i="4"/>
  <c r="D63" i="4" s="1"/>
  <c r="E63" i="4" s="1"/>
  <c r="C64" i="4"/>
  <c r="C65" i="4"/>
  <c r="C66" i="4"/>
  <c r="C67" i="4"/>
  <c r="C68" i="4"/>
  <c r="C69" i="4"/>
  <c r="C70" i="4"/>
  <c r="C71" i="4"/>
  <c r="C72" i="4"/>
  <c r="C73" i="4"/>
  <c r="C74" i="4"/>
  <c r="C75" i="4"/>
  <c r="D75" i="4" s="1"/>
  <c r="E75" i="4" s="1"/>
  <c r="C76" i="4"/>
  <c r="D76" i="4" s="1"/>
  <c r="E76"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C5" i="4"/>
  <c r="AL4" i="16"/>
  <c r="AM19" i="12"/>
  <c r="AM20" i="12"/>
  <c r="AM21" i="12"/>
  <c r="AM22" i="12"/>
  <c r="AM23" i="12"/>
  <c r="AM24" i="12"/>
  <c r="AM25" i="12"/>
  <c r="AM26" i="12"/>
  <c r="AM27" i="12"/>
  <c r="AM28" i="12"/>
  <c r="AM29" i="12"/>
  <c r="AM30" i="12"/>
  <c r="AM31" i="12"/>
  <c r="AM32" i="12"/>
  <c r="AM33" i="12"/>
  <c r="AM34" i="12"/>
  <c r="AM35" i="12"/>
  <c r="D72" i="4" l="1"/>
  <c r="E72" i="4" s="1"/>
  <c r="D49" i="4"/>
  <c r="E49" i="4" s="1"/>
  <c r="D90" i="4"/>
  <c r="E90" i="4" s="1"/>
  <c r="D30" i="4"/>
  <c r="E30" i="4" s="1"/>
  <c r="D15" i="4"/>
  <c r="E15" i="4" s="1"/>
  <c r="D64" i="4"/>
  <c r="E64" i="4" s="1"/>
  <c r="D118" i="4"/>
  <c r="E118" i="4" s="1"/>
  <c r="D110" i="4"/>
  <c r="E110" i="4" s="1"/>
  <c r="D71" i="4"/>
  <c r="E71" i="4" s="1"/>
  <c r="D55" i="4"/>
  <c r="E55" i="4" s="1"/>
  <c r="D48" i="4"/>
  <c r="E48" i="4" s="1"/>
  <c r="D43" i="4"/>
  <c r="E43" i="4" s="1"/>
  <c r="D37" i="4"/>
  <c r="E37" i="4" s="1"/>
  <c r="D29" i="4"/>
  <c r="E29" i="4" s="1"/>
  <c r="D22" i="4"/>
  <c r="E22" i="4" s="1"/>
  <c r="D14" i="4"/>
  <c r="D70" i="4"/>
  <c r="E70" i="4" s="1"/>
  <c r="D79" i="4"/>
  <c r="E79" i="4" s="1"/>
  <c r="D28" i="4"/>
  <c r="E28" i="4" s="1"/>
  <c r="D21" i="4"/>
  <c r="E21" i="4" s="1"/>
  <c r="D13" i="4"/>
  <c r="E13" i="4" s="1"/>
  <c r="D106" i="4"/>
  <c r="E106" i="4" s="1"/>
  <c r="D69" i="4"/>
  <c r="E69" i="4" s="1"/>
  <c r="D61" i="4"/>
  <c r="E61" i="4" s="1"/>
  <c r="D53" i="4"/>
  <c r="E53" i="4" s="1"/>
  <c r="D46" i="4"/>
  <c r="E46" i="4" s="1"/>
  <c r="E94" i="4"/>
  <c r="D94" i="4"/>
  <c r="D33" i="4"/>
  <c r="E33" i="4" s="1"/>
  <c r="D27" i="4"/>
  <c r="E27" i="4" s="1"/>
  <c r="D20" i="4"/>
  <c r="E20" i="4" s="1"/>
  <c r="D12" i="4"/>
  <c r="E12" i="4" s="1"/>
  <c r="D68" i="4"/>
  <c r="E68" i="4" s="1"/>
  <c r="D52" i="4"/>
  <c r="E52" i="4" s="1"/>
  <c r="D32" i="4"/>
  <c r="E32" i="4" s="1"/>
  <c r="D26" i="4"/>
  <c r="E26" i="4" s="1"/>
  <c r="D19" i="4"/>
  <c r="E19" i="4" s="1"/>
  <c r="D11" i="4"/>
  <c r="E11" i="4" s="1"/>
  <c r="D60" i="4"/>
  <c r="E60" i="4" s="1"/>
  <c r="D122" i="4"/>
  <c r="E122" i="4"/>
  <c r="D114" i="4"/>
  <c r="E114" i="4" s="1"/>
  <c r="D67" i="4"/>
  <c r="E67" i="4" s="1"/>
  <c r="D59" i="4"/>
  <c r="E59" i="4" s="1"/>
  <c r="D51" i="4"/>
  <c r="E51" i="4" s="1"/>
  <c r="E86" i="4"/>
  <c r="D86" i="4"/>
  <c r="D83" i="4"/>
  <c r="E83" i="4" s="1"/>
  <c r="E38" i="4"/>
  <c r="D38" i="4"/>
  <c r="D36" i="4"/>
  <c r="E36" i="4" s="1"/>
  <c r="D31" i="4"/>
  <c r="E31" i="4" s="1"/>
  <c r="D25" i="4"/>
  <c r="E25" i="4" s="1"/>
  <c r="D18" i="4"/>
  <c r="E18" i="4" s="1"/>
  <c r="E10" i="4"/>
  <c r="D10" i="4"/>
  <c r="D74" i="4"/>
  <c r="E74" i="4" s="1"/>
  <c r="D66" i="4"/>
  <c r="E66" i="4" s="1"/>
  <c r="D50" i="4"/>
  <c r="E50" i="4" s="1"/>
  <c r="D45" i="4"/>
  <c r="E45" i="4" s="1"/>
  <c r="D35" i="4"/>
  <c r="E35" i="4" s="1"/>
  <c r="D24" i="4"/>
  <c r="E24" i="4" s="1"/>
  <c r="D17" i="4"/>
  <c r="E17" i="4" s="1"/>
  <c r="D102" i="4"/>
  <c r="E102" i="4" s="1"/>
  <c r="D73" i="4"/>
  <c r="E73" i="4"/>
  <c r="D65" i="4"/>
  <c r="E65" i="4" s="1"/>
  <c r="D57" i="4"/>
  <c r="E57" i="4" s="1"/>
  <c r="D85" i="4"/>
  <c r="E85" i="4" s="1"/>
  <c r="D44" i="4"/>
  <c r="E44" i="4" s="1"/>
  <c r="D98" i="4"/>
  <c r="E98" i="4"/>
  <c r="D77" i="4"/>
  <c r="E77" i="4" s="1"/>
  <c r="D23" i="4"/>
  <c r="E23" i="4" s="1"/>
  <c r="D16" i="4"/>
  <c r="E16" i="4" s="1"/>
  <c r="D8" i="4"/>
  <c r="E8" i="4" s="1"/>
  <c r="D42" i="2"/>
  <c r="E42" i="2" s="1"/>
  <c r="D46" i="2"/>
  <c r="E46" i="2" s="1"/>
  <c r="D29" i="2"/>
  <c r="E29" i="2" s="1"/>
  <c r="D24" i="2"/>
  <c r="E24" i="2" s="1"/>
  <c r="D10" i="2"/>
  <c r="E10" i="2" s="1"/>
  <c r="D7" i="2"/>
  <c r="E7" i="2" s="1"/>
  <c r="D9" i="2"/>
  <c r="E9" i="2" s="1"/>
  <c r="D39" i="2"/>
  <c r="E39" i="2" s="1"/>
  <c r="D22" i="2"/>
  <c r="E22" i="2" s="1"/>
  <c r="D8" i="2"/>
  <c r="E8" i="2" s="1"/>
  <c r="D33" i="2"/>
  <c r="E33" i="2" s="1"/>
  <c r="D40" i="2"/>
  <c r="E40" i="2" s="1"/>
  <c r="D37" i="2"/>
  <c r="E37" i="2" s="1"/>
  <c r="D14" i="2"/>
  <c r="E14" i="2" s="1"/>
  <c r="D32" i="2"/>
  <c r="E32" i="2" s="1"/>
  <c r="D13" i="2"/>
  <c r="E13" i="2" s="1"/>
  <c r="D35" i="2"/>
  <c r="E35" i="2" s="1"/>
  <c r="D18" i="2"/>
  <c r="E18" i="2" s="1"/>
  <c r="D12" i="2"/>
  <c r="E12" i="2" s="1"/>
  <c r="D43" i="2"/>
  <c r="E43" i="2" s="1"/>
  <c r="D17" i="2"/>
  <c r="E17"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E20" i="3"/>
  <c r="D20" i="3"/>
  <c r="D14" i="3"/>
  <c r="E14" i="3"/>
  <c r="D9" i="3"/>
  <c r="E9" i="3" s="1"/>
  <c r="D26" i="3"/>
  <c r="E26" i="3" s="1"/>
  <c r="D34" i="3"/>
  <c r="E34" i="3" s="1"/>
  <c r="D13" i="3"/>
  <c r="E13" i="3" s="1"/>
  <c r="D8" i="3"/>
  <c r="E8" i="3" s="1"/>
  <c r="D25" i="3"/>
  <c r="E25" i="3" s="1"/>
  <c r="D19" i="3"/>
  <c r="E19" i="3" s="1"/>
  <c r="D33" i="3"/>
  <c r="E33" i="3" s="1"/>
  <c r="D7" i="3"/>
  <c r="E7" i="3" s="1"/>
  <c r="D24" i="3"/>
  <c r="E24" i="3"/>
  <c r="D32" i="3"/>
  <c r="E32" i="3" s="1"/>
  <c r="D12" i="3"/>
  <c r="E12" i="3" s="1"/>
  <c r="D23" i="2"/>
  <c r="E23" i="2" s="1"/>
  <c r="D15" i="2"/>
  <c r="E15" i="2" s="1"/>
  <c r="D59" i="2"/>
  <c r="E59" i="2" s="1"/>
  <c r="D41" i="2"/>
  <c r="E41" i="2" s="1"/>
  <c r="D63" i="2"/>
  <c r="E63" i="2" s="1"/>
  <c r="D38" i="2"/>
  <c r="E38" i="2" s="1"/>
  <c r="D55" i="2"/>
  <c r="E55" i="2" s="1"/>
  <c r="D27" i="2"/>
  <c r="E27" i="2" s="1"/>
  <c r="D19" i="2"/>
  <c r="E19" i="2" s="1"/>
  <c r="D31" i="2"/>
  <c r="E31" i="2" s="1"/>
  <c r="D47" i="2"/>
  <c r="E47" i="2" s="1"/>
  <c r="D51" i="2"/>
  <c r="E51" i="2" s="1"/>
  <c r="D34" i="2"/>
  <c r="E34" i="2" s="1"/>
  <c r="D11" i="2"/>
  <c r="X212" i="10"/>
  <c r="D226" i="1"/>
  <c r="E226" i="1" s="1"/>
  <c r="P226" i="1"/>
  <c r="C226" i="1"/>
  <c r="H225" i="1"/>
  <c r="C225" i="1"/>
  <c r="D225" i="1"/>
  <c r="E225" i="1" s="1"/>
  <c r="D2" i="3"/>
  <c r="D2" i="4"/>
  <c r="D2" i="2"/>
  <c r="AM16" i="12"/>
  <c r="AM17" i="12"/>
  <c r="AM18" i="12"/>
  <c r="AM8" i="12"/>
  <c r="AM9" i="12"/>
  <c r="AM10" i="12"/>
  <c r="AM11" i="12"/>
  <c r="AM12" i="12"/>
  <c r="AM13" i="12"/>
  <c r="AM14" i="12"/>
  <c r="AM15" i="12"/>
  <c r="N15" i="1" a="1"/>
  <c r="N15" i="1" s="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99" i="1" a="1"/>
  <c r="N99" i="1" s="1"/>
  <c r="M15" i="1" a="1"/>
  <c r="M15" i="1" s="1"/>
  <c r="AM4" i="12"/>
  <c r="AM5" i="12"/>
  <c r="AM6" i="12"/>
  <c r="AM7" i="12"/>
  <c r="E14" i="4" l="1"/>
  <c r="D3" i="2"/>
  <c r="E3" i="2" s="1"/>
  <c r="E15" i="3"/>
  <c r="E11" i="2"/>
  <c r="D3" i="4"/>
  <c r="D3" i="3"/>
  <c r="E2" i="2"/>
  <c r="F2" i="2"/>
  <c r="AM2" i="12"/>
  <c r="AM3" i="12"/>
  <c r="D4" i="4" l="1"/>
  <c r="F3" i="2"/>
  <c r="D4" i="2"/>
  <c r="E4" i="2" s="1"/>
  <c r="D4" i="3"/>
  <c r="M130" i="1" a="1"/>
  <c r="M130" i="1" s="1"/>
  <c r="M133" i="1" a="1"/>
  <c r="M133"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F4" i="2" l="1"/>
  <c r="M98" i="1" a="1"/>
  <c r="M98" i="1" s="1"/>
  <c r="M94" i="1" a="1"/>
  <c r="M94" i="1" s="1"/>
  <c r="M99" i="1" a="1"/>
  <c r="M99" i="1" s="1"/>
  <c r="M33" i="1" a="1"/>
  <c r="M33" i="1" s="1"/>
  <c r="M34" i="1" a="1"/>
  <c r="M34" i="1" s="1"/>
  <c r="M27" i="1" a="1"/>
  <c r="M27" i="1" s="1"/>
  <c r="M61" i="1" a="1"/>
  <c r="M61" i="1" s="1"/>
  <c r="M100" i="1" a="1"/>
  <c r="M100" i="1" s="1"/>
  <c r="M101" i="1" a="1"/>
  <c r="M101" i="1" s="1"/>
  <c r="M92" i="1" a="1"/>
  <c r="M92" i="1" s="1"/>
  <c r="M102" i="1" a="1"/>
  <c r="M102" i="1" s="1"/>
  <c r="M103" i="1" a="1"/>
  <c r="M103" i="1" s="1"/>
  <c r="M104" i="1" a="1"/>
  <c r="M104" i="1" s="1"/>
  <c r="M105" i="1" a="1"/>
  <c r="M105" i="1" s="1"/>
  <c r="M25" i="1" a="1"/>
  <c r="M25" i="1" s="1"/>
  <c r="M106" i="1" a="1"/>
  <c r="M106" i="1" s="1"/>
  <c r="M54" i="1" a="1"/>
  <c r="M54" i="1" s="1"/>
  <c r="M107" i="1" a="1"/>
  <c r="M107" i="1" s="1"/>
  <c r="M57" i="1" a="1"/>
  <c r="M57" i="1" s="1"/>
  <c r="M108" i="1" a="1"/>
  <c r="M108"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9" i="1" a="1"/>
  <c r="M109" i="1" s="1"/>
  <c r="M69" i="1" a="1"/>
  <c r="M69" i="1" s="1"/>
  <c r="M77" i="1" a="1"/>
  <c r="M77" i="1" s="1"/>
  <c r="M51" i="1" a="1"/>
  <c r="M51" i="1" s="1"/>
  <c r="M52" i="1" a="1"/>
  <c r="M52" i="1" s="1"/>
  <c r="M95" i="1" a="1"/>
  <c r="M95" i="1" s="1"/>
  <c r="M74" i="1" a="1"/>
  <c r="M74" i="1" s="1"/>
  <c r="M73" i="1" a="1"/>
  <c r="M73" i="1" s="1"/>
  <c r="M16" i="1" a="1"/>
  <c r="M16" i="1" s="1"/>
  <c r="M110" i="1" a="1"/>
  <c r="M110" i="1" s="1"/>
  <c r="M111" i="1" a="1"/>
  <c r="M111" i="1" s="1"/>
  <c r="M112" i="1" a="1"/>
  <c r="M112" i="1" s="1"/>
  <c r="M113" i="1" a="1"/>
  <c r="M113" i="1" s="1"/>
  <c r="M114" i="1" a="1"/>
  <c r="M114" i="1" s="1"/>
  <c r="M115" i="1" a="1"/>
  <c r="M115" i="1" s="1"/>
  <c r="M116" i="1" a="1"/>
  <c r="M116" i="1" s="1"/>
  <c r="M117" i="1" a="1"/>
  <c r="M117" i="1" s="1"/>
  <c r="M118" i="1" a="1"/>
  <c r="M118" i="1" s="1"/>
  <c r="M40" i="1" a="1"/>
  <c r="M40" i="1" s="1"/>
  <c r="M42" i="1" a="1"/>
  <c r="M42" i="1" s="1"/>
  <c r="M43" i="1" a="1"/>
  <c r="M43" i="1" s="1"/>
  <c r="M44" i="1" a="1"/>
  <c r="M44" i="1" s="1"/>
  <c r="M45" i="1" a="1"/>
  <c r="M45" i="1" s="1"/>
  <c r="M46" i="1" a="1"/>
  <c r="M46" i="1" s="1"/>
  <c r="M59" i="1" a="1"/>
  <c r="M59" i="1" s="1"/>
  <c r="M58" i="1" a="1"/>
  <c r="M58" i="1" s="1"/>
  <c r="M119" i="1" a="1"/>
  <c r="M119" i="1" s="1"/>
  <c r="M120" i="1" a="1"/>
  <c r="M120" i="1" s="1"/>
  <c r="M121" i="1" a="1"/>
  <c r="M121" i="1" s="1"/>
  <c r="M122" i="1" a="1"/>
  <c r="M122" i="1" s="1"/>
  <c r="M55" i="1" a="1"/>
  <c r="M55" i="1" s="1"/>
  <c r="M49" i="1" a="1"/>
  <c r="M49" i="1" s="1"/>
  <c r="M50" i="1" a="1"/>
  <c r="M50" i="1" s="1"/>
  <c r="M123" i="1" a="1"/>
  <c r="M123" i="1" s="1"/>
  <c r="M86" i="1" a="1"/>
  <c r="M86" i="1" s="1"/>
  <c r="M124" i="1" a="1"/>
  <c r="M124" i="1" s="1"/>
  <c r="M81" i="1" a="1"/>
  <c r="M81" i="1" s="1"/>
  <c r="M75" i="1" a="1"/>
  <c r="M75" i="1" s="1"/>
  <c r="M125" i="1" a="1"/>
  <c r="M125" i="1" s="1"/>
  <c r="M93" i="1" a="1"/>
  <c r="M93" i="1" s="1"/>
  <c r="M126" i="1" a="1"/>
  <c r="M126" i="1" s="1"/>
  <c r="M84" i="1" a="1"/>
  <c r="M84" i="1" s="1"/>
  <c r="M85" i="1" a="1"/>
  <c r="M85" i="1" s="1"/>
  <c r="M127" i="1" a="1"/>
  <c r="M127" i="1" s="1"/>
  <c r="M17" i="1" a="1"/>
  <c r="M17" i="1" s="1"/>
  <c r="M128" i="1" a="1"/>
  <c r="M128" i="1" s="1"/>
  <c r="M129" i="1" a="1"/>
  <c r="M129" i="1" s="1"/>
  <c r="M131" i="1" a="1"/>
  <c r="M131" i="1" s="1"/>
  <c r="M132" i="1" a="1"/>
  <c r="M132" i="1" s="1"/>
  <c r="M134" i="1" a="1"/>
  <c r="M134" i="1" s="1"/>
  <c r="M135" i="1" a="1"/>
  <c r="M135" i="1" s="1"/>
  <c r="M79" i="1" a="1"/>
  <c r="M79" i="1" s="1"/>
  <c r="M136" i="1" a="1"/>
  <c r="M136" i="1" s="1"/>
  <c r="M71" i="1" a="1"/>
  <c r="M71" i="1" s="1"/>
  <c r="M67" i="1" a="1"/>
  <c r="M67" i="1" s="1"/>
  <c r="V67" i="1" s="1"/>
  <c r="M137" i="1" a="1"/>
  <c r="M137" i="1" s="1"/>
  <c r="M138" i="1" a="1"/>
  <c r="M138" i="1" s="1"/>
  <c r="M139" i="1" a="1"/>
  <c r="M139" i="1" s="1"/>
  <c r="M140" i="1" a="1"/>
  <c r="M140" i="1" s="1"/>
  <c r="M141" i="1" a="1"/>
  <c r="M141" i="1" s="1"/>
  <c r="M142" i="1" a="1"/>
  <c r="M142" i="1" s="1"/>
  <c r="M143" i="1" a="1"/>
  <c r="M143" i="1" s="1"/>
  <c r="M144" i="1" a="1"/>
  <c r="M144" i="1" s="1"/>
  <c r="M145" i="1" a="1"/>
  <c r="M145" i="1" s="1"/>
  <c r="M47" i="1" a="1"/>
  <c r="M47" i="1" s="1"/>
  <c r="M48" i="1" a="1"/>
  <c r="M48" i="1" s="1"/>
  <c r="M89" i="1" a="1"/>
  <c r="M89" i="1" s="1"/>
  <c r="M146" i="1" a="1"/>
  <c r="M146" i="1" s="1"/>
  <c r="M72" i="1" a="1"/>
  <c r="M72" i="1" s="1"/>
  <c r="M36" i="1" a="1"/>
  <c r="M36" i="1" s="1"/>
  <c r="M147" i="1" a="1"/>
  <c r="M147" i="1" s="1"/>
  <c r="M148" i="1" a="1"/>
  <c r="M148" i="1" s="1"/>
  <c r="M149" i="1" a="1"/>
  <c r="M149" i="1" s="1"/>
  <c r="M150" i="1" a="1"/>
  <c r="M150" i="1" s="1"/>
  <c r="M88" i="1" a="1"/>
  <c r="M88" i="1" s="1"/>
  <c r="M151" i="1" a="1"/>
  <c r="M151" i="1" s="1"/>
  <c r="M152" i="1" a="1"/>
  <c r="M152" i="1" s="1"/>
  <c r="M31" i="1" a="1"/>
  <c r="M31" i="1" s="1"/>
  <c r="M153" i="1" a="1"/>
  <c r="M153" i="1" s="1"/>
  <c r="M154" i="1" a="1"/>
  <c r="M154" i="1" s="1"/>
  <c r="M28" i="1" a="1"/>
  <c r="M28" i="1" s="1"/>
  <c r="M155" i="1" a="1"/>
  <c r="M155" i="1" s="1"/>
  <c r="M96" i="1" a="1"/>
  <c r="M96"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26" i="1" a="1"/>
  <c r="M26" i="1" s="1"/>
  <c r="M166" i="1" a="1"/>
  <c r="M166" i="1" s="1"/>
  <c r="M167" i="1" a="1"/>
  <c r="M167" i="1" s="1"/>
  <c r="M168" i="1" a="1"/>
  <c r="M168" i="1" s="1"/>
  <c r="M38" i="1" a="1"/>
  <c r="M38" i="1" s="1"/>
  <c r="M169" i="1" a="1"/>
  <c r="M169" i="1" s="1"/>
  <c r="M170" i="1" a="1"/>
  <c r="M170" i="1" s="1"/>
  <c r="M171" i="1" a="1"/>
  <c r="M171" i="1" s="1"/>
  <c r="M18" i="1" a="1"/>
  <c r="M18"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37" i="1" a="1"/>
  <c r="M37" i="1" s="1"/>
  <c r="M182" i="1" a="1"/>
  <c r="M182" i="1" s="1"/>
  <c r="M183" i="1" a="1"/>
  <c r="M183" i="1" s="1"/>
  <c r="M184" i="1" a="1"/>
  <c r="M184" i="1" s="1"/>
  <c r="M24" i="1" a="1"/>
  <c r="M24" i="1" s="1"/>
  <c r="M185" i="1" a="1"/>
  <c r="M185" i="1" s="1"/>
  <c r="M186" i="1" a="1"/>
  <c r="M186" i="1" s="1"/>
  <c r="M187" i="1" a="1"/>
  <c r="M187" i="1" s="1"/>
  <c r="M188" i="1" a="1"/>
  <c r="M188" i="1" s="1"/>
  <c r="M189" i="1" a="1"/>
  <c r="M189" i="1" s="1"/>
  <c r="M190" i="1" a="1"/>
  <c r="M190" i="1" s="1"/>
  <c r="M191" i="1" a="1"/>
  <c r="M191" i="1" s="1"/>
  <c r="M192" i="1" a="1"/>
  <c r="M192" i="1" s="1"/>
  <c r="M22" i="1" a="1"/>
  <c r="M22" i="1" s="1"/>
  <c r="M193" i="1" a="1"/>
  <c r="M193" i="1" s="1"/>
  <c r="M194" i="1" a="1"/>
  <c r="M194" i="1" s="1"/>
  <c r="M195" i="1" a="1"/>
  <c r="M195"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97" i="1" a="1"/>
  <c r="M97" i="1" s="1"/>
  <c r="N98" i="1" a="1"/>
  <c r="N98" i="1" s="1"/>
  <c r="N94" i="1" a="1"/>
  <c r="N94" i="1" s="1"/>
  <c r="N33" i="1" a="1"/>
  <c r="N33" i="1" s="1"/>
  <c r="N34" i="1" a="1"/>
  <c r="N34" i="1" s="1"/>
  <c r="N27" i="1" a="1"/>
  <c r="N27" i="1" s="1"/>
  <c r="N61" i="1" a="1"/>
  <c r="N61" i="1" s="1"/>
  <c r="N100" i="1" a="1"/>
  <c r="N100" i="1" s="1"/>
  <c r="N101" i="1" a="1"/>
  <c r="N101" i="1" s="1"/>
  <c r="N92" i="1" a="1"/>
  <c r="N92" i="1" s="1"/>
  <c r="N102" i="1" a="1"/>
  <c r="N102" i="1" s="1"/>
  <c r="N103" i="1" a="1"/>
  <c r="N103" i="1" s="1"/>
  <c r="N104" i="1" a="1"/>
  <c r="N104" i="1" s="1"/>
  <c r="N105" i="1" a="1"/>
  <c r="N105" i="1" s="1"/>
  <c r="N25" i="1" a="1"/>
  <c r="N25" i="1" s="1"/>
  <c r="N106" i="1" a="1"/>
  <c r="N106" i="1" s="1"/>
  <c r="N54" i="1" a="1"/>
  <c r="N54" i="1" s="1"/>
  <c r="N107" i="1" a="1"/>
  <c r="N107" i="1" s="1"/>
  <c r="N57" i="1" a="1"/>
  <c r="N57" i="1" s="1"/>
  <c r="N108" i="1" a="1"/>
  <c r="N108"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9" i="1" a="1"/>
  <c r="N109" i="1" s="1"/>
  <c r="N69" i="1" a="1"/>
  <c r="N69" i="1" s="1"/>
  <c r="N77" i="1" a="1"/>
  <c r="N77" i="1" s="1"/>
  <c r="N51" i="1" a="1"/>
  <c r="N51" i="1" s="1"/>
  <c r="N52" i="1" a="1"/>
  <c r="N52" i="1" s="1"/>
  <c r="N95" i="1" a="1"/>
  <c r="N95" i="1" s="1"/>
  <c r="N74" i="1" a="1"/>
  <c r="N74" i="1" s="1"/>
  <c r="N73" i="1" a="1"/>
  <c r="N73" i="1" s="1"/>
  <c r="N16" i="1" a="1"/>
  <c r="N16" i="1" s="1"/>
  <c r="N110" i="1" a="1"/>
  <c r="N110" i="1" s="1"/>
  <c r="N111" i="1" a="1"/>
  <c r="N111" i="1" s="1"/>
  <c r="N112" i="1" a="1"/>
  <c r="N112" i="1" s="1"/>
  <c r="N113" i="1" a="1"/>
  <c r="N113" i="1" s="1"/>
  <c r="N114" i="1" a="1"/>
  <c r="N114" i="1" s="1"/>
  <c r="N115" i="1" a="1"/>
  <c r="N115" i="1" s="1"/>
  <c r="N116" i="1" a="1"/>
  <c r="N116" i="1" s="1"/>
  <c r="N117" i="1" a="1"/>
  <c r="N117" i="1" s="1"/>
  <c r="N118" i="1" a="1"/>
  <c r="N118" i="1" s="1"/>
  <c r="N40" i="1" a="1"/>
  <c r="N40" i="1" s="1"/>
  <c r="N42" i="1" a="1"/>
  <c r="N42" i="1" s="1"/>
  <c r="N43" i="1" a="1"/>
  <c r="N43" i="1" s="1"/>
  <c r="N44" i="1" a="1"/>
  <c r="N44" i="1" s="1"/>
  <c r="N45" i="1" a="1"/>
  <c r="N45" i="1" s="1"/>
  <c r="N46" i="1" a="1"/>
  <c r="N46" i="1" s="1"/>
  <c r="N59" i="1" a="1"/>
  <c r="N59" i="1" s="1"/>
  <c r="N58" i="1" a="1"/>
  <c r="N58" i="1" s="1"/>
  <c r="N119" i="1" a="1"/>
  <c r="N119" i="1" s="1"/>
  <c r="N120" i="1" a="1"/>
  <c r="N120" i="1" s="1"/>
  <c r="N121" i="1" a="1"/>
  <c r="N121" i="1" s="1"/>
  <c r="N122" i="1" a="1"/>
  <c r="N122" i="1" s="1"/>
  <c r="N55" i="1" a="1"/>
  <c r="N55" i="1" s="1"/>
  <c r="N49" i="1" a="1"/>
  <c r="N49" i="1" s="1"/>
  <c r="N50" i="1" a="1"/>
  <c r="N50" i="1" s="1"/>
  <c r="N123" i="1" a="1"/>
  <c r="N123" i="1" s="1"/>
  <c r="N86" i="1" a="1"/>
  <c r="N86" i="1" s="1"/>
  <c r="N124" i="1" a="1"/>
  <c r="N124" i="1" s="1"/>
  <c r="N81" i="1" a="1"/>
  <c r="N81" i="1" s="1"/>
  <c r="N75" i="1" a="1"/>
  <c r="N75" i="1" s="1"/>
  <c r="N125" i="1" a="1"/>
  <c r="N125" i="1" s="1"/>
  <c r="N93" i="1" a="1"/>
  <c r="N93" i="1" s="1"/>
  <c r="N126" i="1" a="1"/>
  <c r="N126" i="1" s="1"/>
  <c r="N84" i="1" a="1"/>
  <c r="N84" i="1" s="1"/>
  <c r="N85" i="1" a="1"/>
  <c r="N85" i="1" s="1"/>
  <c r="N127" i="1" a="1"/>
  <c r="N127" i="1" s="1"/>
  <c r="N17" i="1" a="1"/>
  <c r="N17" i="1" s="1"/>
  <c r="N128" i="1" a="1"/>
  <c r="N128" i="1" s="1"/>
  <c r="N129" i="1" a="1"/>
  <c r="N129" i="1" s="1"/>
  <c r="N130" i="1" a="1"/>
  <c r="N130" i="1" s="1"/>
  <c r="N131" i="1" a="1"/>
  <c r="N131" i="1" s="1"/>
  <c r="N132" i="1" a="1"/>
  <c r="N132" i="1" s="1"/>
  <c r="N133" i="1" a="1"/>
  <c r="N133" i="1" s="1"/>
  <c r="N134" i="1" a="1"/>
  <c r="N134" i="1" s="1"/>
  <c r="N135" i="1" a="1"/>
  <c r="N135" i="1" s="1"/>
  <c r="N79" i="1" a="1"/>
  <c r="N79" i="1" s="1"/>
  <c r="N136" i="1" a="1"/>
  <c r="N136" i="1" s="1"/>
  <c r="N71" i="1" a="1"/>
  <c r="N71" i="1" s="1"/>
  <c r="N67" i="1" a="1"/>
  <c r="N67" i="1" s="1"/>
  <c r="N137" i="1" a="1"/>
  <c r="N137" i="1" s="1"/>
  <c r="N138" i="1" a="1"/>
  <c r="N138" i="1" s="1"/>
  <c r="N139" i="1" a="1"/>
  <c r="N139" i="1" s="1"/>
  <c r="N140" i="1" a="1"/>
  <c r="N140" i="1" s="1"/>
  <c r="N141" i="1" a="1"/>
  <c r="N141" i="1" s="1"/>
  <c r="N142" i="1" a="1"/>
  <c r="N142" i="1" s="1"/>
  <c r="N143" i="1" a="1"/>
  <c r="N143" i="1" s="1"/>
  <c r="N144" i="1" a="1"/>
  <c r="N144" i="1" s="1"/>
  <c r="N145" i="1" a="1"/>
  <c r="N145" i="1" s="1"/>
  <c r="N47" i="1" a="1"/>
  <c r="N47" i="1" s="1"/>
  <c r="N48" i="1" a="1"/>
  <c r="N48" i="1" s="1"/>
  <c r="N89" i="1" a="1"/>
  <c r="N89" i="1" s="1"/>
  <c r="N146" i="1" a="1"/>
  <c r="N146" i="1" s="1"/>
  <c r="N72" i="1" a="1"/>
  <c r="N72" i="1" s="1"/>
  <c r="N36" i="1" a="1"/>
  <c r="N36" i="1" s="1"/>
  <c r="N147" i="1" a="1"/>
  <c r="N147" i="1" s="1"/>
  <c r="N148" i="1" a="1"/>
  <c r="N148" i="1" s="1"/>
  <c r="N149" i="1" a="1"/>
  <c r="N149" i="1" s="1"/>
  <c r="N150" i="1" a="1"/>
  <c r="N150" i="1" s="1"/>
  <c r="N88" i="1" a="1"/>
  <c r="N88" i="1" s="1"/>
  <c r="N151" i="1" a="1"/>
  <c r="N151" i="1" s="1"/>
  <c r="N152" i="1" a="1"/>
  <c r="N152" i="1" s="1"/>
  <c r="N31" i="1" a="1"/>
  <c r="N31" i="1" s="1"/>
  <c r="N153" i="1" a="1"/>
  <c r="N153" i="1" s="1"/>
  <c r="N154" i="1" a="1"/>
  <c r="N154" i="1" s="1"/>
  <c r="N28" i="1" a="1"/>
  <c r="N28" i="1" s="1"/>
  <c r="N155" i="1" a="1"/>
  <c r="N155" i="1" s="1"/>
  <c r="N96" i="1" a="1"/>
  <c r="N96"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26" i="1" a="1"/>
  <c r="N26" i="1" s="1"/>
  <c r="N166" i="1" a="1"/>
  <c r="N166" i="1" s="1"/>
  <c r="N167" i="1" a="1"/>
  <c r="N167" i="1" s="1"/>
  <c r="N168" i="1" a="1"/>
  <c r="N168" i="1" s="1"/>
  <c r="N38" i="1" a="1"/>
  <c r="N38" i="1" s="1"/>
  <c r="N169" i="1" a="1"/>
  <c r="N169" i="1" s="1"/>
  <c r="N170" i="1" a="1"/>
  <c r="N170" i="1" s="1"/>
  <c r="N171" i="1" a="1"/>
  <c r="N171" i="1" s="1"/>
  <c r="N18" i="1" a="1"/>
  <c r="N18"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37" i="1" a="1"/>
  <c r="N37" i="1" s="1"/>
  <c r="N182" i="1" a="1"/>
  <c r="N182" i="1" s="1"/>
  <c r="N183" i="1" a="1"/>
  <c r="N183" i="1" s="1"/>
  <c r="N184" i="1" a="1"/>
  <c r="N184" i="1" s="1"/>
  <c r="N24" i="1" a="1"/>
  <c r="N24" i="1" s="1"/>
  <c r="N185" i="1" a="1"/>
  <c r="N185" i="1" s="1"/>
  <c r="N186" i="1" a="1"/>
  <c r="N186" i="1" s="1"/>
  <c r="N187" i="1" a="1"/>
  <c r="N187" i="1" s="1"/>
  <c r="N188" i="1" a="1"/>
  <c r="N188" i="1" s="1"/>
  <c r="N189" i="1" a="1"/>
  <c r="N189" i="1" s="1"/>
  <c r="N190" i="1" a="1"/>
  <c r="N190" i="1" s="1"/>
  <c r="N191" i="1" a="1"/>
  <c r="N191" i="1" s="1"/>
  <c r="N192" i="1" a="1"/>
  <c r="N192" i="1" s="1"/>
  <c r="N22" i="1" a="1"/>
  <c r="N22" i="1" s="1"/>
  <c r="N193" i="1" a="1"/>
  <c r="N193" i="1" s="1"/>
  <c r="N194" i="1" a="1"/>
  <c r="N194" i="1" s="1"/>
  <c r="N195" i="1" a="1"/>
  <c r="N195"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97" i="1" a="1"/>
  <c r="N97" i="1" s="1"/>
  <c r="U98" i="1"/>
  <c r="U94" i="1"/>
  <c r="U99" i="1"/>
  <c r="U33" i="1"/>
  <c r="U34" i="1"/>
  <c r="U27" i="1"/>
  <c r="U61" i="1"/>
  <c r="U100" i="1"/>
  <c r="U101" i="1"/>
  <c r="U92" i="1"/>
  <c r="U102" i="1"/>
  <c r="U103" i="1"/>
  <c r="U104" i="1"/>
  <c r="U105" i="1"/>
  <c r="U25" i="1"/>
  <c r="U106" i="1"/>
  <c r="U54" i="1"/>
  <c r="U107" i="1"/>
  <c r="U57" i="1"/>
  <c r="U108" i="1"/>
  <c r="U19" i="1"/>
  <c r="U15" i="1"/>
  <c r="Y15" i="1" s="1"/>
  <c r="U20" i="1"/>
  <c r="U21" i="1"/>
  <c r="U23" i="1"/>
  <c r="U32" i="1"/>
  <c r="U29" i="1"/>
  <c r="U64" i="1"/>
  <c r="U63" i="1"/>
  <c r="U60" i="1"/>
  <c r="U56" i="1"/>
  <c r="U62" i="1"/>
  <c r="U66" i="1"/>
  <c r="U70" i="1"/>
  <c r="U109" i="1"/>
  <c r="U69" i="1"/>
  <c r="U77" i="1"/>
  <c r="U51" i="1"/>
  <c r="U52" i="1"/>
  <c r="U95" i="1"/>
  <c r="U74" i="1"/>
  <c r="U73" i="1"/>
  <c r="U16" i="1"/>
  <c r="U110" i="1"/>
  <c r="U111" i="1"/>
  <c r="U112" i="1"/>
  <c r="U113" i="1"/>
  <c r="U114" i="1"/>
  <c r="U115" i="1"/>
  <c r="U116" i="1"/>
  <c r="U117" i="1"/>
  <c r="U118" i="1"/>
  <c r="U40" i="1"/>
  <c r="U42" i="1"/>
  <c r="U43" i="1"/>
  <c r="U44" i="1"/>
  <c r="U45" i="1"/>
  <c r="U46" i="1"/>
  <c r="U59" i="1"/>
  <c r="U58" i="1"/>
  <c r="U119" i="1"/>
  <c r="U120" i="1"/>
  <c r="U121" i="1"/>
  <c r="U122" i="1"/>
  <c r="U55" i="1"/>
  <c r="U49" i="1"/>
  <c r="U50" i="1"/>
  <c r="U123" i="1"/>
  <c r="U86" i="1"/>
  <c r="U124" i="1"/>
  <c r="U81" i="1"/>
  <c r="U75" i="1"/>
  <c r="U125" i="1"/>
  <c r="U93" i="1"/>
  <c r="U126" i="1"/>
  <c r="U84" i="1"/>
  <c r="U85" i="1"/>
  <c r="U127" i="1"/>
  <c r="U17" i="1"/>
  <c r="U128" i="1"/>
  <c r="U129" i="1"/>
  <c r="U130" i="1"/>
  <c r="U131" i="1"/>
  <c r="U132" i="1"/>
  <c r="U133" i="1"/>
  <c r="U134" i="1"/>
  <c r="U135" i="1"/>
  <c r="U79" i="1"/>
  <c r="U136" i="1"/>
  <c r="U71" i="1"/>
  <c r="U67" i="1"/>
  <c r="U137" i="1"/>
  <c r="U138" i="1"/>
  <c r="U139" i="1"/>
  <c r="U140" i="1"/>
  <c r="U141" i="1"/>
  <c r="U142" i="1"/>
  <c r="U143" i="1"/>
  <c r="U144" i="1"/>
  <c r="U145" i="1"/>
  <c r="U47" i="1"/>
  <c r="U48" i="1"/>
  <c r="U89" i="1"/>
  <c r="U146" i="1"/>
  <c r="U72" i="1"/>
  <c r="U36" i="1"/>
  <c r="U147" i="1"/>
  <c r="U148" i="1"/>
  <c r="U149" i="1"/>
  <c r="U150" i="1"/>
  <c r="U88" i="1"/>
  <c r="U151" i="1"/>
  <c r="U152" i="1"/>
  <c r="U31" i="1"/>
  <c r="U153" i="1"/>
  <c r="U154" i="1"/>
  <c r="U28" i="1"/>
  <c r="U155" i="1"/>
  <c r="U96" i="1"/>
  <c r="U156" i="1"/>
  <c r="U157" i="1"/>
  <c r="U158" i="1"/>
  <c r="U159" i="1"/>
  <c r="U160" i="1"/>
  <c r="U161" i="1"/>
  <c r="U162" i="1"/>
  <c r="U163" i="1"/>
  <c r="U164" i="1"/>
  <c r="U165" i="1"/>
  <c r="U26" i="1"/>
  <c r="U166" i="1"/>
  <c r="U167" i="1"/>
  <c r="U168" i="1"/>
  <c r="U38" i="1"/>
  <c r="U169" i="1"/>
  <c r="U170" i="1"/>
  <c r="U171" i="1"/>
  <c r="U18" i="1"/>
  <c r="U172" i="1"/>
  <c r="U173" i="1"/>
  <c r="U174" i="1"/>
  <c r="U175" i="1"/>
  <c r="U176" i="1"/>
  <c r="U177" i="1"/>
  <c r="U178" i="1"/>
  <c r="U179" i="1"/>
  <c r="U180" i="1"/>
  <c r="U181" i="1"/>
  <c r="U37" i="1"/>
  <c r="U182" i="1"/>
  <c r="U183" i="1"/>
  <c r="U184" i="1"/>
  <c r="U24" i="1"/>
  <c r="U185" i="1"/>
  <c r="U186" i="1"/>
  <c r="U187" i="1"/>
  <c r="U188" i="1"/>
  <c r="U189" i="1"/>
  <c r="U190" i="1"/>
  <c r="U191" i="1"/>
  <c r="U192" i="1"/>
  <c r="U22" i="1"/>
  <c r="U193" i="1"/>
  <c r="U194" i="1"/>
  <c r="U195"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97" i="1"/>
  <c r="V94" i="1" l="1"/>
  <c r="Y27" i="1"/>
  <c r="V27" i="1" s="1"/>
  <c r="Y212" i="1"/>
  <c r="Y53" i="1"/>
  <c r="V53" i="1" s="1"/>
  <c r="V25" i="1"/>
  <c r="V15" i="1"/>
  <c r="Y107" i="1"/>
  <c r="Y94" i="1"/>
  <c r="Y108" i="1"/>
  <c r="Y64" i="1"/>
  <c r="Y69" i="1"/>
  <c r="V69" i="1" s="1"/>
  <c r="Y110" i="1"/>
  <c r="Y118" i="1"/>
  <c r="Y58" i="1"/>
  <c r="V58" i="1" s="1"/>
  <c r="Y123" i="1"/>
  <c r="Y84" i="1"/>
  <c r="V84" i="1" s="1"/>
  <c r="Y132" i="1"/>
  <c r="Y137" i="1"/>
  <c r="Y145" i="1"/>
  <c r="Y148" i="1"/>
  <c r="Y154" i="1"/>
  <c r="Y160" i="1"/>
  <c r="Y167" i="1"/>
  <c r="Y173" i="1"/>
  <c r="Y181" i="1"/>
  <c r="Y187" i="1"/>
  <c r="Y194" i="1"/>
  <c r="Y201" i="1"/>
  <c r="Y65" i="1"/>
  <c r="V65" i="1" s="1"/>
  <c r="Y209" i="1"/>
  <c r="Y82" i="1"/>
  <c r="V82" i="1" s="1"/>
  <c r="Y98" i="1"/>
  <c r="Y220" i="1"/>
  <c r="Y224" i="1"/>
  <c r="Y99" i="1"/>
  <c r="Y92" i="1"/>
  <c r="V92" i="1" s="1"/>
  <c r="Y103" i="1"/>
  <c r="Y23" i="1"/>
  <c r="V23" i="1" s="1"/>
  <c r="Y66" i="1"/>
  <c r="V66" i="1" s="1"/>
  <c r="Y74" i="1"/>
  <c r="V74" i="1" s="1"/>
  <c r="Y116" i="1"/>
  <c r="Y45" i="1"/>
  <c r="V45" i="1" s="1"/>
  <c r="Y55" i="1"/>
  <c r="V55" i="1" s="1"/>
  <c r="Y125" i="1"/>
  <c r="Y129" i="1"/>
  <c r="Y136" i="1"/>
  <c r="Y142" i="1"/>
  <c r="Y72" i="1"/>
  <c r="V72" i="1" s="1"/>
  <c r="Y152" i="1"/>
  <c r="Y157" i="1"/>
  <c r="Y165" i="1"/>
  <c r="Y171" i="1"/>
  <c r="Y178" i="1"/>
  <c r="Y24" i="1"/>
  <c r="V24" i="1" s="1"/>
  <c r="Y192" i="1"/>
  <c r="Y198" i="1"/>
  <c r="Y41" i="1"/>
  <c r="V41" i="1" s="1"/>
  <c r="Y207" i="1"/>
  <c r="Y102" i="1"/>
  <c r="Y101" i="1"/>
  <c r="Y32" i="1"/>
  <c r="V32" i="1" s="1"/>
  <c r="Y70" i="1"/>
  <c r="V70" i="1" s="1"/>
  <c r="Y73" i="1"/>
  <c r="V73" i="1" s="1"/>
  <c r="Y115" i="1"/>
  <c r="Y46" i="1"/>
  <c r="V46" i="1" s="1"/>
  <c r="Y49" i="1"/>
  <c r="V49" i="1" s="1"/>
  <c r="Y93" i="1"/>
  <c r="V93" i="1" s="1"/>
  <c r="Y130" i="1"/>
  <c r="Y71" i="1"/>
  <c r="V71" i="1" s="1"/>
  <c r="Y143" i="1"/>
  <c r="Y36" i="1"/>
  <c r="V36" i="1" s="1"/>
  <c r="Y31" i="1"/>
  <c r="V31" i="1" s="1"/>
  <c r="Y158" i="1"/>
  <c r="Y26" i="1"/>
  <c r="V26" i="1" s="1"/>
  <c r="Y18" i="1"/>
  <c r="V18" i="1" s="1"/>
  <c r="Y179" i="1"/>
  <c r="Y185" i="1"/>
  <c r="Y22" i="1"/>
  <c r="V22" i="1" s="1"/>
  <c r="Y199" i="1"/>
  <c r="Y78" i="1"/>
  <c r="V78" i="1" s="1"/>
  <c r="Y208" i="1"/>
  <c r="Y68" i="1"/>
  <c r="V68" i="1" s="1"/>
  <c r="Y54" i="1"/>
  <c r="V54" i="1" s="1"/>
  <c r="Y57" i="1"/>
  <c r="V57" i="1" s="1"/>
  <c r="Y29" i="1"/>
  <c r="V29" i="1" s="1"/>
  <c r="Y109" i="1"/>
  <c r="Y16" i="1"/>
  <c r="V16" i="1" s="1"/>
  <c r="Y117" i="1"/>
  <c r="Y59" i="1"/>
  <c r="V59" i="1" s="1"/>
  <c r="Y50" i="1"/>
  <c r="V50" i="1" s="1"/>
  <c r="Y126" i="1"/>
  <c r="Y131" i="1"/>
  <c r="Y67" i="1"/>
  <c r="Y144" i="1"/>
  <c r="Y147" i="1"/>
  <c r="Y153" i="1"/>
  <c r="Y159" i="1"/>
  <c r="Y166" i="1"/>
  <c r="Y172" i="1"/>
  <c r="Y180" i="1"/>
  <c r="Y186" i="1"/>
  <c r="Y193" i="1"/>
  <c r="Y200" i="1"/>
  <c r="Y204" i="1"/>
  <c r="Y87" i="1"/>
  <c r="V87" i="1" s="1"/>
  <c r="Y215" i="1"/>
  <c r="Y221" i="1"/>
  <c r="Y30" i="1"/>
  <c r="V30" i="1" s="1"/>
  <c r="Y34" i="1"/>
  <c r="V34" i="1" s="1"/>
  <c r="Y19" i="1"/>
  <c r="V19" i="1" s="1"/>
  <c r="Y63" i="1"/>
  <c r="V63" i="1" s="1"/>
  <c r="Y77" i="1"/>
  <c r="V77" i="1" s="1"/>
  <c r="Y111" i="1"/>
  <c r="Y40" i="1"/>
  <c r="V40" i="1" s="1"/>
  <c r="Y119" i="1"/>
  <c r="Y86" i="1"/>
  <c r="V86" i="1" s="1"/>
  <c r="Y85" i="1"/>
  <c r="V85" i="1" s="1"/>
  <c r="Y138" i="1"/>
  <c r="Y47" i="1"/>
  <c r="V47" i="1" s="1"/>
  <c r="Y149" i="1"/>
  <c r="Y28" i="1"/>
  <c r="V28" i="1" s="1"/>
  <c r="Y161" i="1"/>
  <c r="Y168" i="1"/>
  <c r="Y174" i="1"/>
  <c r="Y37" i="1"/>
  <c r="V37" i="1" s="1"/>
  <c r="Y188" i="1"/>
  <c r="Y195" i="1"/>
  <c r="Y202" i="1"/>
  <c r="Y205" i="1"/>
  <c r="Y210" i="1"/>
  <c r="Y216" i="1"/>
  <c r="Y33" i="1"/>
  <c r="V33" i="1" s="1"/>
  <c r="Y51" i="1"/>
  <c r="V51" i="1" s="1"/>
  <c r="Y104" i="1"/>
  <c r="Y20" i="1"/>
  <c r="V20" i="1" s="1"/>
  <c r="Y56" i="1"/>
  <c r="V56" i="1" s="1"/>
  <c r="Y52" i="1"/>
  <c r="V52" i="1" s="1"/>
  <c r="Y113" i="1"/>
  <c r="Y43" i="1"/>
  <c r="V43" i="1" s="1"/>
  <c r="Y121" i="1"/>
  <c r="Y81" i="1"/>
  <c r="V81" i="1" s="1"/>
  <c r="Y17" i="1"/>
  <c r="V17" i="1" s="1"/>
  <c r="Y135" i="1"/>
  <c r="Y140" i="1"/>
  <c r="Y89" i="1"/>
  <c r="V89" i="1" s="1"/>
  <c r="Y88" i="1"/>
  <c r="V88" i="1" s="1"/>
  <c r="Y96" i="1"/>
  <c r="V96" i="1" s="1"/>
  <c r="Y163" i="1"/>
  <c r="Y169" i="1"/>
  <c r="Y176" i="1"/>
  <c r="Y183" i="1"/>
  <c r="Y190" i="1"/>
  <c r="Y90" i="1"/>
  <c r="V90" i="1" s="1"/>
  <c r="Y83" i="1"/>
  <c r="V83" i="1" s="1"/>
  <c r="Y76" i="1"/>
  <c r="V76" i="1" s="1"/>
  <c r="Y35" i="1"/>
  <c r="V35" i="1" s="1"/>
  <c r="Y218" i="1"/>
  <c r="Y223" i="1"/>
  <c r="Y61" i="1"/>
  <c r="V61" i="1" s="1"/>
  <c r="Y97" i="1"/>
  <c r="Y21" i="1"/>
  <c r="V21" i="1" s="1"/>
  <c r="Y62" i="1"/>
  <c r="V62" i="1" s="1"/>
  <c r="Y95" i="1"/>
  <c r="V95" i="1" s="1"/>
  <c r="Y114" i="1"/>
  <c r="Y44" i="1"/>
  <c r="V44" i="1" s="1"/>
  <c r="Y122" i="1"/>
  <c r="Y75" i="1"/>
  <c r="V75" i="1" s="1"/>
  <c r="Y128" i="1"/>
  <c r="Y79" i="1"/>
  <c r="V79" i="1" s="1"/>
  <c r="Y141" i="1"/>
  <c r="Y146" i="1"/>
  <c r="Y151" i="1"/>
  <c r="Y156" i="1"/>
  <c r="Y164" i="1"/>
  <c r="Y170" i="1"/>
  <c r="Y177" i="1"/>
  <c r="Y184" i="1"/>
  <c r="Y191" i="1"/>
  <c r="Y197" i="1"/>
  <c r="Y203" i="1"/>
  <c r="Y91" i="1"/>
  <c r="V91" i="1" s="1"/>
  <c r="Y213" i="1"/>
  <c r="Y219" i="1"/>
  <c r="Y39" i="1"/>
  <c r="V39" i="1" s="1"/>
  <c r="Y100" i="1"/>
  <c r="Y106" i="1"/>
  <c r="Y214" i="1"/>
  <c r="Y105" i="1"/>
  <c r="Y60" i="1"/>
  <c r="V60" i="1" s="1"/>
  <c r="Y112" i="1"/>
  <c r="Y42" i="1"/>
  <c r="V42" i="1" s="1"/>
  <c r="Y120" i="1"/>
  <c r="Y124" i="1"/>
  <c r="Y127" i="1"/>
  <c r="Y134" i="1"/>
  <c r="Y139" i="1"/>
  <c r="Y48" i="1"/>
  <c r="V48" i="1" s="1"/>
  <c r="Y150" i="1"/>
  <c r="Y155" i="1"/>
  <c r="Y162" i="1"/>
  <c r="Y38" i="1"/>
  <c r="V38" i="1" s="1"/>
  <c r="Y175" i="1"/>
  <c r="Y182" i="1"/>
  <c r="Y189"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98" i="1" a="1"/>
  <c r="O98" i="1" s="1"/>
  <c r="O94" i="1" a="1"/>
  <c r="O94" i="1" s="1"/>
  <c r="O99" i="1" a="1"/>
  <c r="O99" i="1" s="1"/>
  <c r="O33" i="1" a="1"/>
  <c r="O33" i="1" s="1"/>
  <c r="O34" i="1" a="1"/>
  <c r="O34" i="1" s="1"/>
  <c r="O27" i="1" a="1"/>
  <c r="O27" i="1" s="1"/>
  <c r="O61" i="1" a="1"/>
  <c r="O61" i="1" s="1"/>
  <c r="O100" i="1" a="1"/>
  <c r="O100" i="1" s="1"/>
  <c r="O101" i="1" a="1"/>
  <c r="O101" i="1" s="1"/>
  <c r="O92" i="1" a="1"/>
  <c r="O92" i="1" s="1"/>
  <c r="O102" i="1" a="1"/>
  <c r="O102" i="1" s="1"/>
  <c r="O103" i="1" a="1"/>
  <c r="O103" i="1" s="1"/>
  <c r="O104" i="1" a="1"/>
  <c r="O104" i="1" s="1"/>
  <c r="O105" i="1" a="1"/>
  <c r="O105" i="1" s="1"/>
  <c r="O25" i="1" a="1"/>
  <c r="O25" i="1" s="1"/>
  <c r="O106" i="1" a="1"/>
  <c r="O106" i="1" s="1"/>
  <c r="O54" i="1" a="1"/>
  <c r="O54" i="1" s="1"/>
  <c r="O107" i="1" a="1"/>
  <c r="O107" i="1" s="1"/>
  <c r="O57" i="1" a="1"/>
  <c r="O57" i="1" s="1"/>
  <c r="O108" i="1" a="1"/>
  <c r="O108"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9" i="1" a="1"/>
  <c r="O109" i="1" s="1"/>
  <c r="O69" i="1" a="1"/>
  <c r="O69" i="1" s="1"/>
  <c r="O77" i="1" a="1"/>
  <c r="O77" i="1" s="1"/>
  <c r="O51" i="1" a="1"/>
  <c r="O51" i="1" s="1"/>
  <c r="O52" i="1" a="1"/>
  <c r="O52" i="1" s="1"/>
  <c r="O95" i="1" a="1"/>
  <c r="O95" i="1" s="1"/>
  <c r="O74" i="1" a="1"/>
  <c r="O74" i="1" s="1"/>
  <c r="O73" i="1" a="1"/>
  <c r="O73" i="1" s="1"/>
  <c r="O16" i="1" a="1"/>
  <c r="O16" i="1" s="1"/>
  <c r="O110" i="1" a="1"/>
  <c r="O110" i="1" s="1"/>
  <c r="O111" i="1" a="1"/>
  <c r="O111" i="1" s="1"/>
  <c r="O112" i="1" a="1"/>
  <c r="O112" i="1" s="1"/>
  <c r="O113" i="1" a="1"/>
  <c r="O113" i="1" s="1"/>
  <c r="O114" i="1" a="1"/>
  <c r="O114" i="1" s="1"/>
  <c r="O115" i="1" a="1"/>
  <c r="O115" i="1" s="1"/>
  <c r="O116" i="1" a="1"/>
  <c r="O116" i="1" s="1"/>
  <c r="O117" i="1" a="1"/>
  <c r="O117" i="1" s="1"/>
  <c r="O118" i="1" a="1"/>
  <c r="O118" i="1" s="1"/>
  <c r="O40" i="1" a="1"/>
  <c r="O40" i="1" s="1"/>
  <c r="O42" i="1" a="1"/>
  <c r="O42" i="1" s="1"/>
  <c r="O43" i="1" a="1"/>
  <c r="O43" i="1" s="1"/>
  <c r="O44" i="1" a="1"/>
  <c r="O44" i="1" s="1"/>
  <c r="O45" i="1" a="1"/>
  <c r="O45" i="1" s="1"/>
  <c r="O46" i="1" a="1"/>
  <c r="O46" i="1" s="1"/>
  <c r="O59" i="1" a="1"/>
  <c r="O59" i="1" s="1"/>
  <c r="O58" i="1" a="1"/>
  <c r="O58" i="1" s="1"/>
  <c r="O119" i="1" a="1"/>
  <c r="O119" i="1" s="1"/>
  <c r="O120" i="1" a="1"/>
  <c r="O120" i="1" s="1"/>
  <c r="O121" i="1" a="1"/>
  <c r="O121" i="1" s="1"/>
  <c r="O122" i="1" a="1"/>
  <c r="O122" i="1" s="1"/>
  <c r="O55" i="1" a="1"/>
  <c r="O55" i="1" s="1"/>
  <c r="O49" i="1" a="1"/>
  <c r="O49" i="1" s="1"/>
  <c r="O50" i="1" a="1"/>
  <c r="O50" i="1" s="1"/>
  <c r="O123" i="1" a="1"/>
  <c r="O123" i="1" s="1"/>
  <c r="O86" i="1" a="1"/>
  <c r="O86" i="1" s="1"/>
  <c r="O124" i="1" a="1"/>
  <c r="O124" i="1" s="1"/>
  <c r="O81" i="1" a="1"/>
  <c r="O81" i="1" s="1"/>
  <c r="O75" i="1" a="1"/>
  <c r="O75" i="1" s="1"/>
  <c r="O125" i="1" a="1"/>
  <c r="O125" i="1" s="1"/>
  <c r="O93" i="1" a="1"/>
  <c r="O93" i="1" s="1"/>
  <c r="O126" i="1" a="1"/>
  <c r="O126" i="1" s="1"/>
  <c r="O84" i="1" a="1"/>
  <c r="O84" i="1" s="1"/>
  <c r="O85" i="1" a="1"/>
  <c r="O85" i="1" s="1"/>
  <c r="O127" i="1" a="1"/>
  <c r="O127" i="1" s="1"/>
  <c r="O17" i="1" a="1"/>
  <c r="O17" i="1" s="1"/>
  <c r="O128" i="1" a="1"/>
  <c r="O128" i="1" s="1"/>
  <c r="O129" i="1" a="1"/>
  <c r="O129" i="1" s="1"/>
  <c r="O130" i="1" a="1"/>
  <c r="O130" i="1" s="1"/>
  <c r="O131" i="1" a="1"/>
  <c r="O131" i="1" s="1"/>
  <c r="O132" i="1" a="1"/>
  <c r="O132" i="1" s="1"/>
  <c r="O133" i="1" a="1"/>
  <c r="O133" i="1" s="1"/>
  <c r="O134" i="1" a="1"/>
  <c r="O134" i="1" s="1"/>
  <c r="O135" i="1" a="1"/>
  <c r="O135" i="1" s="1"/>
  <c r="O79" i="1" a="1"/>
  <c r="O79" i="1" s="1"/>
  <c r="O136" i="1" a="1"/>
  <c r="O136" i="1" s="1"/>
  <c r="O71" i="1" a="1"/>
  <c r="O71" i="1" s="1"/>
  <c r="O67" i="1" a="1"/>
  <c r="O67" i="1" s="1"/>
  <c r="O137" i="1" a="1"/>
  <c r="O137" i="1" s="1"/>
  <c r="O138" i="1" a="1"/>
  <c r="O138" i="1" s="1"/>
  <c r="O139" i="1" a="1"/>
  <c r="O139" i="1" s="1"/>
  <c r="O140" i="1" a="1"/>
  <c r="O140" i="1" s="1"/>
  <c r="O141" i="1" a="1"/>
  <c r="O141" i="1" s="1"/>
  <c r="O142" i="1" a="1"/>
  <c r="O142" i="1" s="1"/>
  <c r="O143" i="1" a="1"/>
  <c r="O143" i="1" s="1"/>
  <c r="O144" i="1" a="1"/>
  <c r="O144" i="1" s="1"/>
  <c r="O145" i="1" a="1"/>
  <c r="O145" i="1" s="1"/>
  <c r="O47" i="1" a="1"/>
  <c r="O47" i="1" s="1"/>
  <c r="O48" i="1" a="1"/>
  <c r="O48" i="1" s="1"/>
  <c r="O89" i="1" a="1"/>
  <c r="O89" i="1" s="1"/>
  <c r="O146" i="1" a="1"/>
  <c r="O146" i="1" s="1"/>
  <c r="O72" i="1" a="1"/>
  <c r="O72" i="1" s="1"/>
  <c r="O36" i="1" a="1"/>
  <c r="O36" i="1" s="1"/>
  <c r="O147" i="1" a="1"/>
  <c r="O147" i="1" s="1"/>
  <c r="O148" i="1" a="1"/>
  <c r="O148" i="1" s="1"/>
  <c r="O149" i="1" a="1"/>
  <c r="O149" i="1" s="1"/>
  <c r="O150" i="1" a="1"/>
  <c r="O150" i="1" s="1"/>
  <c r="O88" i="1" a="1"/>
  <c r="O88" i="1" s="1"/>
  <c r="O151" i="1" a="1"/>
  <c r="O151" i="1" s="1"/>
  <c r="O152" i="1" a="1"/>
  <c r="O152" i="1" s="1"/>
  <c r="O31" i="1" a="1"/>
  <c r="O31" i="1" s="1"/>
  <c r="O153" i="1" a="1"/>
  <c r="O153" i="1" s="1"/>
  <c r="O154" i="1" a="1"/>
  <c r="O154" i="1" s="1"/>
  <c r="O28" i="1" a="1"/>
  <c r="O28" i="1" s="1"/>
  <c r="O155" i="1" a="1"/>
  <c r="O155" i="1" s="1"/>
  <c r="O96" i="1" a="1"/>
  <c r="O96"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26" i="1" a="1"/>
  <c r="O26" i="1" s="1"/>
  <c r="O166" i="1" a="1"/>
  <c r="O166" i="1" s="1"/>
  <c r="O167" i="1" a="1"/>
  <c r="O167" i="1" s="1"/>
  <c r="O168" i="1" a="1"/>
  <c r="O168" i="1" s="1"/>
  <c r="O38" i="1" a="1"/>
  <c r="O38" i="1" s="1"/>
  <c r="O169" i="1" a="1"/>
  <c r="O169" i="1" s="1"/>
  <c r="O170" i="1" a="1"/>
  <c r="O170" i="1" s="1"/>
  <c r="O171" i="1" a="1"/>
  <c r="O171" i="1" s="1"/>
  <c r="O18" i="1" a="1"/>
  <c r="O18"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37" i="1" a="1"/>
  <c r="O37" i="1" s="1"/>
  <c r="O182" i="1" a="1"/>
  <c r="O182" i="1" s="1"/>
  <c r="O183" i="1" a="1"/>
  <c r="O183" i="1" s="1"/>
  <c r="O184" i="1" a="1"/>
  <c r="O184" i="1" s="1"/>
  <c r="O24" i="1" a="1"/>
  <c r="O24" i="1" s="1"/>
  <c r="O185" i="1" a="1"/>
  <c r="O185" i="1" s="1"/>
  <c r="O189" i="1" a="1"/>
  <c r="O189" i="1" s="1"/>
  <c r="O202" i="1" a="1"/>
  <c r="O202" i="1" s="1"/>
  <c r="O198" i="1" a="1"/>
  <c r="O198" i="1" s="1"/>
  <c r="O201" i="1" a="1"/>
  <c r="O201" i="1" s="1"/>
  <c r="O197" i="1" a="1"/>
  <c r="O197" i="1" s="1"/>
  <c r="O188" i="1" a="1"/>
  <c r="O188" i="1" s="1"/>
  <c r="O187" i="1" a="1"/>
  <c r="O187" i="1" s="1"/>
  <c r="O90" i="1" a="1"/>
  <c r="O90" i="1" s="1"/>
  <c r="O199" i="1" a="1"/>
  <c r="O199" i="1" s="1"/>
  <c r="O200" i="1" a="1"/>
  <c r="O200" i="1" s="1"/>
  <c r="O83" i="1" a="1"/>
  <c r="O83" i="1" s="1"/>
  <c r="O214" i="1" a="1"/>
  <c r="O214" i="1" s="1"/>
  <c r="O186" i="1" a="1"/>
  <c r="O186" i="1" s="1"/>
  <c r="O210" i="1" a="1"/>
  <c r="O210" i="1" s="1"/>
  <c r="O205" i="1" a="1"/>
  <c r="O205" i="1" s="1"/>
  <c r="O91" i="1" a="1"/>
  <c r="O91" i="1" s="1"/>
  <c r="O216" i="1" a="1"/>
  <c r="O216" i="1" s="1"/>
  <c r="O194" i="1" a="1"/>
  <c r="O194"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0" i="1" a="1"/>
  <c r="O190" i="1" s="1"/>
  <c r="O191" i="1" a="1"/>
  <c r="O191" i="1" s="1"/>
  <c r="O192" i="1" a="1"/>
  <c r="O192" i="1" s="1"/>
  <c r="O193" i="1" a="1"/>
  <c r="O193" i="1" s="1"/>
  <c r="O195" i="1" a="1"/>
  <c r="O195"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97" i="1" a="1"/>
  <c r="O97" i="1" s="1"/>
  <c r="J185" i="1" a="1"/>
  <c r="J185" i="1" s="1"/>
  <c r="I30" i="2" l="1"/>
  <c r="X210" i="10"/>
  <c r="A2" i="1"/>
  <c r="G120" i="4" l="1"/>
  <c r="G34" i="4"/>
  <c r="G40" i="3"/>
  <c r="G109" i="4"/>
  <c r="G93" i="4"/>
  <c r="G12" i="4"/>
  <c r="G10" i="4"/>
  <c r="G107" i="4"/>
  <c r="G18" i="4"/>
  <c r="G52" i="4"/>
  <c r="G19" i="4"/>
  <c r="G38" i="3"/>
  <c r="G74" i="4"/>
  <c r="G87" i="4"/>
  <c r="G21" i="3"/>
  <c r="G71" i="4"/>
  <c r="G103" i="4"/>
  <c r="G64" i="2"/>
  <c r="G55" i="4"/>
  <c r="G45" i="4"/>
  <c r="G51" i="2"/>
  <c r="G26" i="4"/>
  <c r="G43" i="2"/>
  <c r="G53" i="2"/>
  <c r="G34" i="3"/>
  <c r="G25" i="3"/>
  <c r="G16" i="3"/>
  <c r="G58" i="2"/>
  <c r="G32" i="4"/>
  <c r="G44" i="4"/>
  <c r="G81" i="4"/>
  <c r="G115" i="4"/>
  <c r="G60" i="4"/>
  <c r="G29" i="4"/>
  <c r="G36" i="4"/>
  <c r="G62" i="2"/>
  <c r="G29" i="2"/>
  <c r="G13" i="4"/>
  <c r="G86" i="4"/>
  <c r="G123" i="4"/>
  <c r="G10" i="3"/>
  <c r="G48" i="2"/>
  <c r="G20" i="4"/>
  <c r="G14" i="2"/>
  <c r="G59" i="2"/>
  <c r="G112" i="4"/>
  <c r="G16" i="2"/>
  <c r="G38" i="2"/>
  <c r="G63" i="2"/>
  <c r="G15" i="2"/>
  <c r="G96" i="4"/>
  <c r="G18" i="3"/>
  <c r="G45" i="2"/>
  <c r="G16" i="4"/>
  <c r="G55" i="2"/>
  <c r="G89" i="4"/>
  <c r="G33" i="3"/>
  <c r="G37" i="4"/>
  <c r="G108" i="4"/>
  <c r="G35" i="2"/>
  <c r="G80" i="4"/>
  <c r="G61" i="4"/>
  <c r="G24" i="3"/>
  <c r="G69" i="4"/>
  <c r="G42" i="4"/>
  <c r="G34" i="2"/>
  <c r="G27" i="2"/>
  <c r="G100" i="4"/>
  <c r="G99" i="4"/>
  <c r="G33" i="2"/>
  <c r="G31" i="4"/>
  <c r="G83" i="4"/>
  <c r="G72" i="4"/>
  <c r="G20" i="3"/>
  <c r="G82" i="4"/>
  <c r="G39" i="2"/>
  <c r="G56" i="4"/>
  <c r="G19" i="3"/>
  <c r="G23" i="2"/>
  <c r="G7" i="3"/>
  <c r="G91" i="4"/>
  <c r="G39" i="3"/>
  <c r="G13" i="3"/>
  <c r="G29" i="3"/>
  <c r="G42" i="2"/>
  <c r="G95" i="4"/>
  <c r="G30" i="2"/>
  <c r="G49" i="2"/>
  <c r="G77" i="4"/>
  <c r="G105" i="4"/>
  <c r="G49" i="4"/>
  <c r="G58" i="4"/>
  <c r="G7" i="4"/>
  <c r="G44" i="2"/>
  <c r="G92" i="4"/>
  <c r="G37" i="2"/>
  <c r="G17" i="4"/>
  <c r="G84" i="4"/>
  <c r="G113" i="4"/>
  <c r="G32" i="2"/>
  <c r="G24" i="2"/>
  <c r="G79" i="4"/>
  <c r="G27" i="4"/>
  <c r="G48" i="4"/>
  <c r="G30" i="4"/>
  <c r="G37" i="3"/>
  <c r="G122" i="4"/>
  <c r="G41" i="2"/>
  <c r="G33" i="4"/>
  <c r="G21" i="2"/>
  <c r="G47" i="2"/>
  <c r="G119" i="4"/>
  <c r="G51" i="4"/>
  <c r="G85" i="4"/>
  <c r="G78" i="4"/>
  <c r="G11" i="2"/>
  <c r="G111" i="4"/>
  <c r="G28" i="3"/>
  <c r="G64" i="4"/>
  <c r="G9" i="4"/>
  <c r="G117" i="4"/>
  <c r="G25" i="2"/>
  <c r="G65" i="4"/>
  <c r="G40" i="4"/>
  <c r="G32" i="3"/>
  <c r="G53" i="4"/>
  <c r="G56" i="2"/>
  <c r="G41" i="4"/>
  <c r="G63" i="4"/>
  <c r="G18" i="2"/>
  <c r="G14" i="3"/>
  <c r="G35" i="4"/>
  <c r="G116" i="4"/>
  <c r="G35" i="3"/>
  <c r="G106" i="4"/>
  <c r="G50" i="4"/>
  <c r="G14" i="4"/>
  <c r="G59" i="4"/>
  <c r="G118" i="4"/>
  <c r="G22" i="2"/>
  <c r="G47" i="4"/>
  <c r="G57" i="4"/>
  <c r="G98" i="4"/>
  <c r="G9" i="2"/>
  <c r="G28" i="2"/>
  <c r="G21" i="4"/>
  <c r="G39" i="4"/>
  <c r="G75" i="4"/>
  <c r="G23" i="3"/>
  <c r="G61" i="2"/>
  <c r="G104" i="4"/>
  <c r="G28" i="4"/>
  <c r="G67" i="4"/>
  <c r="G8" i="3"/>
  <c r="G41" i="3"/>
  <c r="G68" i="4"/>
  <c r="G17" i="3"/>
  <c r="G54" i="2"/>
  <c r="G73" i="4"/>
  <c r="G10" i="2"/>
  <c r="G90" i="4"/>
  <c r="G15" i="4"/>
  <c r="G31" i="3"/>
  <c r="G52" i="2"/>
  <c r="G57" i="2"/>
  <c r="G19" i="2"/>
  <c r="G43" i="4"/>
  <c r="G97" i="4"/>
  <c r="G20" i="2"/>
  <c r="G36" i="3"/>
  <c r="G110" i="4"/>
  <c r="G46" i="4"/>
  <c r="G114" i="4"/>
  <c r="G54" i="4"/>
  <c r="G22" i="4"/>
  <c r="G12" i="2"/>
  <c r="G102" i="4"/>
  <c r="G25" i="4"/>
  <c r="G13" i="2"/>
  <c r="G7" i="2"/>
  <c r="G15" i="3"/>
  <c r="G24" i="4"/>
  <c r="G8" i="4"/>
  <c r="G38" i="4"/>
  <c r="G30" i="3"/>
  <c r="G88" i="4"/>
  <c r="G11" i="3"/>
  <c r="G36" i="2"/>
  <c r="G9" i="3"/>
  <c r="G27" i="3"/>
  <c r="G26" i="3"/>
  <c r="G70" i="4"/>
  <c r="G26" i="2"/>
  <c r="G121" i="4"/>
  <c r="G62" i="4"/>
  <c r="G31" i="2"/>
  <c r="G66" i="4"/>
  <c r="G76" i="4"/>
  <c r="G22" i="3"/>
  <c r="G17" i="2"/>
  <c r="G101" i="4"/>
  <c r="G50" i="2"/>
  <c r="G60" i="2"/>
  <c r="G23" i="4"/>
  <c r="G94" i="4"/>
  <c r="G12" i="3"/>
  <c r="G8" i="2"/>
  <c r="G11" i="4"/>
  <c r="G40" i="2"/>
  <c r="G46" i="2"/>
  <c r="AB212" i="10"/>
  <c r="AB213" i="10"/>
  <c r="H101" i="4"/>
  <c r="H8" i="4"/>
  <c r="H14" i="4"/>
  <c r="H21" i="4"/>
  <c r="H28" i="4"/>
  <c r="H33" i="4"/>
  <c r="H36" i="4"/>
  <c r="H93" i="4"/>
  <c r="H119" i="4"/>
  <c r="H83" i="4"/>
  <c r="H86" i="4"/>
  <c r="H51" i="4"/>
  <c r="H123" i="4"/>
  <c r="H66" i="4"/>
  <c r="H74" i="4"/>
  <c r="H12" i="2"/>
  <c r="H18" i="2"/>
  <c r="H24" i="2"/>
  <c r="H29" i="2"/>
  <c r="H60" i="2"/>
  <c r="H39" i="2"/>
  <c r="H41" i="2"/>
  <c r="H9" i="3"/>
  <c r="H39" i="3"/>
  <c r="H18" i="3"/>
  <c r="H23" i="3"/>
  <c r="H35" i="3"/>
  <c r="H18" i="4"/>
  <c r="H34" i="4"/>
  <c r="H118" i="4"/>
  <c r="H48" i="4"/>
  <c r="H70" i="4"/>
  <c r="H61" i="2"/>
  <c r="H36" i="2"/>
  <c r="H14" i="3"/>
  <c r="H27" i="3"/>
  <c r="H12" i="4"/>
  <c r="H31" i="4"/>
  <c r="H94" i="4"/>
  <c r="H64" i="4"/>
  <c r="H59" i="2"/>
  <c r="H7" i="3"/>
  <c r="H36" i="3"/>
  <c r="H102" i="4"/>
  <c r="H9" i="4"/>
  <c r="H15" i="4"/>
  <c r="H22" i="4"/>
  <c r="H29" i="4"/>
  <c r="H113" i="4"/>
  <c r="H80" i="4"/>
  <c r="H98" i="4"/>
  <c r="H120" i="4"/>
  <c r="H40" i="4"/>
  <c r="H84" i="4"/>
  <c r="H52" i="4"/>
  <c r="H59" i="4"/>
  <c r="H67" i="4"/>
  <c r="H75" i="4"/>
  <c r="H13" i="2"/>
  <c r="H19" i="2"/>
  <c r="H25" i="2"/>
  <c r="H63" i="2"/>
  <c r="H48" i="2"/>
  <c r="H50" i="2"/>
  <c r="H54" i="2"/>
  <c r="H31" i="3"/>
  <c r="H40" i="3"/>
  <c r="H32" i="3"/>
  <c r="H24" i="3"/>
  <c r="H11" i="4"/>
  <c r="H97" i="4"/>
  <c r="H55" i="4"/>
  <c r="H8" i="2"/>
  <c r="H27" i="2"/>
  <c r="H52" i="2"/>
  <c r="H20" i="3"/>
  <c r="H26" i="4"/>
  <c r="H37" i="4"/>
  <c r="H44" i="4"/>
  <c r="H57" i="4"/>
  <c r="H16" i="2"/>
  <c r="H33" i="2"/>
  <c r="H37" i="3"/>
  <c r="H7" i="4"/>
  <c r="H32" i="4"/>
  <c r="H117" i="4"/>
  <c r="H45" i="4"/>
  <c r="H65" i="4"/>
  <c r="H17" i="2"/>
  <c r="H45" i="2"/>
  <c r="H38" i="2"/>
  <c r="H38" i="3"/>
  <c r="H41" i="3"/>
  <c r="H103" i="4"/>
  <c r="H108" i="4"/>
  <c r="H16" i="4"/>
  <c r="H78" i="4"/>
  <c r="H30" i="4"/>
  <c r="H79" i="4"/>
  <c r="H88" i="4"/>
  <c r="H99" i="4"/>
  <c r="H121" i="4"/>
  <c r="H41" i="4"/>
  <c r="H46" i="4"/>
  <c r="H53" i="4"/>
  <c r="H60" i="4"/>
  <c r="H68" i="4"/>
  <c r="H76" i="4"/>
  <c r="H14" i="2"/>
  <c r="H20" i="2"/>
  <c r="H47" i="2"/>
  <c r="H30" i="2"/>
  <c r="H34" i="2"/>
  <c r="H46" i="2"/>
  <c r="H42" i="2"/>
  <c r="H30" i="3"/>
  <c r="H33" i="3"/>
  <c r="H19" i="3"/>
  <c r="H25" i="3"/>
  <c r="H44" i="2"/>
  <c r="H72" i="4"/>
  <c r="H104" i="4"/>
  <c r="H10" i="4"/>
  <c r="H17" i="4"/>
  <c r="H111" i="4"/>
  <c r="H112" i="4"/>
  <c r="H114" i="4"/>
  <c r="H115" i="4"/>
  <c r="H38" i="4"/>
  <c r="H122" i="4"/>
  <c r="H42" i="4"/>
  <c r="H47" i="4"/>
  <c r="H54" i="4"/>
  <c r="H61" i="4"/>
  <c r="H69" i="4"/>
  <c r="H100" i="4"/>
  <c r="H55" i="2"/>
  <c r="H21" i="2"/>
  <c r="H26" i="2"/>
  <c r="H31" i="2"/>
  <c r="H35" i="2"/>
  <c r="H51" i="2"/>
  <c r="H43" i="2"/>
  <c r="H10" i="3"/>
  <c r="H13" i="3"/>
  <c r="H34" i="3"/>
  <c r="H26" i="3"/>
  <c r="H105" i="4"/>
  <c r="H23" i="4"/>
  <c r="H77" i="4"/>
  <c r="H89" i="4"/>
  <c r="H43" i="4"/>
  <c r="H62" i="4"/>
  <c r="H56" i="2"/>
  <c r="H32" i="2"/>
  <c r="H11" i="3"/>
  <c r="H107" i="4"/>
  <c r="H92" i="4"/>
  <c r="H39" i="4"/>
  <c r="H85" i="4"/>
  <c r="H22" i="2"/>
  <c r="H37" i="2"/>
  <c r="H16" i="3"/>
  <c r="H13" i="4"/>
  <c r="H27" i="4"/>
  <c r="H35" i="4"/>
  <c r="H82" i="4"/>
  <c r="H58" i="4"/>
  <c r="H11" i="2"/>
  <c r="H28" i="2"/>
  <c r="H8" i="3"/>
  <c r="H22" i="3"/>
  <c r="H106" i="4"/>
  <c r="H109" i="4"/>
  <c r="H19" i="4"/>
  <c r="H24" i="4"/>
  <c r="H87" i="4"/>
  <c r="H91" i="4"/>
  <c r="H116" i="4"/>
  <c r="H96" i="4"/>
  <c r="H81" i="4"/>
  <c r="H90" i="4"/>
  <c r="H49" i="4"/>
  <c r="H56" i="4"/>
  <c r="H63" i="4"/>
  <c r="H71" i="4"/>
  <c r="H9" i="2"/>
  <c r="H15" i="2"/>
  <c r="H62" i="2"/>
  <c r="H58" i="2"/>
  <c r="H49" i="2"/>
  <c r="H64" i="2"/>
  <c r="H53" i="2"/>
  <c r="H7" i="2"/>
  <c r="H12" i="3"/>
  <c r="H15" i="3"/>
  <c r="H21" i="3"/>
  <c r="H28" i="3"/>
  <c r="H110" i="4"/>
  <c r="H10" i="2"/>
  <c r="H40" i="2"/>
  <c r="H29" i="3"/>
  <c r="H20" i="4"/>
  <c r="H95" i="4"/>
  <c r="H50" i="4"/>
  <c r="H73" i="4"/>
  <c r="H23" i="2"/>
  <c r="H57" i="2"/>
  <c r="H17" i="3"/>
  <c r="H25" i="4"/>
  <c r="B2" i="1"/>
  <c r="B108" i="4"/>
  <c r="AB210" i="10"/>
  <c r="AB211" i="10"/>
  <c r="B30" i="2"/>
  <c r="F30" i="2"/>
  <c r="J98" i="1" a="1"/>
  <c r="J98" i="1" s="1"/>
  <c r="J94" i="1" a="1"/>
  <c r="J94" i="1" s="1"/>
  <c r="J99" i="1" a="1"/>
  <c r="J99" i="1" s="1"/>
  <c r="J33" i="1" a="1"/>
  <c r="J33" i="1" s="1"/>
  <c r="J34" i="1" a="1"/>
  <c r="J34" i="1" s="1"/>
  <c r="J27" i="1" a="1"/>
  <c r="J27" i="1" s="1"/>
  <c r="J61" i="1" a="1"/>
  <c r="J61" i="1" s="1"/>
  <c r="J100" i="1" a="1"/>
  <c r="J100" i="1" s="1"/>
  <c r="J101" i="1" a="1"/>
  <c r="J101" i="1" s="1"/>
  <c r="J92" i="1" a="1"/>
  <c r="J92" i="1" s="1"/>
  <c r="J102" i="1" a="1"/>
  <c r="J102" i="1" s="1"/>
  <c r="J103" i="1" a="1"/>
  <c r="J103" i="1" s="1"/>
  <c r="J104" i="1" a="1"/>
  <c r="J104" i="1" s="1"/>
  <c r="J105" i="1" a="1"/>
  <c r="J105" i="1" s="1"/>
  <c r="J25" i="1" a="1"/>
  <c r="J25" i="1" s="1"/>
  <c r="J106" i="1" a="1"/>
  <c r="J106" i="1" s="1"/>
  <c r="J54" i="1" a="1"/>
  <c r="J54" i="1" s="1"/>
  <c r="J107" i="1" a="1"/>
  <c r="J107" i="1" s="1"/>
  <c r="J57" i="1" a="1"/>
  <c r="J57" i="1" s="1"/>
  <c r="J108" i="1" a="1"/>
  <c r="J108"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9" i="1" a="1"/>
  <c r="J109" i="1" s="1"/>
  <c r="J69" i="1" a="1"/>
  <c r="J69" i="1" s="1"/>
  <c r="J77" i="1" a="1"/>
  <c r="J77" i="1" s="1"/>
  <c r="J51" i="1" a="1"/>
  <c r="J51" i="1" s="1"/>
  <c r="J52" i="1" a="1"/>
  <c r="J52" i="1" s="1"/>
  <c r="J95" i="1" a="1"/>
  <c r="J95" i="1" s="1"/>
  <c r="J74" i="1" a="1"/>
  <c r="J74" i="1" s="1"/>
  <c r="J73" i="1" a="1"/>
  <c r="J73" i="1" s="1"/>
  <c r="J16" i="1" a="1"/>
  <c r="J16" i="1" s="1"/>
  <c r="J110" i="1" a="1"/>
  <c r="J110" i="1" s="1"/>
  <c r="J111" i="1" a="1"/>
  <c r="J111" i="1" s="1"/>
  <c r="J112" i="1" a="1"/>
  <c r="J112" i="1" s="1"/>
  <c r="J113" i="1" a="1"/>
  <c r="J113" i="1" s="1"/>
  <c r="J114" i="1" a="1"/>
  <c r="J114" i="1" s="1"/>
  <c r="J115" i="1" a="1"/>
  <c r="J115" i="1" s="1"/>
  <c r="J116" i="1" a="1"/>
  <c r="J116" i="1" s="1"/>
  <c r="J117" i="1" a="1"/>
  <c r="J117" i="1" s="1"/>
  <c r="J118" i="1" a="1"/>
  <c r="J118" i="1" s="1"/>
  <c r="J40" i="1" a="1"/>
  <c r="J40" i="1" s="1"/>
  <c r="J42" i="1" a="1"/>
  <c r="J42" i="1" s="1"/>
  <c r="J43" i="1" a="1"/>
  <c r="J43" i="1" s="1"/>
  <c r="J44" i="1" a="1"/>
  <c r="J44" i="1" s="1"/>
  <c r="J45" i="1" a="1"/>
  <c r="J45" i="1" s="1"/>
  <c r="J46" i="1" a="1"/>
  <c r="J46" i="1" s="1"/>
  <c r="J59" i="1" a="1"/>
  <c r="J59" i="1" s="1"/>
  <c r="J58" i="1" a="1"/>
  <c r="J58" i="1" s="1"/>
  <c r="J119" i="1" a="1"/>
  <c r="J119" i="1" s="1"/>
  <c r="J120" i="1" a="1"/>
  <c r="J120" i="1" s="1"/>
  <c r="J121" i="1" a="1"/>
  <c r="J121" i="1" s="1"/>
  <c r="J122" i="1" a="1"/>
  <c r="J122" i="1" s="1"/>
  <c r="J55" i="1" a="1"/>
  <c r="J55" i="1" s="1"/>
  <c r="J49" i="1" a="1"/>
  <c r="J49" i="1" s="1"/>
  <c r="J50" i="1" a="1"/>
  <c r="J50" i="1" s="1"/>
  <c r="J123" i="1" a="1"/>
  <c r="J123" i="1" s="1"/>
  <c r="J86" i="1" a="1"/>
  <c r="J86" i="1" s="1"/>
  <c r="J124" i="1" a="1"/>
  <c r="J124" i="1" s="1"/>
  <c r="J81" i="1" a="1"/>
  <c r="J81" i="1" s="1"/>
  <c r="J75" i="1" a="1"/>
  <c r="J75" i="1" s="1"/>
  <c r="J48" i="1" a="1"/>
  <c r="J48" i="1" s="1"/>
  <c r="J47" i="1" a="1"/>
  <c r="J47" i="1" s="1"/>
  <c r="J189" i="1" a="1"/>
  <c r="J189" i="1" s="1"/>
  <c r="J134" i="1" a="1"/>
  <c r="J134" i="1" s="1"/>
  <c r="J131" i="1" a="1"/>
  <c r="J131" i="1" s="1"/>
  <c r="J143" i="1" a="1"/>
  <c r="J143" i="1" s="1"/>
  <c r="J138" i="1" a="1"/>
  <c r="J138" i="1" s="1"/>
  <c r="J149" i="1" a="1"/>
  <c r="J149" i="1" s="1"/>
  <c r="J88" i="1" a="1"/>
  <c r="J88" i="1" s="1"/>
  <c r="J36" i="1" a="1"/>
  <c r="J36" i="1" s="1"/>
  <c r="J148" i="1" a="1"/>
  <c r="J148" i="1" s="1"/>
  <c r="J180" i="1" a="1"/>
  <c r="J180" i="1" s="1"/>
  <c r="J125" i="1" a="1"/>
  <c r="J125" i="1" s="1"/>
  <c r="J147" i="1" a="1"/>
  <c r="J147" i="1" s="1"/>
  <c r="J174" i="1" a="1"/>
  <c r="J174" i="1" s="1"/>
  <c r="J96" i="1" a="1"/>
  <c r="J96" i="1" s="1"/>
  <c r="J167" i="1" a="1"/>
  <c r="J167" i="1" s="1"/>
  <c r="J151" i="1" a="1"/>
  <c r="J151" i="1" s="1"/>
  <c r="J173" i="1" a="1"/>
  <c r="J173" i="1" s="1"/>
  <c r="J157" i="1" a="1"/>
  <c r="J157" i="1" s="1"/>
  <c r="J158" i="1" a="1"/>
  <c r="J158" i="1" s="1"/>
  <c r="J37" i="1" a="1"/>
  <c r="J37" i="1" s="1"/>
  <c r="J72" i="1" a="1"/>
  <c r="J72" i="1" s="1"/>
  <c r="J38" i="1" a="1"/>
  <c r="J38" i="1" s="1"/>
  <c r="J175" i="1" a="1"/>
  <c r="J175" i="1" s="1"/>
  <c r="J150" i="1" a="1"/>
  <c r="J150" i="1" s="1"/>
  <c r="J71" i="1" a="1"/>
  <c r="J71" i="1" s="1"/>
  <c r="J85" i="1" a="1"/>
  <c r="J85" i="1" s="1"/>
  <c r="J84" i="1" a="1"/>
  <c r="J84" i="1" s="1"/>
  <c r="J127" i="1" a="1"/>
  <c r="J127" i="1" s="1"/>
  <c r="J140" i="1" a="1"/>
  <c r="J140" i="1" s="1"/>
  <c r="J168" i="1" a="1"/>
  <c r="J168" i="1" s="1"/>
  <c r="J179" i="1" a="1"/>
  <c r="J179" i="1" s="1"/>
  <c r="J93" i="1" a="1"/>
  <c r="J93" i="1" s="1"/>
  <c r="J176" i="1" a="1"/>
  <c r="J176" i="1" s="1"/>
  <c r="J177" i="1" a="1"/>
  <c r="J177" i="1" s="1"/>
  <c r="J172" i="1" a="1"/>
  <c r="J172" i="1" s="1"/>
  <c r="J159" i="1" a="1"/>
  <c r="J159" i="1" s="1"/>
  <c r="J156" i="1" a="1"/>
  <c r="J156" i="1" s="1"/>
  <c r="J18" i="1" a="1"/>
  <c r="J18" i="1" s="1"/>
  <c r="J171" i="1" a="1"/>
  <c r="J171" i="1" s="1"/>
  <c r="J170" i="1" a="1"/>
  <c r="J170" i="1" s="1"/>
  <c r="J169" i="1" a="1"/>
  <c r="J169" i="1" s="1"/>
  <c r="J128" i="1" a="1"/>
  <c r="J128" i="1" s="1"/>
  <c r="J202" i="1" a="1"/>
  <c r="J202" i="1" s="1"/>
  <c r="J198" i="1" a="1"/>
  <c r="J198" i="1" s="1"/>
  <c r="J201" i="1" a="1"/>
  <c r="J201" i="1" s="1"/>
  <c r="J197" i="1" a="1"/>
  <c r="J197" i="1" s="1"/>
  <c r="J89" i="1" a="1"/>
  <c r="J89" i="1" s="1"/>
  <c r="J129" i="1" a="1"/>
  <c r="J129" i="1" s="1"/>
  <c r="J130" i="1" a="1"/>
  <c r="J130" i="1" s="1"/>
  <c r="J188" i="1" a="1"/>
  <c r="J188" i="1" s="1"/>
  <c r="J187" i="1" a="1"/>
  <c r="J187" i="1" s="1"/>
  <c r="J184" i="1" a="1"/>
  <c r="J184" i="1" s="1"/>
  <c r="J90" i="1" a="1"/>
  <c r="J90" i="1" s="1"/>
  <c r="J199" i="1" a="1"/>
  <c r="J199" i="1" s="1"/>
  <c r="J200" i="1" a="1"/>
  <c r="J200" i="1" s="1"/>
  <c r="J83" i="1" a="1"/>
  <c r="J83" i="1" s="1"/>
  <c r="J181" i="1" a="1"/>
  <c r="J181" i="1" s="1"/>
  <c r="J183" i="1" a="1"/>
  <c r="J183" i="1" s="1"/>
  <c r="J163" i="1" a="1"/>
  <c r="J163" i="1" s="1"/>
  <c r="J154" i="1" a="1"/>
  <c r="J154" i="1" s="1"/>
  <c r="J155" i="1" a="1"/>
  <c r="J155" i="1" s="1"/>
  <c r="J161" i="1" a="1"/>
  <c r="J161" i="1" s="1"/>
  <c r="J162" i="1" a="1"/>
  <c r="J162" i="1" s="1"/>
  <c r="J182" i="1" a="1"/>
  <c r="J182" i="1" s="1"/>
  <c r="J160" i="1" a="1"/>
  <c r="J160" i="1" s="1"/>
  <c r="J178" i="1" a="1"/>
  <c r="J178" i="1" s="1"/>
  <c r="J214" i="1" a="1"/>
  <c r="J214" i="1" s="1"/>
  <c r="J186" i="1" a="1"/>
  <c r="J186" i="1" s="1"/>
  <c r="J17" i="1" a="1"/>
  <c r="J17" i="1" s="1"/>
  <c r="J210" i="1" a="1"/>
  <c r="J210" i="1" s="1"/>
  <c r="J24" i="1" a="1"/>
  <c r="J24" i="1" s="1"/>
  <c r="J145" i="1" a="1"/>
  <c r="J145" i="1" s="1"/>
  <c r="J205" i="1" a="1"/>
  <c r="J205" i="1" s="1"/>
  <c r="J91" i="1" a="1"/>
  <c r="J91" i="1" s="1"/>
  <c r="J216" i="1" a="1"/>
  <c r="J216" i="1" s="1"/>
  <c r="J144" i="1" a="1"/>
  <c r="J144" i="1" s="1"/>
  <c r="J194" i="1" a="1"/>
  <c r="J194" i="1" s="1"/>
  <c r="J68" i="1" a="1"/>
  <c r="J68" i="1" s="1"/>
  <c r="J82" i="1" a="1"/>
  <c r="J82" i="1" s="1"/>
  <c r="J22" i="1" a="1"/>
  <c r="J22" i="1" s="1"/>
  <c r="J215" i="1" a="1"/>
  <c r="J215" i="1" s="1"/>
  <c r="J204" i="1" a="1"/>
  <c r="J204" i="1" s="1"/>
  <c r="J166" i="1" a="1"/>
  <c r="J166"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3" i="1" a="1"/>
  <c r="J133" i="1" s="1"/>
  <c r="J132" i="1" a="1"/>
  <c r="J132" i="1" s="1"/>
  <c r="J223" i="1" a="1"/>
  <c r="J223" i="1" s="1"/>
  <c r="J28" i="1" a="1"/>
  <c r="J28" i="1" s="1"/>
  <c r="J152" i="1" a="1"/>
  <c r="J152" i="1" s="1"/>
  <c r="J31" i="1" a="1"/>
  <c r="J31" i="1" s="1"/>
  <c r="J153" i="1" a="1"/>
  <c r="J153" i="1" s="1"/>
  <c r="J190" i="1" a="1"/>
  <c r="J190" i="1" s="1"/>
  <c r="J135" i="1" a="1"/>
  <c r="J135" i="1" s="1"/>
  <c r="J79" i="1" a="1"/>
  <c r="J79" i="1" s="1"/>
  <c r="J191" i="1" a="1"/>
  <c r="J191" i="1" s="1"/>
  <c r="J192" i="1" a="1"/>
  <c r="J192" i="1" s="1"/>
  <c r="J193" i="1" a="1"/>
  <c r="J193" i="1" s="1"/>
  <c r="J195" i="1" a="1"/>
  <c r="J195" i="1" s="1"/>
  <c r="J136" i="1" a="1"/>
  <c r="J136" i="1" s="1"/>
  <c r="J196" i="1" a="1"/>
  <c r="J196" i="1" s="1"/>
  <c r="J67" i="1" a="1"/>
  <c r="J67" i="1" s="1"/>
  <c r="J126" i="1" a="1"/>
  <c r="J126" i="1" s="1"/>
  <c r="J209" i="1" a="1"/>
  <c r="J209" i="1" s="1"/>
  <c r="J207" i="1" a="1"/>
  <c r="J207" i="1" s="1"/>
  <c r="J141" i="1" a="1"/>
  <c r="J141" i="1" s="1"/>
  <c r="J137" i="1" a="1"/>
  <c r="J137" i="1" s="1"/>
  <c r="J139" i="1" a="1"/>
  <c r="J139" i="1" s="1"/>
  <c r="J165" i="1" a="1"/>
  <c r="J165" i="1" s="1"/>
  <c r="J87" i="1" a="1"/>
  <c r="J87" i="1" s="1"/>
  <c r="J41" i="1" a="1"/>
  <c r="J41" i="1" s="1"/>
  <c r="J80" i="1" a="1"/>
  <c r="J80" i="1" s="1"/>
  <c r="J203" i="1" a="1"/>
  <c r="J203" i="1" s="1"/>
  <c r="J142" i="1" a="1"/>
  <c r="J142" i="1" s="1"/>
  <c r="J35" i="1" a="1"/>
  <c r="J35" i="1" s="1"/>
  <c r="J76" i="1" a="1"/>
  <c r="J76" i="1" s="1"/>
  <c r="J164" i="1" a="1"/>
  <c r="J164" i="1" s="1"/>
  <c r="J26" i="1" a="1"/>
  <c r="J26" i="1" s="1"/>
  <c r="J212" i="1" a="1"/>
  <c r="J212" i="1" s="1"/>
  <c r="J213" i="1" a="1"/>
  <c r="J213" i="1" s="1"/>
  <c r="J146" i="1" a="1"/>
  <c r="J146" i="1" s="1"/>
  <c r="J211" i="1" a="1"/>
  <c r="J211" i="1" s="1"/>
  <c r="J97" i="1" a="1"/>
  <c r="J97" i="1" s="1"/>
  <c r="I2" i="4" l="1"/>
  <c r="H2" i="4"/>
  <c r="I2" i="3"/>
  <c r="H2" i="3"/>
  <c r="I2" i="2"/>
  <c r="H2" i="2"/>
  <c r="AL2" i="16"/>
  <c r="K99" i="1" l="1"/>
  <c r="L99" i="1" s="1" a="1"/>
  <c r="L99" i="1" s="1"/>
  <c r="F99" i="1"/>
  <c r="C99" i="1"/>
  <c r="Z209" i="10"/>
  <c r="W209" i="10"/>
  <c r="V209" i="10"/>
  <c r="D99" i="1" s="1"/>
  <c r="E99" i="1" s="1"/>
  <c r="U209" i="10"/>
  <c r="K217" i="1"/>
  <c r="L217" i="1" s="1" a="1"/>
  <c r="L217" i="1" s="1"/>
  <c r="AL6" i="16"/>
  <c r="X209" i="10" l="1"/>
  <c r="Y209" i="10"/>
  <c r="I34" i="4"/>
  <c r="P99" i="1"/>
  <c r="H171" i="1"/>
  <c r="H99" i="1"/>
  <c r="F104" i="4" l="1"/>
  <c r="F103" i="4"/>
  <c r="F102" i="4"/>
  <c r="F105" i="4"/>
  <c r="F101" i="4"/>
  <c r="F34" i="4"/>
  <c r="F106" i="4"/>
  <c r="F107" i="4"/>
  <c r="F100" i="4" l="1"/>
  <c r="F64" i="2" l="1"/>
  <c r="F12" i="2"/>
  <c r="F9" i="2"/>
  <c r="F7" i="2"/>
  <c r="F55" i="2"/>
  <c r="F56" i="2"/>
  <c r="F35" i="2"/>
  <c r="F14" i="2"/>
  <c r="F11" i="2"/>
  <c r="F10" i="2"/>
  <c r="F16" i="2"/>
  <c r="F13" i="2"/>
  <c r="F8" i="2"/>
  <c r="F15" i="2"/>
  <c r="F36" i="2"/>
  <c r="F52" i="2"/>
  <c r="F31" i="2"/>
  <c r="F37" i="2"/>
  <c r="F50" i="2"/>
  <c r="AL5" i="16"/>
  <c r="F223" i="1"/>
  <c r="F64" i="1"/>
  <c r="F192" i="1"/>
  <c r="F191" i="1"/>
  <c r="F178" i="1"/>
  <c r="F211" i="1"/>
  <c r="F220" i="1"/>
  <c r="F100" i="1"/>
  <c r="F56" i="1"/>
  <c r="F173" i="1"/>
  <c r="F208" i="1"/>
  <c r="F179" i="1"/>
  <c r="F218" i="1"/>
  <c r="F174" i="1"/>
  <c r="F167" i="1"/>
  <c r="F159" i="1"/>
  <c r="F103" i="1"/>
  <c r="F85" i="1"/>
  <c r="F61" i="1"/>
  <c r="F205" i="1"/>
  <c r="F63" i="1"/>
  <c r="F140" i="1"/>
  <c r="F217" i="1"/>
  <c r="F15" i="1"/>
  <c r="F156" i="1"/>
  <c r="F93" i="1"/>
  <c r="F27" i="1"/>
  <c r="F120" i="1"/>
  <c r="F187" i="1"/>
  <c r="F104" i="1"/>
  <c r="F189" i="1"/>
  <c r="F46" i="1"/>
  <c r="F83" i="1"/>
  <c r="F203" i="1"/>
  <c r="F58" i="1"/>
  <c r="F117" i="1"/>
  <c r="F127" i="1"/>
  <c r="F155" i="1"/>
  <c r="F68" i="1"/>
  <c r="F124" i="1"/>
  <c r="F108" i="1"/>
  <c r="F134" i="1"/>
  <c r="F112" i="1"/>
  <c r="F62" i="1"/>
  <c r="F199" i="1"/>
  <c r="F26" i="1"/>
  <c r="F188" i="1"/>
  <c r="F164" i="1"/>
  <c r="F118" i="1"/>
  <c r="F212" i="1"/>
  <c r="F184" i="1"/>
  <c r="F162" i="1"/>
  <c r="F95" i="1"/>
  <c r="F150" i="1"/>
  <c r="F69" i="1"/>
  <c r="F135" i="1"/>
  <c r="F136" i="1"/>
  <c r="F130" i="1"/>
  <c r="F193" i="1"/>
  <c r="F221" i="1"/>
  <c r="F75" i="1"/>
  <c r="F114" i="1"/>
  <c r="F151" i="1"/>
  <c r="F171" i="1"/>
  <c r="F133" i="1"/>
  <c r="F74" i="1"/>
  <c r="F200" i="1"/>
  <c r="F21" i="1"/>
  <c r="F18" i="1"/>
  <c r="F213" i="1"/>
  <c r="F182" i="1"/>
  <c r="F158" i="1"/>
  <c r="F139" i="1"/>
  <c r="F157" i="1"/>
  <c r="F146" i="1"/>
  <c r="F145" i="1"/>
  <c r="F77" i="1"/>
  <c r="F206" i="1"/>
  <c r="F32" i="1"/>
  <c r="F161" i="1"/>
  <c r="F125" i="1"/>
  <c r="F176" i="1"/>
  <c r="F20" i="1"/>
  <c r="F71" i="1"/>
  <c r="F123" i="1"/>
  <c r="F65" i="1"/>
  <c r="F101" i="1"/>
  <c r="F76" i="1"/>
  <c r="F55" i="1"/>
  <c r="F165" i="1"/>
  <c r="F60" i="1"/>
  <c r="F54" i="1"/>
  <c r="F180" i="1"/>
  <c r="F132" i="1"/>
  <c r="F160" i="1"/>
  <c r="F98" i="1"/>
  <c r="F79" i="1"/>
  <c r="F41" i="1"/>
  <c r="F170" i="1"/>
  <c r="F16" i="1"/>
  <c r="F177" i="1"/>
  <c r="F172" i="1"/>
  <c r="F142" i="1"/>
  <c r="F38" i="1"/>
  <c r="F53" i="1"/>
  <c r="F80" i="1"/>
  <c r="F169" i="1"/>
  <c r="F216" i="1"/>
  <c r="F219" i="1"/>
  <c r="F215" i="1"/>
  <c r="F102" i="1"/>
  <c r="F97" i="1"/>
  <c r="F84" i="1"/>
  <c r="F87" i="1"/>
  <c r="F195" i="1"/>
  <c r="F59" i="1"/>
  <c r="F144" i="1"/>
  <c r="F196" i="1"/>
  <c r="F92" i="1"/>
  <c r="F78" i="1"/>
  <c r="F72" i="1"/>
  <c r="F90" i="1"/>
  <c r="F129" i="1"/>
  <c r="F194" i="1"/>
  <c r="F141" i="1"/>
  <c r="F110" i="1"/>
  <c r="F73" i="1"/>
  <c r="F70" i="1"/>
  <c r="F222" i="1"/>
  <c r="F30" i="1"/>
  <c r="F91" i="1"/>
  <c r="F121" i="1"/>
  <c r="F111" i="1"/>
  <c r="F35" i="1"/>
  <c r="F96" i="1"/>
  <c r="F23" i="1"/>
  <c r="F175" i="1"/>
  <c r="F37" i="1"/>
  <c r="F105" i="1"/>
  <c r="F86" i="1"/>
  <c r="F131" i="1"/>
  <c r="F204" i="1"/>
  <c r="F168" i="1"/>
  <c r="F22" i="1"/>
  <c r="F109" i="1"/>
  <c r="F82" i="1"/>
  <c r="F137" i="1"/>
  <c r="F166" i="1"/>
  <c r="F147" i="1"/>
  <c r="F154" i="1"/>
  <c r="F163" i="1"/>
  <c r="F207" i="1"/>
  <c r="F183" i="1"/>
  <c r="F50" i="1"/>
  <c r="F49" i="1"/>
  <c r="F190" i="1"/>
  <c r="F209" i="1"/>
  <c r="F81" i="1"/>
  <c r="F89" i="1"/>
  <c r="F148" i="1"/>
  <c r="F36" i="1"/>
  <c r="F24" i="1"/>
  <c r="F210" i="1"/>
  <c r="F122" i="1"/>
  <c r="F17" i="1"/>
  <c r="F197" i="1"/>
  <c r="F201" i="1"/>
  <c r="F198" i="1"/>
  <c r="F202" i="1"/>
  <c r="F185" i="1"/>
  <c r="F34" i="1"/>
  <c r="F52" i="1"/>
  <c r="F51" i="1"/>
  <c r="F57" i="1"/>
  <c r="F119" i="1"/>
  <c r="F107" i="1"/>
  <c r="F25" i="1"/>
  <c r="F126" i="1"/>
  <c r="F66" i="1"/>
  <c r="F153" i="1"/>
  <c r="F31" i="1"/>
  <c r="F152" i="1"/>
  <c r="F186" i="1"/>
  <c r="F214" i="1"/>
  <c r="F45" i="1"/>
  <c r="F44" i="1"/>
  <c r="F40" i="1"/>
  <c r="F42" i="1"/>
  <c r="F43" i="1"/>
  <c r="F106" i="1"/>
  <c r="F67" i="1"/>
  <c r="F94" i="1"/>
  <c r="F19" i="1"/>
  <c r="F116" i="1"/>
  <c r="F115" i="1"/>
  <c r="F113" i="1"/>
  <c r="F28" i="1"/>
  <c r="F47" i="1"/>
  <c r="F48" i="1"/>
  <c r="F88" i="1"/>
  <c r="F128" i="1"/>
  <c r="F181" i="1"/>
  <c r="F29" i="1"/>
  <c r="F149" i="1"/>
  <c r="F33" i="1"/>
  <c r="F138" i="1"/>
  <c r="P147" i="1"/>
  <c r="P131" i="1"/>
  <c r="P116" i="1"/>
  <c r="P222" i="1"/>
  <c r="P154" i="1"/>
  <c r="P144" i="1"/>
  <c r="P219" i="1"/>
  <c r="P177" i="1"/>
  <c r="P132" i="1"/>
  <c r="P165" i="1"/>
  <c r="P198" i="1"/>
  <c r="P190" i="1"/>
  <c r="P139" i="1"/>
  <c r="P31" i="1"/>
  <c r="P114" i="1"/>
  <c r="P135" i="1"/>
  <c r="P49" i="1"/>
  <c r="P44" i="1"/>
  <c r="P81" i="1"/>
  <c r="P58" i="1"/>
  <c r="P27" i="1"/>
  <c r="P140" i="1"/>
  <c r="P174" i="1"/>
  <c r="P220" i="1"/>
  <c r="K181" i="1"/>
  <c r="L181" i="1" s="1" a="1"/>
  <c r="L181" i="1" s="1"/>
  <c r="K138" i="1"/>
  <c r="L138" i="1" s="1" a="1"/>
  <c r="L138" i="1" s="1"/>
  <c r="K33" i="1"/>
  <c r="L33" i="1" s="1" a="1"/>
  <c r="L33" i="1" s="1"/>
  <c r="K149" i="1"/>
  <c r="L149" i="1" s="1" a="1"/>
  <c r="L149" i="1" s="1"/>
  <c r="K29" i="1"/>
  <c r="L29" i="1" s="1" a="1"/>
  <c r="L29" i="1" s="1"/>
  <c r="K57" i="1"/>
  <c r="L57" i="1" s="1" a="1"/>
  <c r="L57" i="1" s="1"/>
  <c r="K147" i="1"/>
  <c r="L147" i="1" s="1" a="1"/>
  <c r="L147" i="1" s="1"/>
  <c r="K166" i="1"/>
  <c r="L166" i="1" s="1" a="1"/>
  <c r="L166" i="1" s="1"/>
  <c r="K137" i="1"/>
  <c r="L137" i="1" s="1" a="1"/>
  <c r="L137" i="1" s="1"/>
  <c r="K82" i="1"/>
  <c r="L82" i="1" s="1" a="1"/>
  <c r="L82" i="1" s="1"/>
  <c r="K109" i="1"/>
  <c r="L109" i="1" s="1" a="1"/>
  <c r="L109" i="1" s="1"/>
  <c r="K22" i="1"/>
  <c r="L22" i="1" s="1" a="1"/>
  <c r="L22" i="1" s="1"/>
  <c r="K168" i="1"/>
  <c r="L168" i="1" s="1" a="1"/>
  <c r="L168" i="1" s="1"/>
  <c r="K204" i="1"/>
  <c r="L204" i="1" s="1" a="1"/>
  <c r="L204" i="1" s="1"/>
  <c r="K131" i="1"/>
  <c r="L131" i="1" s="1" a="1"/>
  <c r="L131" i="1" s="1"/>
  <c r="K86" i="1"/>
  <c r="L86" i="1" s="1" a="1"/>
  <c r="L86" i="1" s="1"/>
  <c r="K105" i="1"/>
  <c r="L105" i="1" s="1" a="1"/>
  <c r="L105" i="1" s="1"/>
  <c r="K37" i="1"/>
  <c r="L37" i="1" s="1" a="1"/>
  <c r="L37" i="1" s="1"/>
  <c r="K175" i="1"/>
  <c r="L175" i="1" s="1" a="1"/>
  <c r="L175" i="1" s="1"/>
  <c r="K43" i="1"/>
  <c r="L43" i="1" s="1" a="1"/>
  <c r="L43" i="1" s="1"/>
  <c r="K89" i="1"/>
  <c r="L89" i="1" s="1" a="1"/>
  <c r="L89" i="1" s="1"/>
  <c r="K23" i="1"/>
  <c r="L23" i="1" s="1" a="1"/>
  <c r="L23" i="1" s="1"/>
  <c r="K116" i="1"/>
  <c r="L116" i="1" s="1" a="1"/>
  <c r="L116" i="1" s="1"/>
  <c r="K96" i="1"/>
  <c r="L96" i="1" s="1" a="1"/>
  <c r="L96" i="1" s="1"/>
  <c r="K35" i="1"/>
  <c r="L35" i="1" s="1" a="1"/>
  <c r="L35" i="1" s="1"/>
  <c r="K111" i="1"/>
  <c r="L111" i="1" s="1" a="1"/>
  <c r="L111" i="1" s="1"/>
  <c r="K121" i="1"/>
  <c r="L121" i="1" s="1" a="1"/>
  <c r="L121" i="1" s="1"/>
  <c r="K91" i="1"/>
  <c r="L91" i="1" s="1" a="1"/>
  <c r="L91" i="1" s="1"/>
  <c r="K30" i="1"/>
  <c r="L30" i="1" s="1" a="1"/>
  <c r="L30" i="1" s="1"/>
  <c r="K45" i="1"/>
  <c r="L45" i="1" s="1" a="1"/>
  <c r="L45" i="1" s="1"/>
  <c r="K222" i="1"/>
  <c r="L222" i="1" s="1" a="1"/>
  <c r="L222" i="1" s="1"/>
  <c r="K70" i="1"/>
  <c r="L70" i="1" s="1" a="1"/>
  <c r="L70" i="1" s="1"/>
  <c r="K73" i="1"/>
  <c r="L73" i="1" s="1" a="1"/>
  <c r="L73" i="1" s="1"/>
  <c r="K110" i="1"/>
  <c r="L110" i="1" s="1" a="1"/>
  <c r="L110" i="1" s="1"/>
  <c r="K141" i="1"/>
  <c r="L141" i="1" s="1" a="1"/>
  <c r="L141" i="1" s="1"/>
  <c r="K194" i="1"/>
  <c r="L194" i="1" s="1" a="1"/>
  <c r="L194" i="1" s="1"/>
  <c r="K129" i="1"/>
  <c r="L129" i="1" s="1" a="1"/>
  <c r="L129" i="1" s="1"/>
  <c r="K34" i="1"/>
  <c r="L34" i="1" s="1" a="1"/>
  <c r="L34" i="1" s="1"/>
  <c r="K154" i="1"/>
  <c r="L154" i="1" s="1" a="1"/>
  <c r="L154" i="1" s="1"/>
  <c r="K90" i="1"/>
  <c r="L90" i="1" s="1" a="1"/>
  <c r="L90" i="1" s="1"/>
  <c r="K72" i="1"/>
  <c r="L72" i="1" s="1" a="1"/>
  <c r="L72" i="1" s="1"/>
  <c r="K163" i="1"/>
  <c r="L163" i="1" s="1" a="1"/>
  <c r="L163" i="1" s="1"/>
  <c r="K78" i="1"/>
  <c r="L78" i="1" s="1" a="1"/>
  <c r="L78" i="1" s="1"/>
  <c r="K92" i="1"/>
  <c r="L92" i="1" s="1" a="1"/>
  <c r="L92" i="1" s="1"/>
  <c r="K196" i="1"/>
  <c r="L196" i="1" s="1" a="1"/>
  <c r="L196" i="1" s="1"/>
  <c r="K17" i="1"/>
  <c r="L17" i="1" s="1" a="1"/>
  <c r="L17" i="1" s="1"/>
  <c r="K144" i="1"/>
  <c r="L144" i="1" s="1" a="1"/>
  <c r="L144" i="1" s="1"/>
  <c r="K59" i="1"/>
  <c r="L59" i="1" s="1" a="1"/>
  <c r="L59" i="1" s="1"/>
  <c r="K195" i="1"/>
  <c r="L195" i="1" s="1" a="1"/>
  <c r="L195" i="1" s="1"/>
  <c r="K87" i="1"/>
  <c r="L87" i="1" s="1" a="1"/>
  <c r="L87" i="1" s="1"/>
  <c r="K84" i="1"/>
  <c r="L84" i="1" s="1" a="1"/>
  <c r="L84" i="1" s="1"/>
  <c r="K97" i="1"/>
  <c r="L97" i="1" s="1" a="1"/>
  <c r="L97" i="1" s="1"/>
  <c r="K102" i="1"/>
  <c r="L102" i="1" s="1" a="1"/>
  <c r="L102" i="1" s="1"/>
  <c r="K215" i="1"/>
  <c r="L215" i="1" s="1" a="1"/>
  <c r="L215" i="1" s="1"/>
  <c r="K219" i="1"/>
  <c r="L219" i="1" s="1" a="1"/>
  <c r="L219" i="1" s="1"/>
  <c r="K48" i="1"/>
  <c r="L48" i="1" s="1" a="1"/>
  <c r="L48" i="1" s="1"/>
  <c r="K216" i="1"/>
  <c r="L216" i="1" s="1" a="1"/>
  <c r="L216" i="1" s="1"/>
  <c r="K169" i="1"/>
  <c r="L169" i="1" s="1" a="1"/>
  <c r="L169" i="1" s="1"/>
  <c r="K50" i="1"/>
  <c r="L50" i="1" s="1" a="1"/>
  <c r="L50" i="1" s="1"/>
  <c r="K88" i="1"/>
  <c r="L88" i="1" s="1" a="1"/>
  <c r="L88" i="1" s="1"/>
  <c r="K19" i="1"/>
  <c r="L19" i="1" s="1" a="1"/>
  <c r="L19" i="1" s="1"/>
  <c r="K80" i="1"/>
  <c r="L80" i="1" s="1" a="1"/>
  <c r="L80" i="1" s="1"/>
  <c r="K52" i="1"/>
  <c r="L52" i="1" s="1" a="1"/>
  <c r="L52" i="1" s="1"/>
  <c r="K36" i="1"/>
  <c r="L36" i="1" s="1" a="1"/>
  <c r="L36" i="1" s="1"/>
  <c r="K185" i="1"/>
  <c r="L185" i="1" s="1" a="1"/>
  <c r="L185" i="1" s="1"/>
  <c r="K53" i="1"/>
  <c r="L53" i="1" s="1" a="1"/>
  <c r="L53" i="1" s="1"/>
  <c r="K115" i="1"/>
  <c r="L115" i="1" s="1" a="1"/>
  <c r="L115" i="1" s="1"/>
  <c r="K38" i="1"/>
  <c r="L38" i="1" s="1" a="1"/>
  <c r="L38" i="1" s="1"/>
  <c r="K142" i="1"/>
  <c r="L142" i="1" s="1" a="1"/>
  <c r="L142" i="1" s="1"/>
  <c r="K172" i="1"/>
  <c r="L172" i="1" s="1" a="1"/>
  <c r="L172" i="1" s="1"/>
  <c r="K177" i="1"/>
  <c r="L177" i="1" s="1" a="1"/>
  <c r="L177" i="1" s="1"/>
  <c r="K16" i="1"/>
  <c r="L16" i="1" s="1" a="1"/>
  <c r="L16" i="1" s="1"/>
  <c r="K170" i="1"/>
  <c r="L170" i="1" s="1" a="1"/>
  <c r="L170" i="1" s="1"/>
  <c r="K41" i="1"/>
  <c r="L41" i="1" s="1" a="1"/>
  <c r="L41" i="1" s="1"/>
  <c r="K122" i="1"/>
  <c r="L122" i="1" s="1" a="1"/>
  <c r="L122" i="1" s="1"/>
  <c r="K79" i="1"/>
  <c r="L79" i="1" s="1" a="1"/>
  <c r="L79" i="1" s="1"/>
  <c r="K98" i="1"/>
  <c r="L98" i="1" s="1" a="1"/>
  <c r="L98" i="1" s="1"/>
  <c r="K160" i="1"/>
  <c r="L160" i="1" s="1" a="1"/>
  <c r="L160" i="1" s="1"/>
  <c r="K132" i="1"/>
  <c r="L132" i="1" s="1" a="1"/>
  <c r="L132" i="1" s="1"/>
  <c r="K183" i="1"/>
  <c r="L183" i="1" s="1" a="1"/>
  <c r="L183" i="1" s="1"/>
  <c r="K210" i="1"/>
  <c r="L210" i="1" s="1" a="1"/>
  <c r="L210" i="1" s="1"/>
  <c r="K180" i="1"/>
  <c r="L180" i="1" s="1" a="1"/>
  <c r="L180" i="1" s="1"/>
  <c r="K214" i="1"/>
  <c r="L214" i="1" s="1" a="1"/>
  <c r="L214" i="1" s="1"/>
  <c r="K186" i="1"/>
  <c r="L186" i="1" s="1" a="1"/>
  <c r="L186" i="1" s="1"/>
  <c r="K54" i="1"/>
  <c r="L54" i="1" s="1" a="1"/>
  <c r="L54" i="1" s="1"/>
  <c r="K60" i="1"/>
  <c r="L60" i="1" s="1" a="1"/>
  <c r="L60" i="1" s="1"/>
  <c r="K165" i="1"/>
  <c r="L165" i="1" s="1" a="1"/>
  <c r="L165" i="1" s="1"/>
  <c r="K55" i="1"/>
  <c r="L55" i="1" s="1" a="1"/>
  <c r="L55" i="1" s="1"/>
  <c r="K76" i="1"/>
  <c r="L76" i="1" s="1" a="1"/>
  <c r="L76" i="1" s="1"/>
  <c r="K101" i="1"/>
  <c r="L101" i="1" s="1" a="1"/>
  <c r="L101" i="1" s="1"/>
  <c r="K65" i="1"/>
  <c r="L65" i="1" s="1" a="1"/>
  <c r="L65" i="1" s="1"/>
  <c r="K123" i="1"/>
  <c r="L123" i="1" s="1" a="1"/>
  <c r="L123" i="1" s="1"/>
  <c r="K71" i="1"/>
  <c r="L71" i="1" s="1" a="1"/>
  <c r="L71" i="1" s="1"/>
  <c r="K20" i="1"/>
  <c r="L20" i="1" s="1" a="1"/>
  <c r="L20" i="1" s="1"/>
  <c r="K198" i="1"/>
  <c r="L198" i="1" s="1" a="1"/>
  <c r="L198" i="1" s="1"/>
  <c r="K176" i="1"/>
  <c r="L176" i="1" s="1" a="1"/>
  <c r="L176" i="1" s="1"/>
  <c r="K125" i="1"/>
  <c r="L125" i="1" s="1" a="1"/>
  <c r="L125" i="1" s="1"/>
  <c r="K161" i="1"/>
  <c r="L161" i="1" s="1" a="1"/>
  <c r="L161" i="1" s="1"/>
  <c r="K32" i="1"/>
  <c r="L32" i="1" s="1" a="1"/>
  <c r="L32" i="1" s="1"/>
  <c r="K126" i="1"/>
  <c r="L126" i="1" s="1" a="1"/>
  <c r="L126" i="1" s="1"/>
  <c r="K206" i="1"/>
  <c r="L206" i="1" s="1" a="1"/>
  <c r="L206" i="1" s="1"/>
  <c r="K197" i="1"/>
  <c r="L197" i="1" s="1" a="1"/>
  <c r="L197" i="1" s="1"/>
  <c r="K190" i="1"/>
  <c r="L190" i="1" s="1" a="1"/>
  <c r="L190" i="1" s="1"/>
  <c r="K25" i="1"/>
  <c r="L25" i="1" s="1" a="1"/>
  <c r="L25" i="1" s="1"/>
  <c r="K77" i="1"/>
  <c r="L77" i="1" s="1" a="1"/>
  <c r="L77" i="1" s="1"/>
  <c r="K145" i="1"/>
  <c r="L145" i="1" s="1" a="1"/>
  <c r="L145" i="1" s="1"/>
  <c r="K66" i="1"/>
  <c r="L66" i="1" s="1" a="1"/>
  <c r="L66" i="1" s="1"/>
  <c r="K94" i="1"/>
  <c r="L94" i="1" s="1" a="1"/>
  <c r="L94" i="1" s="1"/>
  <c r="K146" i="1"/>
  <c r="L146" i="1" s="1" a="1"/>
  <c r="L146" i="1" s="1"/>
  <c r="K157" i="1"/>
  <c r="L157" i="1" s="1" a="1"/>
  <c r="L157" i="1" s="1"/>
  <c r="K139" i="1"/>
  <c r="L139" i="1" s="1" a="1"/>
  <c r="L139" i="1" s="1"/>
  <c r="K158" i="1"/>
  <c r="L158" i="1" s="1" a="1"/>
  <c r="L158" i="1" s="1"/>
  <c r="K182" i="1"/>
  <c r="L182" i="1" s="1" a="1"/>
  <c r="L182"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3" i="1"/>
  <c r="L133" i="1" s="1" a="1"/>
  <c r="L133" i="1" s="1"/>
  <c r="K28" i="1"/>
  <c r="L28" i="1" s="1" a="1"/>
  <c r="L28" i="1" s="1"/>
  <c r="K207" i="1"/>
  <c r="L207" i="1" s="1" a="1"/>
  <c r="L207" i="1" s="1"/>
  <c r="K171" i="1"/>
  <c r="L171" i="1" s="1" a="1"/>
  <c r="L171" i="1" s="1"/>
  <c r="K151" i="1"/>
  <c r="L151" i="1" s="1" a="1"/>
  <c r="L151" i="1" s="1"/>
  <c r="K114" i="1"/>
  <c r="L114" i="1" s="1" a="1"/>
  <c r="L114" i="1" s="1"/>
  <c r="K75" i="1"/>
  <c r="L75" i="1" s="1" a="1"/>
  <c r="L75" i="1" s="1"/>
  <c r="K221" i="1"/>
  <c r="L221" i="1" s="1" a="1"/>
  <c r="L221" i="1" s="1"/>
  <c r="K193" i="1"/>
  <c r="L193" i="1" s="1" a="1"/>
  <c r="L193" i="1" s="1"/>
  <c r="K130" i="1"/>
  <c r="L130" i="1" s="1" a="1"/>
  <c r="L130" i="1" s="1"/>
  <c r="K136" i="1"/>
  <c r="L136" i="1" s="1" a="1"/>
  <c r="L136" i="1" s="1"/>
  <c r="K40" i="1"/>
  <c r="L40" i="1" s="1" a="1"/>
  <c r="L40" i="1" s="1"/>
  <c r="K128" i="1"/>
  <c r="L128" i="1" s="1" a="1"/>
  <c r="L128" i="1" s="1"/>
  <c r="K135" i="1"/>
  <c r="L135" i="1" s="1" a="1"/>
  <c r="L135" i="1" s="1"/>
  <c r="K69" i="1"/>
  <c r="L69" i="1" s="1" a="1"/>
  <c r="L69" i="1" s="1"/>
  <c r="K201" i="1"/>
  <c r="L201" i="1" s="1" a="1"/>
  <c r="L201" i="1" s="1"/>
  <c r="K209" i="1"/>
  <c r="L209" i="1" s="1" a="1"/>
  <c r="L209" i="1" s="1"/>
  <c r="K150" i="1"/>
  <c r="L150" i="1" s="1" a="1"/>
  <c r="L150" i="1" s="1"/>
  <c r="K95" i="1"/>
  <c r="L95" i="1" s="1" a="1"/>
  <c r="L95" i="1" s="1"/>
  <c r="K162" i="1"/>
  <c r="L162" i="1" s="1" a="1"/>
  <c r="L162" i="1" s="1"/>
  <c r="K119" i="1"/>
  <c r="L119" i="1" s="1" a="1"/>
  <c r="L119" i="1" s="1"/>
  <c r="K49" i="1"/>
  <c r="L49" i="1" s="1" a="1"/>
  <c r="L49" i="1" s="1"/>
  <c r="K184" i="1"/>
  <c r="L184" i="1" s="1" a="1"/>
  <c r="L184" i="1" s="1"/>
  <c r="K212" i="1"/>
  <c r="L212" i="1" s="1" a="1"/>
  <c r="L212" i="1" s="1"/>
  <c r="K118" i="1"/>
  <c r="L118" i="1" s="1" a="1"/>
  <c r="L118" i="1" s="1"/>
  <c r="K164" i="1"/>
  <c r="L164" i="1" s="1" a="1"/>
  <c r="L164" i="1" s="1"/>
  <c r="K152" i="1"/>
  <c r="L152" i="1" s="1" a="1"/>
  <c r="L152" i="1" s="1"/>
  <c r="K188" i="1"/>
  <c r="L188" i="1" s="1" a="1"/>
  <c r="L188" i="1" s="1"/>
  <c r="K26" i="1"/>
  <c r="L26" i="1" s="1" a="1"/>
  <c r="L26" i="1" s="1"/>
  <c r="K44" i="1"/>
  <c r="L44" i="1" s="1" a="1"/>
  <c r="L44" i="1" s="1"/>
  <c r="K199" i="1"/>
  <c r="L199" i="1" s="1" a="1"/>
  <c r="L199" i="1" s="1"/>
  <c r="K113" i="1"/>
  <c r="L113" i="1" s="1" a="1"/>
  <c r="L113" i="1" s="1"/>
  <c r="K202" i="1"/>
  <c r="L202" i="1" s="1" a="1"/>
  <c r="L202" i="1" s="1"/>
  <c r="K62" i="1"/>
  <c r="L62" i="1" s="1" a="1"/>
  <c r="L62" i="1" s="1"/>
  <c r="K112" i="1"/>
  <c r="L112" i="1" s="1" a="1"/>
  <c r="L112" i="1" s="1"/>
  <c r="K153" i="1"/>
  <c r="L153" i="1" s="1" a="1"/>
  <c r="L153" i="1" s="1"/>
  <c r="K134" i="1"/>
  <c r="L134" i="1" s="1" a="1"/>
  <c r="L134" i="1" s="1"/>
  <c r="K81" i="1"/>
  <c r="L81" i="1" s="1" a="1"/>
  <c r="L81" i="1" s="1"/>
  <c r="K108" i="1"/>
  <c r="L108" i="1" s="1" a="1"/>
  <c r="L108" i="1" s="1"/>
  <c r="K124" i="1"/>
  <c r="L124" i="1" s="1" a="1"/>
  <c r="L124" i="1" s="1"/>
  <c r="K68" i="1"/>
  <c r="L68" i="1" s="1" a="1"/>
  <c r="L68" i="1" s="1"/>
  <c r="K155" i="1"/>
  <c r="L155" i="1" s="1" a="1"/>
  <c r="L155" i="1" s="1"/>
  <c r="K107" i="1"/>
  <c r="L107" i="1" s="1" a="1"/>
  <c r="L107" i="1" s="1"/>
  <c r="K127" i="1"/>
  <c r="L127" i="1" s="1" a="1"/>
  <c r="L127" i="1" s="1"/>
  <c r="K117" i="1"/>
  <c r="L117" i="1" s="1" a="1"/>
  <c r="L117" i="1" s="1"/>
  <c r="K58" i="1"/>
  <c r="L58" i="1" s="1" a="1"/>
  <c r="L58" i="1" s="1"/>
  <c r="K203" i="1"/>
  <c r="L203" i="1" s="1" a="1"/>
  <c r="L203" i="1" s="1"/>
  <c r="K83" i="1"/>
  <c r="L83" i="1" s="1" a="1"/>
  <c r="L83" i="1" s="1"/>
  <c r="K46" i="1"/>
  <c r="L46" i="1" s="1" a="1"/>
  <c r="L46" i="1" s="1"/>
  <c r="K189" i="1"/>
  <c r="L189" i="1" s="1" a="1"/>
  <c r="L189" i="1" s="1"/>
  <c r="K104" i="1"/>
  <c r="L104" i="1" s="1" a="1"/>
  <c r="L104" i="1" s="1"/>
  <c r="K187" i="1"/>
  <c r="L187" i="1" s="1" a="1"/>
  <c r="L187" i="1" s="1"/>
  <c r="K120" i="1"/>
  <c r="L120" i="1" s="1" a="1"/>
  <c r="L120" i="1" s="1"/>
  <c r="K27" i="1"/>
  <c r="L27" i="1" s="1" a="1"/>
  <c r="L27" i="1" s="1"/>
  <c r="K93" i="1"/>
  <c r="L93" i="1" s="1" a="1"/>
  <c r="L93" i="1" s="1"/>
  <c r="K51" i="1"/>
  <c r="L51" i="1" s="1" a="1"/>
  <c r="L51" i="1" s="1"/>
  <c r="K148" i="1"/>
  <c r="L148" i="1" s="1" a="1"/>
  <c r="L148" i="1" s="1"/>
  <c r="K156" i="1"/>
  <c r="L156" i="1" s="1" a="1"/>
  <c r="L156" i="1" s="1"/>
  <c r="K15" i="1"/>
  <c r="L15" i="1" s="1" a="1"/>
  <c r="L15" i="1" s="1"/>
  <c r="K24" i="1"/>
  <c r="L24" i="1" s="1" a="1"/>
  <c r="L24" i="1" s="1"/>
  <c r="K140" i="1"/>
  <c r="L140" i="1" s="1" a="1"/>
  <c r="L140" i="1" s="1"/>
  <c r="K63" i="1"/>
  <c r="L63" i="1" s="1" a="1"/>
  <c r="L63" i="1" s="1"/>
  <c r="K205" i="1"/>
  <c r="L205" i="1" s="1" a="1"/>
  <c r="L205" i="1" s="1"/>
  <c r="K61" i="1"/>
  <c r="L61" i="1" s="1" a="1"/>
  <c r="L61" i="1" s="1"/>
  <c r="K85" i="1"/>
  <c r="L85" i="1" s="1" a="1"/>
  <c r="L85" i="1" s="1"/>
  <c r="K103" i="1"/>
  <c r="L103" i="1" s="1" a="1"/>
  <c r="L103" i="1" s="1"/>
  <c r="K159" i="1"/>
  <c r="L159" i="1" s="1" a="1"/>
  <c r="L159" i="1" s="1"/>
  <c r="K167" i="1"/>
  <c r="L167" i="1" s="1" a="1"/>
  <c r="L167" i="1" s="1"/>
  <c r="K174" i="1"/>
  <c r="L174" i="1" s="1" a="1"/>
  <c r="L174" i="1" s="1"/>
  <c r="K218" i="1"/>
  <c r="L218" i="1" s="1" a="1"/>
  <c r="L218" i="1" s="1"/>
  <c r="K179" i="1"/>
  <c r="L179" i="1" s="1" a="1"/>
  <c r="L179" i="1" s="1"/>
  <c r="K106" i="1"/>
  <c r="L106" i="1" s="1" a="1"/>
  <c r="L106" i="1" s="1"/>
  <c r="K208" i="1"/>
  <c r="L208" i="1" s="1" a="1"/>
  <c r="L208" i="1" s="1"/>
  <c r="K173" i="1"/>
  <c r="L173" i="1" s="1" a="1"/>
  <c r="L173" i="1" s="1"/>
  <c r="K56" i="1"/>
  <c r="L56" i="1" s="1" a="1"/>
  <c r="L56" i="1" s="1"/>
  <c r="K100" i="1"/>
  <c r="L100" i="1" s="1" a="1"/>
  <c r="L100" i="1" s="1"/>
  <c r="K220" i="1"/>
  <c r="L220" i="1" s="1" a="1"/>
  <c r="L220" i="1" s="1"/>
  <c r="K211" i="1"/>
  <c r="L211" i="1" s="1" a="1"/>
  <c r="L211" i="1" s="1"/>
  <c r="K178" i="1"/>
  <c r="L178" i="1" s="1" a="1"/>
  <c r="L178" i="1" s="1"/>
  <c r="K191" i="1"/>
  <c r="L191" i="1" s="1" a="1"/>
  <c r="L191" i="1" s="1"/>
  <c r="K67" i="1"/>
  <c r="L67" i="1" s="1" a="1"/>
  <c r="L67" i="1" s="1"/>
  <c r="K192" i="1"/>
  <c r="L192" i="1" s="1" a="1"/>
  <c r="L192" i="1" s="1"/>
  <c r="K64" i="1"/>
  <c r="L64" i="1" s="1" a="1"/>
  <c r="L64" i="1" s="1"/>
  <c r="K223" i="1"/>
  <c r="L223" i="1" s="1" a="1"/>
  <c r="L223" i="1" s="1"/>
  <c r="K143" i="1"/>
  <c r="L143" i="1" s="1" a="1"/>
  <c r="L143" i="1" s="1"/>
  <c r="H144" i="1"/>
  <c r="H216" i="1"/>
  <c r="H147" i="1"/>
  <c r="H72" i="1"/>
  <c r="H174" i="1"/>
  <c r="H79" i="1"/>
  <c r="H123" i="1"/>
  <c r="H190" i="1"/>
  <c r="H25" i="1"/>
  <c r="H135" i="1"/>
  <c r="H119" i="1"/>
  <c r="H143" i="1"/>
  <c r="H107" i="1"/>
  <c r="H217" i="1"/>
  <c r="H106" i="1"/>
  <c r="H215" i="1"/>
  <c r="H22" i="1"/>
  <c r="H194" i="1"/>
  <c r="H115" i="1"/>
  <c r="H95" i="1"/>
  <c r="H118" i="1"/>
  <c r="H169" i="1"/>
  <c r="H166" i="1"/>
  <c r="H114" i="1"/>
  <c r="H151" i="1"/>
  <c r="H23" i="1"/>
  <c r="H36" i="1"/>
  <c r="H158" i="1"/>
  <c r="H18" i="1"/>
  <c r="H173" i="1"/>
  <c r="H64" i="1"/>
  <c r="H73" i="1"/>
  <c r="H55" i="1"/>
  <c r="H63" i="1"/>
  <c r="H61" i="1"/>
  <c r="H175" i="1"/>
  <c r="H16" i="1"/>
  <c r="H210" i="1"/>
  <c r="H214" i="1"/>
  <c r="H186" i="1"/>
  <c r="H32" i="1"/>
  <c r="H62" i="1"/>
  <c r="H74" i="1"/>
  <c r="H213" i="1"/>
  <c r="H60" i="1"/>
  <c r="H141" i="1"/>
  <c r="H87" i="1"/>
  <c r="H120" i="1"/>
  <c r="H176" i="1"/>
  <c r="H43" i="1"/>
  <c r="H148" i="1"/>
  <c r="H15" i="1"/>
  <c r="H140" i="1"/>
  <c r="H67" i="1"/>
  <c r="H137" i="1"/>
  <c r="H20" i="1"/>
  <c r="H139" i="1"/>
  <c r="H152" i="1"/>
  <c r="H71" i="1"/>
  <c r="H177" i="1"/>
  <c r="H159" i="1"/>
  <c r="H111" i="1"/>
  <c r="H222" i="1"/>
  <c r="H110" i="1"/>
  <c r="H78" i="1"/>
  <c r="H41" i="1"/>
  <c r="H65" i="1"/>
  <c r="H75" i="1"/>
  <c r="H127" i="1"/>
  <c r="H181" i="1"/>
  <c r="H183" i="1"/>
  <c r="H109" i="1"/>
  <c r="H96" i="1"/>
  <c r="H163" i="1"/>
  <c r="H88" i="1"/>
  <c r="H160" i="1"/>
  <c r="H162" i="1"/>
  <c r="H83" i="1"/>
  <c r="H57" i="1"/>
  <c r="H19" i="1"/>
  <c r="H125" i="1"/>
  <c r="H45" i="1"/>
  <c r="H84" i="1"/>
  <c r="H44" i="1"/>
  <c r="H46" i="1"/>
  <c r="H50" i="1"/>
  <c r="H128" i="1"/>
  <c r="H49" i="1"/>
  <c r="H24" i="1"/>
  <c r="H91" i="1"/>
  <c r="H117" i="1"/>
  <c r="H208" i="1"/>
  <c r="H198" i="1"/>
  <c r="H197" i="1"/>
  <c r="H200" i="1"/>
  <c r="H201" i="1"/>
  <c r="H199" i="1"/>
  <c r="H202" i="1"/>
  <c r="H100" i="1"/>
  <c r="H82" i="1"/>
  <c r="H68" i="1"/>
  <c r="H33" i="1"/>
  <c r="H121" i="1"/>
  <c r="H155" i="1"/>
  <c r="H161" i="1"/>
  <c r="H105" i="1"/>
  <c r="H92" i="1"/>
  <c r="H219" i="1"/>
  <c r="H80" i="1"/>
  <c r="H203" i="1"/>
  <c r="H218" i="1"/>
  <c r="H142" i="1"/>
  <c r="H69" i="1"/>
  <c r="H86" i="1"/>
  <c r="H170" i="1"/>
  <c r="H193" i="1"/>
  <c r="H136" i="1"/>
  <c r="H81" i="1"/>
  <c r="H124" i="1"/>
  <c r="H129" i="1"/>
  <c r="H130" i="1"/>
  <c r="H31" i="1"/>
  <c r="H28" i="1"/>
  <c r="H113" i="1"/>
  <c r="H112" i="1"/>
  <c r="H153" i="1"/>
  <c r="H90" i="1"/>
  <c r="H187" i="1"/>
  <c r="H27" i="1"/>
  <c r="H89" i="1"/>
  <c r="H184" i="1"/>
  <c r="H102" i="1"/>
  <c r="H149" i="1"/>
  <c r="H21" i="1"/>
  <c r="H209" i="1"/>
  <c r="H150" i="1"/>
  <c r="H182" i="1"/>
  <c r="H103" i="1"/>
  <c r="H179" i="1"/>
  <c r="H138" i="1"/>
  <c r="H85" i="1"/>
  <c r="H126" i="1"/>
  <c r="H180" i="1"/>
  <c r="H94" i="1"/>
  <c r="H122" i="1"/>
  <c r="H17" i="1"/>
  <c r="H221" i="1"/>
  <c r="H116" i="1"/>
  <c r="H48" i="1"/>
  <c r="H132" i="1"/>
  <c r="H47" i="1"/>
  <c r="H133" i="1"/>
  <c r="H98" i="1"/>
  <c r="H37" i="1"/>
  <c r="H53" i="1"/>
  <c r="H54" i="1"/>
  <c r="H104" i="1"/>
  <c r="H196" i="1"/>
  <c r="H66" i="1"/>
  <c r="H42" i="1"/>
  <c r="H40" i="1"/>
  <c r="H195" i="1"/>
  <c r="H56" i="1"/>
  <c r="H70" i="1"/>
  <c r="H35" i="1"/>
  <c r="H131" i="1"/>
  <c r="H188" i="1"/>
  <c r="H134" i="1"/>
  <c r="H189" i="1"/>
  <c r="H34" i="1"/>
  <c r="H52" i="1"/>
  <c r="H59" i="1"/>
  <c r="H58" i="1"/>
  <c r="H51" i="1"/>
  <c r="H154" i="1"/>
  <c r="H101" i="1"/>
  <c r="H93" i="1"/>
  <c r="H156" i="1"/>
  <c r="H167" i="1"/>
  <c r="H168" i="1"/>
  <c r="H191" i="1"/>
  <c r="H192" i="1"/>
  <c r="H206" i="1"/>
  <c r="H185" i="1"/>
  <c r="H172" i="1"/>
  <c r="H29" i="1"/>
  <c r="H38" i="1"/>
  <c r="H97" i="1"/>
  <c r="H157" i="1"/>
  <c r="H77" i="1"/>
  <c r="H207" i="1"/>
  <c r="H108" i="1"/>
  <c r="H178" i="1"/>
  <c r="H76" i="1"/>
  <c r="H146" i="1"/>
  <c r="H212" i="1"/>
  <c r="H26" i="1"/>
  <c r="H165" i="1"/>
  <c r="H164" i="1"/>
  <c r="H211" i="1"/>
  <c r="H145" i="1"/>
  <c r="H220" i="1"/>
  <c r="H223" i="1"/>
  <c r="H30" i="1"/>
  <c r="H205" i="1"/>
  <c r="H204" i="1"/>
  <c r="P204" i="1"/>
  <c r="P216" i="1"/>
  <c r="P72" i="1"/>
  <c r="P79" i="1"/>
  <c r="P123" i="1"/>
  <c r="P25" i="1"/>
  <c r="P119" i="1"/>
  <c r="P143" i="1"/>
  <c r="P107" i="1"/>
  <c r="P217" i="1"/>
  <c r="P106" i="1"/>
  <c r="P215" i="1"/>
  <c r="P22" i="1"/>
  <c r="P194" i="1"/>
  <c r="P115" i="1"/>
  <c r="P95" i="1"/>
  <c r="P118" i="1"/>
  <c r="P169" i="1"/>
  <c r="P166" i="1"/>
  <c r="P151" i="1"/>
  <c r="P23" i="1"/>
  <c r="P36" i="1"/>
  <c r="P158" i="1"/>
  <c r="P18" i="1"/>
  <c r="P173" i="1"/>
  <c r="P64" i="1"/>
  <c r="P73" i="1"/>
  <c r="P55" i="1"/>
  <c r="P63" i="1"/>
  <c r="P61" i="1"/>
  <c r="P175" i="1"/>
  <c r="P16" i="1"/>
  <c r="P210" i="1"/>
  <c r="P214" i="1"/>
  <c r="P186" i="1"/>
  <c r="P32" i="1"/>
  <c r="P62" i="1"/>
  <c r="P74" i="1"/>
  <c r="P213" i="1"/>
  <c r="P60" i="1"/>
  <c r="P141" i="1"/>
  <c r="P87" i="1"/>
  <c r="P120" i="1"/>
  <c r="P171" i="1"/>
  <c r="P176" i="1"/>
  <c r="P43" i="1"/>
  <c r="P148" i="1"/>
  <c r="P15" i="1"/>
  <c r="P67" i="1"/>
  <c r="P137" i="1"/>
  <c r="P20" i="1"/>
  <c r="P152" i="1"/>
  <c r="P71" i="1"/>
  <c r="P159" i="1"/>
  <c r="P111" i="1"/>
  <c r="P110" i="1"/>
  <c r="P78" i="1"/>
  <c r="P41" i="1"/>
  <c r="P65" i="1"/>
  <c r="P75" i="1"/>
  <c r="P127" i="1"/>
  <c r="P181" i="1"/>
  <c r="P183" i="1"/>
  <c r="P109" i="1"/>
  <c r="P96" i="1"/>
  <c r="P163" i="1"/>
  <c r="P88" i="1"/>
  <c r="P160" i="1"/>
  <c r="P162" i="1"/>
  <c r="P83" i="1"/>
  <c r="P57" i="1"/>
  <c r="P19" i="1"/>
  <c r="P125" i="1"/>
  <c r="P45" i="1"/>
  <c r="P84" i="1"/>
  <c r="P46" i="1"/>
  <c r="P50" i="1"/>
  <c r="P128" i="1"/>
  <c r="P24" i="1"/>
  <c r="P91" i="1"/>
  <c r="P117" i="1"/>
  <c r="P208" i="1"/>
  <c r="P197" i="1"/>
  <c r="P200" i="1"/>
  <c r="P201" i="1"/>
  <c r="P199" i="1"/>
  <c r="P202" i="1"/>
  <c r="P100" i="1"/>
  <c r="P82" i="1"/>
  <c r="P68" i="1"/>
  <c r="P33" i="1"/>
  <c r="P121" i="1"/>
  <c r="P155" i="1"/>
  <c r="P161" i="1"/>
  <c r="P105" i="1"/>
  <c r="P92" i="1"/>
  <c r="P80" i="1"/>
  <c r="P203" i="1"/>
  <c r="P218" i="1"/>
  <c r="P142" i="1"/>
  <c r="P69" i="1"/>
  <c r="P86" i="1"/>
  <c r="P170" i="1"/>
  <c r="P193" i="1"/>
  <c r="P136" i="1"/>
  <c r="P124" i="1"/>
  <c r="P129" i="1"/>
  <c r="P130" i="1"/>
  <c r="P28" i="1"/>
  <c r="P113" i="1"/>
  <c r="P112" i="1"/>
  <c r="P153" i="1"/>
  <c r="P90" i="1"/>
  <c r="P187" i="1"/>
  <c r="P89" i="1"/>
  <c r="P184" i="1"/>
  <c r="P102" i="1"/>
  <c r="P149" i="1"/>
  <c r="P21" i="1"/>
  <c r="P209" i="1"/>
  <c r="P150" i="1"/>
  <c r="P182" i="1"/>
  <c r="P103" i="1"/>
  <c r="P179" i="1"/>
  <c r="P138" i="1"/>
  <c r="P85" i="1"/>
  <c r="P126" i="1"/>
  <c r="P180" i="1"/>
  <c r="P94" i="1"/>
  <c r="P122" i="1"/>
  <c r="P17" i="1"/>
  <c r="P221" i="1"/>
  <c r="P48" i="1"/>
  <c r="P47" i="1"/>
  <c r="P133" i="1"/>
  <c r="P98" i="1"/>
  <c r="P37" i="1"/>
  <c r="P53" i="1"/>
  <c r="P54" i="1"/>
  <c r="P104" i="1"/>
  <c r="P196" i="1"/>
  <c r="P66" i="1"/>
  <c r="P42" i="1"/>
  <c r="P40" i="1"/>
  <c r="P195" i="1"/>
  <c r="P56" i="1"/>
  <c r="P70" i="1"/>
  <c r="P35" i="1"/>
  <c r="P188" i="1"/>
  <c r="P134" i="1"/>
  <c r="P189" i="1"/>
  <c r="P34" i="1"/>
  <c r="P52" i="1"/>
  <c r="P59" i="1"/>
  <c r="P51" i="1"/>
  <c r="P101" i="1"/>
  <c r="P93" i="1"/>
  <c r="P156" i="1"/>
  <c r="P167" i="1"/>
  <c r="P168" i="1"/>
  <c r="P191" i="1"/>
  <c r="P192" i="1"/>
  <c r="P206" i="1"/>
  <c r="P185" i="1"/>
  <c r="P172" i="1"/>
  <c r="P29" i="1"/>
  <c r="P38" i="1"/>
  <c r="P97" i="1"/>
  <c r="P157" i="1"/>
  <c r="P77" i="1"/>
  <c r="P207" i="1"/>
  <c r="P108" i="1"/>
  <c r="P178" i="1"/>
  <c r="P76" i="1"/>
  <c r="P146" i="1"/>
  <c r="P212" i="1"/>
  <c r="P26" i="1"/>
  <c r="P164" i="1"/>
  <c r="P211" i="1"/>
  <c r="P145" i="1"/>
  <c r="P223" i="1"/>
  <c r="P30" i="1"/>
  <c r="P205" i="1"/>
  <c r="F40" i="4" l="1"/>
  <c r="F95" i="4"/>
  <c r="F112" i="4"/>
  <c r="F57" i="4"/>
  <c r="F48" i="4"/>
  <c r="F70" i="4"/>
  <c r="F119" i="4"/>
  <c r="F41" i="4"/>
  <c r="F21" i="4"/>
  <c r="F51" i="4"/>
  <c r="F58" i="4"/>
  <c r="F74" i="4"/>
  <c r="F32" i="4"/>
  <c r="F115" i="4"/>
  <c r="F16" i="4"/>
  <c r="F63" i="4"/>
  <c r="F37" i="4"/>
  <c r="F80" i="4"/>
  <c r="F65" i="4"/>
  <c r="F79" i="4"/>
  <c r="F60" i="4"/>
  <c r="F123" i="4"/>
  <c r="F66" i="4"/>
  <c r="F78" i="4"/>
  <c r="F111" i="4"/>
  <c r="F17" i="4"/>
  <c r="F120" i="4"/>
  <c r="F82" i="4"/>
  <c r="F61" i="4"/>
  <c r="F67" i="4"/>
  <c r="F71" i="4"/>
  <c r="F18" i="4"/>
  <c r="F29" i="4"/>
  <c r="F59" i="4"/>
  <c r="F68" i="4"/>
  <c r="F72" i="4"/>
  <c r="F27" i="4"/>
  <c r="F50" i="4"/>
  <c r="F47" i="4"/>
  <c r="F69" i="4"/>
  <c r="F7" i="4"/>
  <c r="F121" i="4"/>
  <c r="F87" i="4"/>
  <c r="F64" i="4"/>
  <c r="F94" i="4"/>
  <c r="F118" i="4"/>
  <c r="F96" i="4"/>
  <c r="F91" i="4"/>
  <c r="F22" i="4"/>
  <c r="F38" i="4"/>
  <c r="F11" i="4"/>
  <c r="F88" i="4"/>
  <c r="F43" i="4"/>
  <c r="F84" i="4"/>
  <c r="F89" i="4"/>
  <c r="F31" i="4"/>
  <c r="F76" i="4"/>
  <c r="F113" i="4"/>
  <c r="F73" i="4"/>
  <c r="F44" i="4"/>
  <c r="F39" i="4"/>
  <c r="F33" i="4"/>
  <c r="F110" i="4"/>
  <c r="F122" i="4"/>
  <c r="F49" i="4"/>
  <c r="F8" i="4"/>
  <c r="F45" i="4"/>
  <c r="F117" i="4"/>
  <c r="F23" i="4"/>
  <c r="F20" i="4"/>
  <c r="F13" i="4"/>
  <c r="F52" i="4"/>
  <c r="F55" i="4"/>
  <c r="F99" i="4"/>
  <c r="F75" i="4"/>
  <c r="F93" i="4"/>
  <c r="F24" i="4"/>
  <c r="F54" i="4"/>
  <c r="F36" i="4"/>
  <c r="F35" i="4"/>
  <c r="F28" i="4"/>
  <c r="F109" i="4"/>
  <c r="F86" i="4"/>
  <c r="F9" i="4"/>
  <c r="F98" i="4"/>
  <c r="F25" i="4"/>
  <c r="F77" i="4"/>
  <c r="F14" i="4"/>
  <c r="F97" i="4"/>
  <c r="F53" i="4"/>
  <c r="F85" i="4"/>
  <c r="F26" i="4"/>
  <c r="F62" i="4"/>
  <c r="F90" i="4"/>
  <c r="F19" i="4"/>
  <c r="F46" i="4"/>
  <c r="F12" i="4"/>
  <c r="F15" i="4"/>
  <c r="F116" i="4"/>
  <c r="F114" i="4"/>
  <c r="F81" i="4"/>
  <c r="F92" i="4"/>
  <c r="F42" i="4"/>
  <c r="F10" i="4"/>
  <c r="F30" i="4"/>
  <c r="F56" i="4"/>
  <c r="F83" i="4"/>
  <c r="F8" i="3"/>
  <c r="F45" i="2"/>
  <c r="F48" i="2"/>
  <c r="F62" i="2"/>
  <c r="F22" i="2"/>
  <c r="F43" i="2"/>
  <c r="F32" i="2"/>
  <c r="F51" i="2"/>
  <c r="F46" i="2"/>
  <c r="F38" i="2"/>
  <c r="F24" i="2"/>
  <c r="F18" i="2"/>
  <c r="F39" i="2"/>
  <c r="F61" i="2"/>
  <c r="F42" i="2"/>
  <c r="F44" i="2"/>
  <c r="F54" i="2"/>
  <c r="F40" i="2"/>
  <c r="F33" i="2"/>
  <c r="F59" i="2"/>
  <c r="F23" i="2"/>
  <c r="F34" i="2"/>
  <c r="F27" i="2"/>
  <c r="F49" i="2"/>
  <c r="F20" i="2"/>
  <c r="F17" i="2"/>
  <c r="F26" i="2"/>
  <c r="F21" i="2"/>
  <c r="F19" i="2"/>
  <c r="F47" i="2"/>
  <c r="F25" i="2"/>
  <c r="F60" i="2"/>
  <c r="F28" i="2"/>
  <c r="F29" i="2"/>
  <c r="F41"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2" i="4" s="1"/>
  <c r="W43" i="10"/>
  <c r="Z43" i="10"/>
  <c r="U44" i="10"/>
  <c r="V44" i="10"/>
  <c r="I44" i="4" s="1"/>
  <c r="W44" i="10"/>
  <c r="Z44" i="10"/>
  <c r="U45" i="10"/>
  <c r="V45" i="10"/>
  <c r="I39" i="4" s="1"/>
  <c r="W45" i="10"/>
  <c r="Z45" i="10"/>
  <c r="U46" i="10"/>
  <c r="V46" i="10"/>
  <c r="I45" i="4" s="1"/>
  <c r="W46" i="10"/>
  <c r="Z46" i="10"/>
  <c r="U47" i="10"/>
  <c r="V47" i="10"/>
  <c r="I43"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1" i="4" s="1"/>
  <c r="W53" i="10"/>
  <c r="Z53" i="10"/>
  <c r="U54" i="10"/>
  <c r="V54" i="10"/>
  <c r="I28" i="4" s="1"/>
  <c r="W54" i="10"/>
  <c r="Z54" i="10"/>
  <c r="U55" i="10"/>
  <c r="V55" i="10"/>
  <c r="I81" i="4" s="1"/>
  <c r="W55" i="10"/>
  <c r="Z55" i="10"/>
  <c r="U56" i="10"/>
  <c r="V56" i="10"/>
  <c r="I10" i="4" s="1"/>
  <c r="W56" i="10"/>
  <c r="Z56" i="10"/>
  <c r="U57" i="10"/>
  <c r="V57" i="10"/>
  <c r="I16" i="4" s="1"/>
  <c r="W57" i="10"/>
  <c r="Z57" i="10"/>
  <c r="U58" i="10"/>
  <c r="V58" i="10"/>
  <c r="I27" i="4" s="1"/>
  <c r="W58" i="10"/>
  <c r="Z58" i="10"/>
  <c r="U59" i="10"/>
  <c r="V59" i="10"/>
  <c r="W59" i="10"/>
  <c r="Z59" i="10"/>
  <c r="U60" i="10"/>
  <c r="V60" i="10"/>
  <c r="I78" i="4" s="1"/>
  <c r="W60" i="10"/>
  <c r="Z60" i="10"/>
  <c r="U61" i="10"/>
  <c r="V61" i="10"/>
  <c r="I118" i="4" s="1"/>
  <c r="W61" i="10"/>
  <c r="Z61" i="10"/>
  <c r="U62" i="10"/>
  <c r="V62" i="10"/>
  <c r="I12" i="4" s="1"/>
  <c r="W62" i="10"/>
  <c r="Z62" i="10"/>
  <c r="U63" i="10"/>
  <c r="V63" i="10"/>
  <c r="I29" i="4" s="1"/>
  <c r="W63" i="10"/>
  <c r="Z63" i="10"/>
  <c r="U64" i="10"/>
  <c r="V64" i="10"/>
  <c r="I36" i="4" s="1"/>
  <c r="W64" i="10"/>
  <c r="Z64" i="10"/>
  <c r="U65" i="10"/>
  <c r="V65" i="10"/>
  <c r="I40" i="4" s="1"/>
  <c r="W65" i="10"/>
  <c r="Z65" i="10"/>
  <c r="U66" i="10"/>
  <c r="V66" i="10"/>
  <c r="W66" i="10"/>
  <c r="Z66" i="10"/>
  <c r="U67" i="10"/>
  <c r="V67" i="10"/>
  <c r="I25" i="4" s="1"/>
  <c r="W67" i="10"/>
  <c r="Z67" i="10"/>
  <c r="U68" i="10"/>
  <c r="V68" i="10"/>
  <c r="I37"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5" i="4" s="1"/>
  <c r="W79" i="10"/>
  <c r="Z79" i="10"/>
  <c r="U80" i="10"/>
  <c r="V80" i="10"/>
  <c r="I17" i="4" s="1"/>
  <c r="W80" i="10"/>
  <c r="Z80" i="10"/>
  <c r="U81" i="10"/>
  <c r="V81" i="10"/>
  <c r="I77" i="4" s="1"/>
  <c r="W81" i="10"/>
  <c r="Z81" i="10"/>
  <c r="U82" i="10"/>
  <c r="V82" i="10"/>
  <c r="I33" i="4" s="1"/>
  <c r="W82" i="10"/>
  <c r="Z82" i="10"/>
  <c r="U83" i="10"/>
  <c r="V83" i="10"/>
  <c r="I15" i="4" s="1"/>
  <c r="W83" i="10"/>
  <c r="Z83" i="10"/>
  <c r="U84" i="10"/>
  <c r="V84" i="10"/>
  <c r="I24" i="4" s="1"/>
  <c r="W84" i="10"/>
  <c r="Z84" i="10"/>
  <c r="U85" i="10"/>
  <c r="V85" i="10"/>
  <c r="I79" i="4" s="1"/>
  <c r="W85" i="10"/>
  <c r="Z85" i="10"/>
  <c r="U86" i="10"/>
  <c r="V86" i="10"/>
  <c r="I26" i="4" s="1"/>
  <c r="W86" i="10"/>
  <c r="Z86" i="10"/>
  <c r="U87" i="10"/>
  <c r="V87" i="10"/>
  <c r="W87" i="10"/>
  <c r="Z87" i="10"/>
  <c r="U88" i="10"/>
  <c r="V88" i="10"/>
  <c r="I18" i="4" s="1"/>
  <c r="W88" i="10"/>
  <c r="Z88" i="10"/>
  <c r="U89" i="10"/>
  <c r="V89" i="10"/>
  <c r="I30"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23" i="4" s="1"/>
  <c r="W97" i="10"/>
  <c r="Z97" i="10"/>
  <c r="U98" i="10"/>
  <c r="V98" i="10"/>
  <c r="I31" i="4" s="1"/>
  <c r="W98" i="10"/>
  <c r="Z98" i="10"/>
  <c r="U99" i="10"/>
  <c r="V99" i="10"/>
  <c r="W99" i="10"/>
  <c r="Z99" i="10"/>
  <c r="U100" i="10"/>
  <c r="V100" i="10"/>
  <c r="W100" i="10"/>
  <c r="Z100" i="10"/>
  <c r="U101" i="10"/>
  <c r="V101" i="10"/>
  <c r="I42"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62"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60" i="4" s="1"/>
  <c r="W126" i="10"/>
  <c r="Z126" i="10"/>
  <c r="U127" i="10"/>
  <c r="V127" i="10"/>
  <c r="I48" i="4" s="1"/>
  <c r="W127" i="10"/>
  <c r="Z127" i="10"/>
  <c r="U128" i="10"/>
  <c r="V128" i="10"/>
  <c r="I61" i="4" s="1"/>
  <c r="W128" i="10"/>
  <c r="Z128" i="10"/>
  <c r="U129" i="10"/>
  <c r="V129" i="10"/>
  <c r="W129" i="10"/>
  <c r="Z129" i="10"/>
  <c r="U130" i="10"/>
  <c r="V130" i="10"/>
  <c r="I55"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7" i="4" s="1"/>
  <c r="W132" i="10"/>
  <c r="Z132" i="10"/>
  <c r="U124" i="10"/>
  <c r="V124" i="10"/>
  <c r="I50" i="4" s="1"/>
  <c r="W124" i="10"/>
  <c r="U133" i="10"/>
  <c r="V133" i="10"/>
  <c r="I51" i="4" s="1"/>
  <c r="W133" i="10"/>
  <c r="Z133" i="10"/>
  <c r="U134" i="10"/>
  <c r="V134" i="10"/>
  <c r="W134" i="10"/>
  <c r="Z134" i="10"/>
  <c r="U135" i="10"/>
  <c r="V135" i="10"/>
  <c r="I53" i="4" s="1"/>
  <c r="W135" i="10"/>
  <c r="Z135" i="10"/>
  <c r="U136" i="10"/>
  <c r="V136" i="10"/>
  <c r="I58" i="4" s="1"/>
  <c r="W136" i="10"/>
  <c r="Z136" i="10"/>
  <c r="U137" i="10"/>
  <c r="V137" i="10"/>
  <c r="I49" i="4" s="1"/>
  <c r="W137" i="10"/>
  <c r="Z137" i="10"/>
  <c r="U138" i="10"/>
  <c r="V138" i="10"/>
  <c r="W138" i="10"/>
  <c r="Z138" i="10"/>
  <c r="U139" i="10"/>
  <c r="V139" i="10"/>
  <c r="W139" i="10"/>
  <c r="Z139" i="10"/>
  <c r="U140" i="10"/>
  <c r="V140" i="10"/>
  <c r="W140" i="10"/>
  <c r="Z140" i="10"/>
  <c r="U184" i="10"/>
  <c r="V184" i="10"/>
  <c r="I43" i="2" s="1"/>
  <c r="W184" i="10"/>
  <c r="Z184" i="10"/>
  <c r="U185" i="10"/>
  <c r="V185" i="10"/>
  <c r="I42" i="2" s="1"/>
  <c r="W185" i="10"/>
  <c r="Z185" i="10"/>
  <c r="U180" i="10"/>
  <c r="V180" i="10"/>
  <c r="I60" i="2" s="1"/>
  <c r="W180" i="10"/>
  <c r="U186" i="10"/>
  <c r="V186" i="10"/>
  <c r="I57" i="2" s="1"/>
  <c r="W186" i="10"/>
  <c r="Z186" i="10"/>
  <c r="U187" i="10"/>
  <c r="V187" i="10"/>
  <c r="I44"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9" i="2" s="1"/>
  <c r="W192" i="10"/>
  <c r="Z192" i="10"/>
  <c r="U193" i="10"/>
  <c r="V193" i="10"/>
  <c r="W193" i="10"/>
  <c r="Z193" i="10"/>
  <c r="U194" i="10"/>
  <c r="V194" i="10"/>
  <c r="I37"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0" i="2" s="1"/>
  <c r="W200" i="10"/>
  <c r="Z200" i="10"/>
  <c r="U201" i="10"/>
  <c r="V201" i="10"/>
  <c r="I35" i="2" s="1"/>
  <c r="W201" i="10"/>
  <c r="Z201" i="10"/>
  <c r="U202" i="10"/>
  <c r="V202" i="10"/>
  <c r="I33" i="2" s="1"/>
  <c r="W202" i="10"/>
  <c r="Z202" i="10"/>
  <c r="U203" i="10"/>
  <c r="V203" i="10"/>
  <c r="I28" i="2" s="1"/>
  <c r="W203" i="10"/>
  <c r="Z203" i="10"/>
  <c r="U204" i="10"/>
  <c r="V204" i="10"/>
  <c r="I36" i="2" s="1"/>
  <c r="W204" i="10"/>
  <c r="Z204" i="10"/>
  <c r="U205" i="10"/>
  <c r="V205" i="10"/>
  <c r="W205" i="10"/>
  <c r="Z205" i="10"/>
  <c r="U206" i="10"/>
  <c r="V206" i="10"/>
  <c r="W206" i="10"/>
  <c r="Z206" i="10"/>
  <c r="U142" i="10"/>
  <c r="V142" i="10"/>
  <c r="I74" i="4" s="1"/>
  <c r="W142" i="10"/>
  <c r="Z142" i="10"/>
  <c r="U143" i="10"/>
  <c r="V143" i="10"/>
  <c r="I68" i="4" s="1"/>
  <c r="W143" i="10"/>
  <c r="Z143" i="10"/>
  <c r="U144" i="10"/>
  <c r="V144" i="10"/>
  <c r="I69" i="4" s="1"/>
  <c r="W144" i="10"/>
  <c r="Z144" i="10"/>
  <c r="U145" i="10"/>
  <c r="V145" i="10"/>
  <c r="W145" i="10"/>
  <c r="Z145" i="10"/>
  <c r="U146" i="10"/>
  <c r="V146" i="10"/>
  <c r="I70" i="4" s="1"/>
  <c r="W146" i="10"/>
  <c r="Z146" i="10"/>
  <c r="U147" i="10"/>
  <c r="V147" i="10"/>
  <c r="I64" i="4" s="1"/>
  <c r="W147" i="10"/>
  <c r="Z147" i="10"/>
  <c r="U148" i="10"/>
  <c r="V148" i="10"/>
  <c r="W148" i="10"/>
  <c r="Z148" i="10"/>
  <c r="U149" i="10"/>
  <c r="V149" i="10"/>
  <c r="W149" i="10"/>
  <c r="Z149" i="10"/>
  <c r="U150" i="10"/>
  <c r="V150" i="10"/>
  <c r="I76" i="4" s="1"/>
  <c r="W150" i="10"/>
  <c r="Z150" i="10"/>
  <c r="U110" i="10"/>
  <c r="V110" i="10"/>
  <c r="I12" i="2" s="1"/>
  <c r="W110" i="10"/>
  <c r="Z110" i="10"/>
  <c r="U111" i="10"/>
  <c r="V111" i="10"/>
  <c r="I13" i="2" s="1"/>
  <c r="W111" i="10"/>
  <c r="Z111" i="10"/>
  <c r="U151" i="10"/>
  <c r="V151" i="10"/>
  <c r="I63" i="4" s="1"/>
  <c r="W151" i="10"/>
  <c r="Z151" i="10"/>
  <c r="U152" i="10"/>
  <c r="V152" i="10"/>
  <c r="I73" i="4" s="1"/>
  <c r="W152" i="10"/>
  <c r="Z152" i="10"/>
  <c r="U153" i="10"/>
  <c r="V153" i="10"/>
  <c r="I65" i="4" s="1"/>
  <c r="W153" i="10"/>
  <c r="Z153" i="10"/>
  <c r="U207" i="10"/>
  <c r="V207" i="10"/>
  <c r="I29" i="2" s="1"/>
  <c r="W207" i="10"/>
  <c r="Z207" i="10"/>
  <c r="U208" i="10"/>
  <c r="V208" i="10"/>
  <c r="I32" i="2" s="1"/>
  <c r="W208" i="10"/>
  <c r="Z208" i="10"/>
  <c r="U154" i="10"/>
  <c r="V154" i="10"/>
  <c r="I66" i="4" s="1"/>
  <c r="W154" i="10"/>
  <c r="Z154" i="10"/>
  <c r="U155" i="10"/>
  <c r="V155" i="10"/>
  <c r="I72"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75" i="4" l="1"/>
  <c r="I67" i="4"/>
  <c r="I38" i="2"/>
  <c r="I56" i="2"/>
  <c r="I34" i="2"/>
  <c r="I7" i="4"/>
  <c r="I121" i="4"/>
  <c r="I96" i="4"/>
  <c r="I109" i="4"/>
  <c r="I21" i="4"/>
  <c r="I13" i="4"/>
  <c r="I71" i="4"/>
  <c r="I64" i="2"/>
  <c r="I41" i="2"/>
  <c r="I14" i="2"/>
  <c r="I86" i="4"/>
  <c r="I85" i="4"/>
  <c r="I102" i="4"/>
  <c r="I11" i="2"/>
  <c r="I113" i="4"/>
  <c r="I92" i="4"/>
  <c r="I57" i="4"/>
  <c r="I46" i="4"/>
  <c r="I9" i="4"/>
  <c r="I59" i="4"/>
  <c r="I120" i="4"/>
  <c r="I22" i="4"/>
  <c r="I38" i="4"/>
  <c r="I123" i="4"/>
  <c r="I54" i="4"/>
  <c r="I52" i="4"/>
  <c r="I27" i="2"/>
  <c r="I56"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3" i="1" l="1"/>
  <c r="D33" i="1" l="1"/>
  <c r="C64" i="1"/>
  <c r="D63" i="1"/>
  <c r="E63" i="1" s="1"/>
  <c r="D177" i="1"/>
  <c r="D172" i="1"/>
  <c r="D95" i="1"/>
  <c r="E95" i="1" s="1"/>
  <c r="C120" i="1"/>
  <c r="D168" i="1"/>
  <c r="D94" i="1"/>
  <c r="E94" i="1" s="1"/>
  <c r="D37" i="1"/>
  <c r="D70" i="1"/>
  <c r="D58" i="1"/>
  <c r="D112" i="1"/>
  <c r="D189" i="1"/>
  <c r="E189" i="1" s="1"/>
  <c r="D198" i="1"/>
  <c r="E198" i="1" s="1"/>
  <c r="D222" i="1"/>
  <c r="D67" i="1"/>
  <c r="E67" i="1" s="1"/>
  <c r="D194" i="1"/>
  <c r="E194" i="1" s="1"/>
  <c r="D30" i="1"/>
  <c r="E30" i="1" s="1"/>
  <c r="D100" i="1"/>
  <c r="E100" i="1" s="1"/>
  <c r="D16" i="1"/>
  <c r="E16" i="1" s="1"/>
  <c r="D220" i="1"/>
  <c r="E220" i="1" s="1"/>
  <c r="E222" i="1" l="1"/>
  <c r="E112" i="1"/>
  <c r="E58" i="1"/>
  <c r="E168" i="1"/>
  <c r="E172" i="1"/>
  <c r="E177" i="1"/>
  <c r="E70" i="1"/>
  <c r="E33" i="1"/>
  <c r="E37" i="1"/>
  <c r="D53" i="1"/>
  <c r="D18" i="1"/>
  <c r="E18" i="1" s="1"/>
  <c r="D22" i="1"/>
  <c r="E22" i="1" s="1"/>
  <c r="D85" i="1"/>
  <c r="D187" i="1"/>
  <c r="E187" i="1" s="1"/>
  <c r="D216" i="1"/>
  <c r="E216" i="1" s="1"/>
  <c r="D29" i="1"/>
  <c r="D147" i="1"/>
  <c r="D156" i="1"/>
  <c r="D118" i="1"/>
  <c r="E118" i="1" s="1"/>
  <c r="D186" i="1"/>
  <c r="E186" i="1" s="1"/>
  <c r="D214" i="1"/>
  <c r="E214" i="1" s="1"/>
  <c r="D205" i="1"/>
  <c r="E205" i="1" s="1"/>
  <c r="D191" i="1"/>
  <c r="E191" i="1" s="1"/>
  <c r="D160" i="1"/>
  <c r="E160" i="1" s="1"/>
  <c r="D179" i="1"/>
  <c r="E179" i="1" s="1"/>
  <c r="D148" i="1"/>
  <c r="D175" i="1"/>
  <c r="D119" i="1"/>
  <c r="E119" i="1" s="1"/>
  <c r="D197" i="1"/>
  <c r="E197" i="1" s="1"/>
  <c r="D217" i="1"/>
  <c r="E217" i="1" s="1"/>
  <c r="D218" i="1"/>
  <c r="E218" i="1" s="1"/>
  <c r="D34" i="1"/>
  <c r="D105" i="1"/>
  <c r="E105" i="1" s="1"/>
  <c r="D36" i="1"/>
  <c r="D68" i="1"/>
  <c r="D122" i="1"/>
  <c r="E122" i="1" s="1"/>
  <c r="D161" i="1"/>
  <c r="E161" i="1" s="1"/>
  <c r="D21" i="1"/>
  <c r="E21" i="1" s="1"/>
  <c r="D144" i="1"/>
  <c r="E144" i="1" s="1"/>
  <c r="D212" i="1"/>
  <c r="E212" i="1" s="1"/>
  <c r="D195" i="1"/>
  <c r="D19" i="1"/>
  <c r="D86" i="1"/>
  <c r="E86" i="1" s="1"/>
  <c r="D17" i="1"/>
  <c r="E17" i="1" s="1"/>
  <c r="D24" i="1"/>
  <c r="E24" i="1" s="1"/>
  <c r="D82" i="1"/>
  <c r="E82" i="1" s="1"/>
  <c r="D121" i="1"/>
  <c r="D181" i="1"/>
  <c r="E181" i="1" s="1"/>
  <c r="D74" i="1"/>
  <c r="E74" i="1" s="1"/>
  <c r="D176" i="1"/>
  <c r="E176" i="1" s="1"/>
  <c r="D174" i="1"/>
  <c r="D103" i="1"/>
  <c r="E103" i="1" s="1"/>
  <c r="D128" i="1"/>
  <c r="E128" i="1" s="1"/>
  <c r="D152" i="1"/>
  <c r="E152" i="1" s="1"/>
  <c r="D45" i="1"/>
  <c r="D71" i="1"/>
  <c r="E71" i="1" s="1"/>
  <c r="D101" i="1"/>
  <c r="E101" i="1" s="1"/>
  <c r="D98" i="1"/>
  <c r="E98" i="1" s="1"/>
  <c r="D130" i="1"/>
  <c r="E130" i="1" s="1"/>
  <c r="D46" i="1"/>
  <c r="D136" i="1"/>
  <c r="E136" i="1" s="1"/>
  <c r="D166" i="1"/>
  <c r="E166" i="1" s="1"/>
  <c r="D221" i="1"/>
  <c r="E221" i="1" s="1"/>
  <c r="D211" i="1"/>
  <c r="E211" i="1" s="1"/>
  <c r="D56" i="1"/>
  <c r="E56" i="1" s="1"/>
  <c r="D167" i="1"/>
  <c r="D155" i="1"/>
  <c r="E155" i="1" s="1"/>
  <c r="D125" i="1"/>
  <c r="E125" i="1" s="1"/>
  <c r="D138" i="1"/>
  <c r="D32" i="1"/>
  <c r="E32" i="1" s="1"/>
  <c r="D97" i="1"/>
  <c r="D90" i="1"/>
  <c r="E90" i="1" s="1"/>
  <c r="D131" i="1"/>
  <c r="E131" i="1" s="1"/>
  <c r="D199" i="1"/>
  <c r="E199" i="1" s="1"/>
  <c r="D48" i="1"/>
  <c r="D115" i="1"/>
  <c r="D55" i="1"/>
  <c r="E55" i="1" s="1"/>
  <c r="D79" i="1"/>
  <c r="E79" i="1" s="1"/>
  <c r="D207" i="1"/>
  <c r="E207" i="1" s="1"/>
  <c r="D137" i="1"/>
  <c r="E137" i="1" s="1"/>
  <c r="D146" i="1"/>
  <c r="E146" i="1" s="1"/>
  <c r="D157" i="1"/>
  <c r="E157" i="1" s="1"/>
  <c r="D139" i="1"/>
  <c r="E139" i="1" s="1"/>
  <c r="D80" i="1"/>
  <c r="E80" i="1" s="1"/>
  <c r="D107" i="1"/>
  <c r="E107" i="1" s="1"/>
  <c r="D188" i="1"/>
  <c r="E188" i="1" s="1"/>
  <c r="D75" i="1"/>
  <c r="E75" i="1" s="1"/>
  <c r="D111" i="1"/>
  <c r="D116" i="1"/>
  <c r="D93" i="1"/>
  <c r="D25" i="1"/>
  <c r="E25" i="1" s="1"/>
  <c r="D72" i="1"/>
  <c r="D51" i="1"/>
  <c r="D165" i="1"/>
  <c r="E165" i="1" s="1"/>
  <c r="D91" i="1"/>
  <c r="E91" i="1" s="1"/>
  <c r="D219" i="1"/>
  <c r="E219" i="1" s="1"/>
  <c r="D69" i="1"/>
  <c r="E69" i="1" s="1"/>
  <c r="D38" i="1"/>
  <c r="D159" i="1"/>
  <c r="D109" i="1"/>
  <c r="D114" i="1"/>
  <c r="E114" i="1" s="1"/>
  <c r="D164" i="1"/>
  <c r="E164" i="1" s="1"/>
  <c r="D41" i="1"/>
  <c r="D40" i="1"/>
  <c r="D54" i="1"/>
  <c r="E54" i="1" s="1"/>
  <c r="D62" i="1"/>
  <c r="E62" i="1" s="1"/>
  <c r="D81" i="1"/>
  <c r="E81" i="1" s="1"/>
  <c r="D169" i="1"/>
  <c r="D154" i="1"/>
  <c r="E154" i="1" s="1"/>
  <c r="D66" i="1"/>
  <c r="E66" i="1" s="1"/>
  <c r="D182" i="1"/>
  <c r="E182" i="1" s="1"/>
  <c r="D143" i="1"/>
  <c r="D149" i="1"/>
  <c r="E149" i="1" s="1"/>
  <c r="D23" i="1"/>
  <c r="D150" i="1"/>
  <c r="E150" i="1" s="1"/>
  <c r="D202" i="1"/>
  <c r="E202" i="1" s="1"/>
  <c r="D184" i="1"/>
  <c r="E184" i="1" s="1"/>
  <c r="D110" i="1"/>
  <c r="D26" i="1"/>
  <c r="E26" i="1" s="1"/>
  <c r="D135" i="1"/>
  <c r="E135" i="1" s="1"/>
  <c r="D76" i="1"/>
  <c r="E76" i="1" s="1"/>
  <c r="D50" i="1"/>
  <c r="E50" i="1" s="1"/>
  <c r="D28" i="1"/>
  <c r="E28" i="1" s="1"/>
  <c r="D145" i="1"/>
  <c r="E145" i="1" s="1"/>
  <c r="D204" i="1"/>
  <c r="D178" i="1"/>
  <c r="E178" i="1" s="1"/>
  <c r="D89" i="1"/>
  <c r="E89" i="1" s="1"/>
  <c r="D27" i="1"/>
  <c r="E27" i="1" s="1"/>
  <c r="D203" i="1"/>
  <c r="E203" i="1" s="1"/>
  <c r="D73" i="1"/>
  <c r="D104" i="1"/>
  <c r="E104" i="1" s="1"/>
  <c r="D140" i="1"/>
  <c r="D209" i="1"/>
  <c r="E209" i="1" s="1"/>
  <c r="D185" i="1"/>
  <c r="D134" i="1"/>
  <c r="E134" i="1" s="1"/>
  <c r="D47" i="1"/>
  <c r="D132" i="1"/>
  <c r="D123" i="1"/>
  <c r="E123" i="1" s="1"/>
  <c r="D92" i="1"/>
  <c r="E92" i="1" s="1"/>
  <c r="D64" i="1"/>
  <c r="D108" i="1"/>
  <c r="E108" i="1" s="1"/>
  <c r="D210" i="1"/>
  <c r="E210" i="1" s="1"/>
  <c r="D208" i="1"/>
  <c r="E208" i="1" s="1"/>
  <c r="D151" i="1"/>
  <c r="E151" i="1" s="1"/>
  <c r="D190" i="1"/>
  <c r="E190" i="1" s="1"/>
  <c r="D141" i="1"/>
  <c r="E141" i="1" s="1"/>
  <c r="D173" i="1"/>
  <c r="E173" i="1" s="1"/>
  <c r="D60" i="1"/>
  <c r="E60" i="1" s="1"/>
  <c r="D183" i="1"/>
  <c r="E183" i="1" s="1"/>
  <c r="D213" i="1"/>
  <c r="E213" i="1" s="1"/>
  <c r="D52" i="1"/>
  <c r="D106" i="1"/>
  <c r="E106" i="1" s="1"/>
  <c r="D171" i="1"/>
  <c r="E171" i="1" s="1"/>
  <c r="D201" i="1"/>
  <c r="E201" i="1" s="1"/>
  <c r="D44" i="1"/>
  <c r="D133" i="1"/>
  <c r="D61" i="1"/>
  <c r="E61" i="1" s="1"/>
  <c r="D193" i="1"/>
  <c r="E193" i="1" s="1"/>
  <c r="D142" i="1"/>
  <c r="E142" i="1" s="1"/>
  <c r="D196" i="1"/>
  <c r="D180" i="1"/>
  <c r="E180" i="1" s="1"/>
  <c r="D65" i="1"/>
  <c r="E65" i="1" s="1"/>
  <c r="D206" i="1"/>
  <c r="E206" i="1" s="1"/>
  <c r="D78" i="1"/>
  <c r="E78" i="1" s="1"/>
  <c r="D117" i="1"/>
  <c r="E117" i="1" s="1"/>
  <c r="D192" i="1"/>
  <c r="D15" i="1"/>
  <c r="D124" i="1"/>
  <c r="E124" i="1" s="1"/>
  <c r="D158" i="1"/>
  <c r="E158" i="1" s="1"/>
  <c r="D162" i="1"/>
  <c r="E162" i="1" s="1"/>
  <c r="D35" i="1"/>
  <c r="E35" i="1" s="1"/>
  <c r="D127" i="1"/>
  <c r="E127" i="1" s="1"/>
  <c r="D20" i="1"/>
  <c r="E20" i="1" s="1"/>
  <c r="D120" i="1"/>
  <c r="D96" i="1"/>
  <c r="D83" i="1"/>
  <c r="E83" i="1" s="1"/>
  <c r="D59" i="1"/>
  <c r="D113" i="1"/>
  <c r="D102" i="1"/>
  <c r="E102" i="1" s="1"/>
  <c r="D153" i="1"/>
  <c r="E153" i="1" s="1"/>
  <c r="D77" i="1"/>
  <c r="E77" i="1" s="1"/>
  <c r="D215" i="1"/>
  <c r="D88" i="1"/>
  <c r="D163" i="1"/>
  <c r="E163" i="1" s="1"/>
  <c r="D126" i="1"/>
  <c r="E126" i="1" s="1"/>
  <c r="D170" i="1"/>
  <c r="D200" i="1"/>
  <c r="E200" i="1" s="1"/>
  <c r="D129" i="1"/>
  <c r="E129" i="1" s="1"/>
  <c r="D42" i="1"/>
  <c r="D31" i="1"/>
  <c r="E31" i="1" s="1"/>
  <c r="D87" i="1"/>
  <c r="E87" i="1" s="1"/>
  <c r="D49" i="1"/>
  <c r="E49" i="1" s="1"/>
  <c r="D57" i="1"/>
  <c r="C205" i="1"/>
  <c r="C119" i="1"/>
  <c r="C139" i="1"/>
  <c r="C63" i="1"/>
  <c r="C28" i="1"/>
  <c r="C112" i="1"/>
  <c r="C66" i="1"/>
  <c r="C195" i="1"/>
  <c r="C218" i="1"/>
  <c r="C203" i="1"/>
  <c r="C73" i="1"/>
  <c r="C140" i="1"/>
  <c r="C209" i="1"/>
  <c r="C36" i="1"/>
  <c r="C185" i="1"/>
  <c r="C47" i="1"/>
  <c r="C132" i="1"/>
  <c r="C123" i="1"/>
  <c r="C108" i="1"/>
  <c r="C214" i="1"/>
  <c r="C144" i="1"/>
  <c r="C21" i="1"/>
  <c r="C222" i="1"/>
  <c r="C85" i="1"/>
  <c r="C157" i="1"/>
  <c r="C197" i="1"/>
  <c r="C145" i="1"/>
  <c r="C68" i="1"/>
  <c r="C54" i="1"/>
  <c r="C33" i="1"/>
  <c r="C62" i="1"/>
  <c r="C81" i="1"/>
  <c r="C23" i="1"/>
  <c r="C150" i="1"/>
  <c r="C135" i="1"/>
  <c r="C76" i="1"/>
  <c r="C50" i="1"/>
  <c r="C100" i="1"/>
  <c r="C178" i="1"/>
  <c r="C89" i="1"/>
  <c r="C105" i="1"/>
  <c r="C104" i="1"/>
  <c r="C94" i="1"/>
  <c r="C19" i="1"/>
  <c r="C86" i="1"/>
  <c r="C134" i="1"/>
  <c r="C92" i="1"/>
  <c r="C220" i="1"/>
  <c r="C210" i="1"/>
  <c r="C186" i="1"/>
  <c r="C208" i="1"/>
  <c r="C151" i="1"/>
  <c r="C198" i="1"/>
  <c r="C190" i="1"/>
  <c r="C141" i="1"/>
  <c r="C173" i="1"/>
  <c r="C107" i="1"/>
  <c r="C60" i="1"/>
  <c r="C183" i="1"/>
  <c r="C168" i="1"/>
  <c r="C156" i="1"/>
  <c r="C213" i="1"/>
  <c r="C52" i="1"/>
  <c r="C106" i="1"/>
  <c r="C171" i="1"/>
  <c r="C201" i="1"/>
  <c r="C44" i="1"/>
  <c r="C133" i="1"/>
  <c r="C61" i="1"/>
  <c r="C193" i="1"/>
  <c r="C142" i="1"/>
  <c r="C196" i="1"/>
  <c r="C137" i="1"/>
  <c r="C53" i="1"/>
  <c r="C67" i="1"/>
  <c r="C169" i="1"/>
  <c r="C154" i="1"/>
  <c r="C182" i="1"/>
  <c r="C202" i="1"/>
  <c r="C184" i="1"/>
  <c r="C204" i="1"/>
  <c r="C16" i="1"/>
  <c r="C187" i="1"/>
  <c r="C34" i="1"/>
  <c r="C27" i="1"/>
  <c r="C161" i="1"/>
  <c r="C65" i="1"/>
  <c r="C17" i="1"/>
  <c r="C24" i="1"/>
  <c r="C206" i="1"/>
  <c r="C78" i="1"/>
  <c r="C82" i="1"/>
  <c r="C117" i="1"/>
  <c r="C192" i="1"/>
  <c r="C121" i="1"/>
  <c r="C15" i="1"/>
  <c r="C124" i="1"/>
  <c r="C158" i="1"/>
  <c r="C181" i="1"/>
  <c r="C37" i="1"/>
  <c r="C74" i="1"/>
  <c r="C162" i="1"/>
  <c r="C176" i="1"/>
  <c r="C35" i="1"/>
  <c r="C127" i="1"/>
  <c r="C20" i="1"/>
  <c r="C96" i="1"/>
  <c r="C174" i="1"/>
  <c r="C83" i="1"/>
  <c r="C188" i="1"/>
  <c r="C59" i="1"/>
  <c r="C113" i="1"/>
  <c r="C102" i="1"/>
  <c r="C153" i="1"/>
  <c r="C77" i="1"/>
  <c r="C93" i="1"/>
  <c r="C126" i="1"/>
  <c r="C57" i="1"/>
  <c r="C42" i="1"/>
  <c r="C165" i="1"/>
  <c r="C49" i="1"/>
  <c r="C215" i="1"/>
  <c r="C75" i="1"/>
  <c r="C30" i="1"/>
  <c r="C194" i="1"/>
  <c r="C88" i="1"/>
  <c r="C111" i="1"/>
  <c r="C116" i="1"/>
  <c r="C72" i="1"/>
  <c r="C163" i="1"/>
  <c r="C95" i="1"/>
  <c r="C170" i="1"/>
  <c r="C200" i="1"/>
  <c r="C129" i="1"/>
  <c r="C31" i="1"/>
  <c r="C118" i="1"/>
  <c r="C91" i="1"/>
  <c r="C219" i="1"/>
  <c r="C69" i="1"/>
  <c r="C128" i="1"/>
  <c r="C152" i="1"/>
  <c r="C45" i="1"/>
  <c r="C58" i="1"/>
  <c r="C71" i="1"/>
  <c r="C101" i="1"/>
  <c r="C38" i="1"/>
  <c r="C159" i="1"/>
  <c r="C212" i="1"/>
  <c r="C98" i="1"/>
  <c r="C109" i="1"/>
  <c r="C114" i="1"/>
  <c r="C130" i="1"/>
  <c r="C46" i="1"/>
  <c r="C164" i="1"/>
  <c r="C136" i="1"/>
  <c r="C41" i="1"/>
  <c r="C122" i="1"/>
  <c r="C25" i="1"/>
  <c r="C103" i="1"/>
  <c r="C51" i="1"/>
  <c r="C87" i="1"/>
  <c r="C166" i="1"/>
  <c r="C216" i="1"/>
  <c r="C217" i="1"/>
  <c r="C221" i="1"/>
  <c r="C22" i="1"/>
  <c r="C211" i="1"/>
  <c r="C29" i="1"/>
  <c r="C56" i="1"/>
  <c r="C189" i="1"/>
  <c r="C18" i="1"/>
  <c r="C177" i="1"/>
  <c r="C70" i="1"/>
  <c r="C167" i="1"/>
  <c r="C155" i="1"/>
  <c r="C125" i="1"/>
  <c r="C43" i="1"/>
  <c r="C84" i="1"/>
  <c r="C138" i="1"/>
  <c r="C32" i="1"/>
  <c r="C97" i="1"/>
  <c r="C90" i="1"/>
  <c r="C131" i="1"/>
  <c r="C199" i="1"/>
  <c r="C48" i="1"/>
  <c r="C115" i="1"/>
  <c r="C55" i="1"/>
  <c r="C79" i="1"/>
  <c r="C207" i="1"/>
  <c r="C191" i="1"/>
  <c r="C180" i="1"/>
  <c r="C148" i="1"/>
  <c r="C40" i="1"/>
  <c r="C80" i="1"/>
  <c r="C160" i="1"/>
  <c r="C179" i="1"/>
  <c r="D43" i="1"/>
  <c r="D84" i="1"/>
  <c r="C146" i="1"/>
  <c r="C175" i="1"/>
  <c r="C147" i="1"/>
  <c r="C172" i="1"/>
  <c r="C143" i="1"/>
  <c r="C149" i="1"/>
  <c r="C110"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3" i="1"/>
  <c r="E115" i="1"/>
  <c r="E113" i="1"/>
  <c r="E59" i="1"/>
  <c r="E132" i="1"/>
  <c r="E116" i="1"/>
  <c r="E111" i="1"/>
  <c r="E110" i="1"/>
  <c r="H8" i="1"/>
  <c r="E143" i="1"/>
  <c r="C8" i="1"/>
  <c r="E8" i="1"/>
  <c r="D8" i="1"/>
  <c r="K8" i="1"/>
  <c r="J8" i="1"/>
  <c r="F8" i="1"/>
  <c r="I8" i="1"/>
  <c r="G8" i="1"/>
  <c r="E196" i="1"/>
  <c r="E47" i="1"/>
  <c r="E40" i="1"/>
  <c r="E195" i="1"/>
  <c r="E147" i="1"/>
  <c r="E88" i="1"/>
  <c r="E96" i="1"/>
  <c r="E52" i="1"/>
  <c r="E41" i="1"/>
  <c r="E34" i="1"/>
  <c r="E29" i="1"/>
  <c r="E215" i="1"/>
  <c r="E120" i="1"/>
  <c r="E192" i="1"/>
  <c r="E185" i="1"/>
  <c r="E97" i="1"/>
  <c r="E45" i="1"/>
  <c r="E121" i="1"/>
  <c r="E42" i="1"/>
  <c r="E204" i="1"/>
  <c r="E51" i="1"/>
  <c r="E84" i="1"/>
  <c r="E64" i="1"/>
  <c r="E140" i="1"/>
  <c r="E169" i="1"/>
  <c r="E109" i="1"/>
  <c r="E72" i="1"/>
  <c r="E138" i="1"/>
  <c r="E85" i="1"/>
  <c r="E43" i="1"/>
  <c r="E44" i="1"/>
  <c r="E159" i="1"/>
  <c r="E46" i="1"/>
  <c r="E170" i="1"/>
  <c r="E73" i="1"/>
  <c r="E23" i="1"/>
  <c r="E38" i="1"/>
  <c r="E93" i="1"/>
  <c r="E48" i="1"/>
  <c r="E174" i="1"/>
  <c r="E175" i="1"/>
  <c r="E57" i="1"/>
  <c r="E167" i="1"/>
  <c r="E19" i="1"/>
  <c r="E36" i="1"/>
  <c r="E148" i="1"/>
  <c r="E156"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85" i="4"/>
  <c r="B34" i="13"/>
  <c r="AB208" i="10"/>
  <c r="B38" i="2"/>
  <c r="AB52" i="10"/>
  <c r="B50" i="4"/>
  <c r="AB149" i="10"/>
  <c r="B47" i="2"/>
  <c r="B44" i="13"/>
  <c r="AB162" i="10"/>
  <c r="B12" i="3"/>
  <c r="B40" i="2"/>
  <c r="B62" i="2"/>
  <c r="AB123" i="10"/>
  <c r="B36" i="4"/>
  <c r="AB108" i="10"/>
  <c r="B17" i="2"/>
  <c r="AB131" i="10"/>
  <c r="B27" i="2"/>
  <c r="AB165" i="10"/>
  <c r="B23" i="3"/>
  <c r="B41" i="4"/>
  <c r="AB110" i="10"/>
  <c r="B46" i="2"/>
  <c r="AB29" i="10"/>
  <c r="B15" i="13"/>
  <c r="AB79" i="10"/>
  <c r="B79" i="4"/>
  <c r="AB93" i="10"/>
  <c r="AB161" i="10"/>
  <c r="B43" i="2"/>
  <c r="B33" i="3"/>
  <c r="B24" i="2"/>
  <c r="B40" i="4"/>
  <c r="AB107" i="10"/>
  <c r="B28" i="2"/>
  <c r="B16" i="3"/>
  <c r="B46" i="4"/>
  <c r="B13" i="13"/>
  <c r="B52" i="4"/>
  <c r="AB83" i="10"/>
  <c r="AB66" i="10"/>
  <c r="B14" i="3"/>
  <c r="AB179" i="10"/>
  <c r="B19" i="4"/>
  <c r="AB91" i="10"/>
  <c r="B10" i="13"/>
  <c r="B109" i="4"/>
  <c r="B19" i="2"/>
  <c r="AB115" i="10"/>
  <c r="B3" i="13"/>
  <c r="AB130" i="10"/>
  <c r="B34" i="3"/>
  <c r="B35" i="3"/>
  <c r="AB64" i="10"/>
  <c r="AB190" i="10"/>
  <c r="B120" i="4"/>
  <c r="B8" i="3"/>
  <c r="B51" i="4"/>
  <c r="AB155" i="10"/>
  <c r="AB78" i="10"/>
  <c r="B12" i="4"/>
  <c r="AB22" i="10"/>
  <c r="AB205" i="10"/>
  <c r="AB23" i="10"/>
  <c r="B27" i="3"/>
  <c r="B29" i="4"/>
  <c r="AB117" i="10"/>
  <c r="B28" i="3"/>
  <c r="B90" i="4"/>
  <c r="AB90" i="10"/>
  <c r="B13" i="3"/>
  <c r="AB89" i="10"/>
  <c r="AB14" i="10"/>
  <c r="B37" i="3"/>
  <c r="B94" i="4"/>
  <c r="B32" i="13"/>
  <c r="AB49" i="10"/>
  <c r="AB61" i="10"/>
  <c r="B119" i="4"/>
  <c r="AB178" i="10"/>
  <c r="AB96" i="10"/>
  <c r="AB201" i="10"/>
  <c r="B116" i="4"/>
  <c r="B39" i="4"/>
  <c r="B40" i="3"/>
  <c r="AB202" i="10"/>
  <c r="AB192" i="10"/>
  <c r="AB80" i="10"/>
  <c r="AB141" i="10"/>
  <c r="AB76" i="10"/>
  <c r="AB17" i="10"/>
  <c r="B122" i="4"/>
  <c r="B10" i="3"/>
  <c r="B28" i="4"/>
  <c r="B17" i="3"/>
  <c r="B41" i="13"/>
  <c r="B23" i="2"/>
  <c r="B84" i="4"/>
  <c r="B38" i="4"/>
  <c r="AB60" i="10"/>
  <c r="AB99" i="10"/>
  <c r="B8" i="4"/>
  <c r="B22" i="3"/>
  <c r="B82" i="4"/>
  <c r="B16" i="4"/>
  <c r="B7" i="3"/>
  <c r="AB156" i="10"/>
  <c r="AB85" i="10"/>
  <c r="B33" i="4"/>
  <c r="B98" i="4"/>
  <c r="AB102" i="10"/>
  <c r="AB138" i="10"/>
  <c r="B45" i="4"/>
  <c r="B9" i="13"/>
  <c r="B22" i="2"/>
  <c r="AB81" i="10"/>
  <c r="B96" i="4"/>
  <c r="B31" i="2"/>
  <c r="AB119" i="10"/>
  <c r="B38" i="3"/>
  <c r="B15" i="3"/>
  <c r="B5" i="13"/>
  <c r="AB122" i="10"/>
  <c r="B21" i="2"/>
  <c r="B24" i="4"/>
  <c r="AB111" i="10"/>
  <c r="AB112" i="10"/>
  <c r="B55" i="4"/>
  <c r="AB184" i="10"/>
  <c r="B59" i="13"/>
  <c r="B20" i="4"/>
  <c r="AB16" i="10"/>
  <c r="AB68" i="10"/>
  <c r="B8" i="13"/>
  <c r="B57" i="13"/>
  <c r="AB196" i="10"/>
  <c r="AB41" i="10"/>
  <c r="AB55" i="10"/>
  <c r="B70" i="4"/>
  <c r="B39" i="13"/>
  <c r="B68" i="4"/>
  <c r="B48" i="2"/>
  <c r="B56" i="4"/>
  <c r="AB176" i="10"/>
  <c r="B48" i="4"/>
  <c r="AB53" i="10"/>
  <c r="AB25" i="10"/>
  <c r="B63" i="2"/>
  <c r="B69" i="4"/>
  <c r="AB44" i="10"/>
  <c r="B45" i="2"/>
  <c r="AB175" i="10"/>
  <c r="B40" i="13"/>
  <c r="AB172" i="10"/>
  <c r="B31" i="4"/>
  <c r="B7" i="4"/>
  <c r="B121" i="4"/>
  <c r="B51" i="13"/>
  <c r="B75" i="4"/>
  <c r="B33" i="2"/>
  <c r="B39" i="3"/>
  <c r="AB207" i="10"/>
  <c r="B10" i="4"/>
  <c r="B74" i="4"/>
  <c r="AB154" i="10"/>
  <c r="AB84" i="10"/>
  <c r="AB82" i="10"/>
  <c r="B59" i="4"/>
  <c r="B60" i="13"/>
  <c r="AB92" i="10"/>
  <c r="AB28" i="10"/>
  <c r="B42" i="4"/>
  <c r="B115" i="4"/>
  <c r="B53" i="4"/>
  <c r="B81" i="4"/>
  <c r="B54" i="4"/>
  <c r="AB71" i="10"/>
  <c r="B42" i="13"/>
  <c r="B32" i="3"/>
  <c r="AB106" i="10"/>
  <c r="B46" i="13"/>
  <c r="AB21" i="10"/>
  <c r="AB43" i="10"/>
  <c r="AB121" i="10"/>
  <c r="AB204" i="10"/>
  <c r="B73" i="4"/>
  <c r="B63" i="4"/>
  <c r="B18" i="3"/>
  <c r="AB109" i="10"/>
  <c r="B112" i="4"/>
  <c r="B26" i="4"/>
  <c r="B18" i="2"/>
  <c r="AB195" i="10"/>
  <c r="AB47" i="10"/>
  <c r="AB206" i="10"/>
  <c r="AB169" i="10"/>
  <c r="AB62" i="10"/>
  <c r="B50" i="13"/>
  <c r="B9" i="4"/>
  <c r="B41" i="3"/>
  <c r="B123" i="4"/>
  <c r="B20" i="2"/>
  <c r="AB32" i="10"/>
  <c r="B26" i="2"/>
  <c r="B27" i="13"/>
  <c r="AB153" i="10"/>
  <c r="B39" i="2"/>
  <c r="AB159" i="10"/>
  <c r="AB142" i="10"/>
  <c r="B92" i="4"/>
  <c r="B7" i="13"/>
  <c r="B30" i="3"/>
  <c r="AB143" i="10"/>
  <c r="B21" i="4"/>
  <c r="AB3" i="10"/>
  <c r="AB144" i="10"/>
  <c r="AB137" i="10"/>
  <c r="B47" i="13"/>
  <c r="AB152" i="10"/>
  <c r="B37" i="4"/>
  <c r="B76" i="4"/>
  <c r="B36" i="13"/>
  <c r="B30" i="4"/>
  <c r="B14" i="13"/>
  <c r="AB58" i="10"/>
  <c r="B55" i="13"/>
  <c r="AB163" i="10"/>
  <c r="AB6" i="10"/>
  <c r="B93" i="4"/>
  <c r="AB35" i="10"/>
  <c r="AB164" i="10"/>
  <c r="AB98" i="10"/>
  <c r="B20" i="3"/>
  <c r="AB198" i="10"/>
  <c r="B29" i="2"/>
  <c r="AB167" i="10"/>
  <c r="AB40" i="10"/>
  <c r="B35" i="4"/>
  <c r="AB145" i="10"/>
  <c r="B53" i="13"/>
  <c r="AB42" i="10"/>
  <c r="AB74" i="10"/>
  <c r="AB200" i="10"/>
  <c r="B50" i="2"/>
  <c r="AB87" i="10"/>
  <c r="AB127" i="10"/>
  <c r="AB46" i="10"/>
  <c r="B49" i="13"/>
  <c r="AB86" i="10"/>
  <c r="B32" i="4"/>
  <c r="B26" i="3"/>
  <c r="B88" i="4"/>
  <c r="AB24" i="10"/>
  <c r="AB150" i="10"/>
  <c r="AB65" i="10"/>
  <c r="B25"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3" i="4"/>
  <c r="B32" i="2"/>
  <c r="AB39" i="10"/>
  <c r="AB33" i="10"/>
  <c r="AB15" i="10"/>
  <c r="B37" i="13"/>
  <c r="B33" i="13"/>
  <c r="AB168" i="10"/>
  <c r="B36" i="3"/>
  <c r="AB125" i="10"/>
  <c r="B38" i="13"/>
  <c r="B62" i="4"/>
  <c r="AB8" i="10"/>
  <c r="B60" i="4"/>
  <c r="AB26" i="10"/>
  <c r="B41" i="2"/>
  <c r="AB101" i="10"/>
  <c r="AB120" i="10"/>
  <c r="AB183" i="10"/>
  <c r="B4" i="13"/>
  <c r="AB181" i="10"/>
  <c r="AB11" i="10"/>
  <c r="B65" i="4"/>
  <c r="AB128" i="10"/>
  <c r="B64" i="4"/>
  <c r="AB129" i="10"/>
  <c r="B48" i="13"/>
  <c r="B58" i="4"/>
  <c r="B45" i="13"/>
  <c r="AB100" i="10"/>
  <c r="B99" i="4"/>
  <c r="B59" i="2"/>
  <c r="B61" i="2"/>
  <c r="B91" i="4"/>
  <c r="B36" i="2"/>
  <c r="B9" i="3"/>
  <c r="AB63" i="10"/>
  <c r="B15" i="4"/>
  <c r="AB104" i="10"/>
  <c r="B6" i="13"/>
  <c r="AB94" i="10"/>
  <c r="B97" i="4"/>
  <c r="B27"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42" i="2"/>
  <c r="B14" i="4"/>
  <c r="AB27" i="10"/>
  <c r="B54" i="13"/>
  <c r="AB124" i="10"/>
  <c r="B21" i="3"/>
  <c r="AB193" i="10"/>
  <c r="AB160" i="10"/>
  <c r="B29" i="3"/>
  <c r="B35" i="13"/>
  <c r="AB132" i="10"/>
  <c r="B83" i="4"/>
  <c r="B58" i="2"/>
  <c r="AB31" i="10"/>
  <c r="B11" i="3"/>
  <c r="B49" i="2"/>
  <c r="AB113" i="10"/>
  <c r="AB182" i="10"/>
  <c r="AB72" i="10"/>
  <c r="AB187" i="10"/>
  <c r="B49" i="4"/>
  <c r="AB59" i="10"/>
  <c r="B67" i="4"/>
  <c r="B71" i="4"/>
  <c r="B31" i="3"/>
  <c r="B22" i="4"/>
  <c r="B57" i="4"/>
  <c r="AB36" i="10"/>
  <c r="B52" i="13"/>
  <c r="AB191" i="10"/>
  <c r="B11" i="13"/>
  <c r="AB116" i="10"/>
  <c r="AB73" i="10"/>
  <c r="B118" i="4"/>
  <c r="AB114" i="10"/>
  <c r="AB48" i="10"/>
  <c r="AB147" i="10"/>
  <c r="B17" i="4"/>
  <c r="B95" i="4"/>
  <c r="AB188" i="10"/>
  <c r="B11" i="4"/>
  <c r="B56" i="13"/>
  <c r="B35" i="2"/>
  <c r="B114" i="4"/>
  <c r="B78" i="4"/>
  <c r="B37" i="2"/>
  <c r="AB146" i="10"/>
  <c r="AB37" i="10"/>
  <c r="B66" i="4"/>
  <c r="B19" i="3"/>
  <c r="AB88" i="10"/>
  <c r="AB136" i="10"/>
  <c r="AB134" i="10"/>
  <c r="AB140" i="10"/>
  <c r="B77" i="4"/>
  <c r="B44" i="2"/>
  <c r="AB103" i="10"/>
  <c r="AB203" i="10"/>
  <c r="AB57" i="10"/>
  <c r="AB10" i="10"/>
  <c r="AB20" i="10"/>
  <c r="B61" i="4"/>
  <c r="B34" i="2"/>
  <c r="AB9" i="10"/>
  <c r="B86" i="4"/>
  <c r="AB70" i="10"/>
  <c r="B18" i="4"/>
  <c r="B72" i="4"/>
  <c r="AB19" i="10"/>
  <c r="AB118" i="10"/>
  <c r="B47" i="4"/>
  <c r="AB12" i="10"/>
  <c r="B53" i="2"/>
  <c r="B13" i="4"/>
  <c r="B111" i="4"/>
  <c r="AB189" i="10"/>
  <c r="B23" i="4"/>
  <c r="AB54" i="10"/>
  <c r="AB148" i="10"/>
  <c r="B25" i="4"/>
  <c r="AB174" i="10"/>
  <c r="B44" i="4"/>
  <c r="B9" i="2"/>
  <c r="B15" i="2"/>
  <c r="B10" i="2"/>
  <c r="B8" i="2"/>
  <c r="B104" i="4"/>
  <c r="B7" i="2"/>
  <c r="B101" i="4"/>
  <c r="B11" i="2"/>
  <c r="B106" i="4"/>
  <c r="AB209" i="10"/>
  <c r="B12" i="2"/>
  <c r="B55" i="2"/>
  <c r="B102" i="4"/>
  <c r="B16" i="2"/>
  <c r="B56" i="2"/>
  <c r="B107" i="4"/>
  <c r="B34"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<sst xmlns="http://schemas.openxmlformats.org/spreadsheetml/2006/main" count="23060" uniqueCount="7219">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</sst>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15239</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15239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15241</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15239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15239</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15241</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15241</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15239</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15239</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15239</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15239</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15239</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15239</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15239</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15239</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15239</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15241</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15239</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15239</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15241</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167640</xdr:rowOff>
        </xdr:from>
        <xdr:to>
          <xdr:col>7</xdr:col>
          <xdr:colOff>53340</xdr:colOff>
          <xdr:row>119</xdr:row>
          <xdr:rowOff>15239</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J15" sqref="J15"/>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82</v>
      </c>
      <c r="C8" s="235">
        <f>COUNTIFS($D$15:$D$303,C2,$I$15:$I$303, "&gt;="&amp;A1, $I$15:$I$303, "&lt;="&amp;B1)</f>
        <v>1</v>
      </c>
      <c r="D8" s="236">
        <f>COUNTIFS($D$15:$D$303,D2,$I$15:$I$303, "&gt;="&amp;A1, $I$15:$I$303,"&lt;="&amp;B1)</f>
        <v>0</v>
      </c>
      <c r="E8" s="236">
        <f>COUNTIFS($D$15:$D$303,E2,$I$15:$I$303, "&gt;="&amp;A1, $I$15:$I$303,"&lt;="&amp;B1)</f>
        <v>4</v>
      </c>
      <c r="F8" s="236">
        <f>COUNTIFS($D$15:$D$303,F2,$I$15:$I$303, "&gt;="&amp;A1, $I$15:$I$303,"&lt;="&amp;B1)</f>
        <v>1</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35</v>
      </c>
      <c r="M8" s="236">
        <f>COUNTIFS($D$15:$D$303,M2,$I$15:$I$303, "&gt;="&amp;A1, $I$15:$I$303,"&lt;="&amp;B1)</f>
        <v>13</v>
      </c>
      <c r="N8" s="236">
        <f>COUNTIFS($D$15:$D$303,N2,$I$15:$I$303, "&gt;="&amp;A1, $I$15:$I$303,"&lt;="&amp;B1)</f>
        <v>2</v>
      </c>
      <c r="O8" s="237">
        <f>COUNTIFS($D$15:$D$303,O2,$I$15:$I$303, "&gt;="&amp;A1, $I$15:$I$303,"&lt;="&amp;B1)</f>
        <v>13</v>
      </c>
      <c r="P8" s="140"/>
      <c r="Q8" s="140"/>
      <c r="R8" s="140"/>
      <c r="S8" s="140"/>
      <c r="T8" s="140"/>
      <c r="V8" s="140"/>
    </row>
    <row r="9" spans="1:26" s="5" customFormat="1" ht="18.600000000000001" customHeight="1">
      <c r="A9" s="243" t="s">
        <v>4137</v>
      </c>
      <c r="B9" s="244">
        <f t="shared" si="0"/>
        <v>128</v>
      </c>
      <c r="C9" s="168">
        <f t="shared" ref="C9:J9" si="6">C3-C8-C6-C5</f>
        <v>0</v>
      </c>
      <c r="D9" s="169">
        <f t="shared" si="6"/>
        <v>3</v>
      </c>
      <c r="E9" s="169">
        <f t="shared" si="6"/>
        <v>13</v>
      </c>
      <c r="F9" s="169">
        <f t="shared" si="6"/>
        <v>1</v>
      </c>
      <c r="G9" s="169">
        <f t="shared" si="6"/>
        <v>10</v>
      </c>
      <c r="H9" s="169">
        <f t="shared" si="6"/>
        <v>0</v>
      </c>
      <c r="I9" s="169">
        <f t="shared" si="6"/>
        <v>10</v>
      </c>
      <c r="J9" s="169">
        <f t="shared" si="6"/>
        <v>0</v>
      </c>
      <c r="K9" s="169">
        <f>K3-K8-K6-K5</f>
        <v>15</v>
      </c>
      <c r="L9" s="169">
        <f t="shared" ref="L9:O9" si="7">L3-L8-L6-L5</f>
        <v>36</v>
      </c>
      <c r="M9" s="169">
        <f t="shared" si="7"/>
        <v>17</v>
      </c>
      <c r="N9" s="169">
        <f t="shared" si="7"/>
        <v>1</v>
      </c>
      <c r="O9" s="288">
        <f t="shared" si="7"/>
        <v>22</v>
      </c>
      <c r="P9" s="144"/>
      <c r="Q9" s="144"/>
      <c r="R9" s="144"/>
      <c r="S9" s="144"/>
      <c r="T9" s="144"/>
      <c r="V9" s="144"/>
    </row>
    <row r="10" spans="1:26" ht="18.600000000000001" customHeight="1">
      <c r="A10" s="166" t="s">
        <v>4429</v>
      </c>
      <c r="B10" s="167">
        <f t="shared" ref="B10:B11" si="8">SUM(C10:O10)</f>
        <v>65</v>
      </c>
      <c r="C10" s="235">
        <f>COUNTIFS($D$15:$D$300,C2,$N$15:$N$300,$D$1)</f>
        <v>1</v>
      </c>
      <c r="D10" s="236">
        <f t="shared" ref="D10:O10" si="9">COUNTIFS($D$15:$D$300,D2,$N$15:$N$300,$D$1)</f>
        <v>0</v>
      </c>
      <c r="E10" s="236">
        <f t="shared" si="9"/>
        <v>3</v>
      </c>
      <c r="F10" s="236">
        <f t="shared" si="9"/>
        <v>1</v>
      </c>
      <c r="G10" s="236">
        <f t="shared" si="9"/>
        <v>2</v>
      </c>
      <c r="H10" s="236">
        <f t="shared" si="9"/>
        <v>5</v>
      </c>
      <c r="I10" s="236">
        <f t="shared" si="9"/>
        <v>2</v>
      </c>
      <c r="J10" s="236">
        <f t="shared" si="9"/>
        <v>0</v>
      </c>
      <c r="K10" s="236">
        <f t="shared" si="9"/>
        <v>0</v>
      </c>
      <c r="L10" s="236">
        <f t="shared" si="9"/>
        <v>31</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96</v>
      </c>
      <c r="C11" s="238">
        <f>C4-C10</f>
        <v>0</v>
      </c>
      <c r="D11" s="239">
        <f t="shared" ref="D11:O11" si="11">D4-D10</f>
        <v>1</v>
      </c>
      <c r="E11" s="239">
        <f t="shared" si="11"/>
        <v>8</v>
      </c>
      <c r="F11" s="239">
        <f t="shared" si="11"/>
        <v>0</v>
      </c>
      <c r="G11" s="239">
        <f t="shared" si="11"/>
        <v>6</v>
      </c>
      <c r="H11" s="239">
        <f t="shared" si="11"/>
        <v>0</v>
      </c>
      <c r="I11" s="239">
        <f t="shared" si="11"/>
        <v>9</v>
      </c>
      <c r="J11" s="239">
        <f t="shared" si="11"/>
        <v>0</v>
      </c>
      <c r="K11" s="239">
        <f t="shared" si="11"/>
        <v>11</v>
      </c>
      <c r="L11" s="239">
        <f t="shared" si="11"/>
        <v>32</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0.3867924528301887</v>
      </c>
      <c r="C12" s="289">
        <f t="shared" ref="C12:K12" si="13">C8/(C3-C6)</f>
        <v>1</v>
      </c>
      <c r="D12" s="290">
        <f t="shared" si="13"/>
        <v>0</v>
      </c>
      <c r="E12" s="290">
        <f t="shared" si="13"/>
        <v>0.23529411764705882</v>
      </c>
      <c r="F12" s="290">
        <f t="shared" si="13"/>
        <v>0.5</v>
      </c>
      <c r="G12" s="290">
        <f t="shared" si="13"/>
        <v>0.23076923076923078</v>
      </c>
      <c r="H12" s="290">
        <f t="shared" si="13"/>
        <v>1</v>
      </c>
      <c r="I12" s="290">
        <f t="shared" si="13"/>
        <v>0.16666666666666666</v>
      </c>
      <c r="J12" s="290" t="e">
        <f t="shared" si="13"/>
        <v>#DIV/0!</v>
      </c>
      <c r="K12" s="290">
        <f t="shared" si="13"/>
        <v>0</v>
      </c>
      <c r="L12" s="290">
        <f>L8/(L3-L6)</f>
        <v>0.49295774647887325</v>
      </c>
      <c r="M12" s="290">
        <f t="shared" ref="M12:O12" si="14">M8/(M3-M6)</f>
        <v>0.43333333333333335</v>
      </c>
      <c r="N12" s="290">
        <f t="shared" si="14"/>
        <v>0.66666666666666663</v>
      </c>
      <c r="O12" s="291">
        <f t="shared" si="14"/>
        <v>0.37142857142857144</v>
      </c>
      <c r="P12" s="140"/>
      <c r="Q12" s="140"/>
      <c r="R12" s="140"/>
      <c r="S12" s="140"/>
      <c r="T12" s="140"/>
      <c r="V12" s="140"/>
    </row>
    <row r="13" spans="1:26" ht="18.600000000000001" customHeight="1">
      <c r="A13" s="171" t="s">
        <v>4145</v>
      </c>
      <c r="B13" s="292">
        <f>B10/B4</f>
        <v>0.40372670807453415</v>
      </c>
      <c r="C13" s="245">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(TEXT(I15,"yyyymmdd"))&amp;$T$3&amp;A15&amp;$T$3&amp;B15&amp;$R$3</f>
        <v>20250401-D070-三重重新店(定保)</v>
      </c>
      <c r="Q15" s="267"/>
      <c r="R15" s="267"/>
      <c r="S15" s="267"/>
      <c r="T15" s="267"/>
      <c r="U15" s="258">
        <f>IF(AND(W15&lt;&gt;"", X15&lt;&gt;""), 2, IF(OR(W15&lt;&gt;"", X15&lt;&gt;""), 1, 0))</f>
        <v>2</v>
      </c>
      <c r="V15" s="246" t="str">
        <f>IF(I15="", "未到店",
   IF(M15&lt;&gt;"EDC", "異常",
      IF(OR(AND(Y15="STAR", N15="STAR"), AND(Y15&lt;&gt;"STAR", N15="")), "已完工", "異常")
   )
)</f>
        <v>已完工</v>
      </c>
      <c r="W15" s="260" t="s">
        <v>4177</v>
      </c>
      <c r="X15" s="261" t="s">
        <v>4178</v>
      </c>
      <c r="Y15" s="269"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(TEXT(I16,"yyyymmdd"))&amp;$T$3&amp;A16&amp;$T$3&amp;B16&amp;$R$3</f>
        <v>20250401-3818-板橋漢江店(定保)</v>
      </c>
      <c r="Q16" s="267"/>
      <c r="R16" s="267"/>
      <c r="S16" s="267"/>
      <c r="T16" s="267"/>
      <c r="U16" s="258">
        <f>IF(AND(W16&lt;&gt;"", X16&lt;&gt;""), 2, IF(OR(W16&lt;&gt;"", X16&lt;&gt;""), 1, 0))</f>
        <v>1</v>
      </c>
      <c r="V16" s="246" t="str">
        <f>IF(I16="", "未到店",
   IF(M16&lt;&gt;"EDC", "異常",
      IF(OR(AND(Y16="STAR", N16="STAR"), AND(Y16&lt;&gt;"STAR", N16="")), "已完工", "異常")
   )
)</f>
        <v>已完工</v>
      </c>
      <c r="W16" s="268"/>
      <c r="X16" s="269" t="s">
        <v>4212</v>
      </c>
      <c r="Y16" s="269"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(TEXT(I17,"yyyymmdd"))&amp;$T$3&amp;A17&amp;$T$3&amp;B17&amp;$R$3</f>
        <v>20250401-3147-北縣板明店(定保)</v>
      </c>
      <c r="Q17" s="267"/>
      <c r="R17" s="267"/>
      <c r="S17" s="267"/>
      <c r="T17" s="267"/>
      <c r="U17" s="258">
        <f>IF(AND(W17&lt;&gt;"", X17&lt;&gt;""), 2, IF(OR(W17&lt;&gt;"", X17&lt;&gt;""), 1, 0))</f>
        <v>1</v>
      </c>
      <c r="V17" s="246" t="str">
        <f>IF(I17="", "未到店",
   IF(M17&lt;&gt;"EDC", "異常",
      IF(OR(AND(Y17="STAR", N17="STAR"), AND(Y17&lt;&gt;"STAR", N17="")), "已完工", "異常")
   )
)</f>
        <v>已完工</v>
      </c>
      <c r="W17" s="268"/>
      <c r="X17" s="269" t="s">
        <v>4252</v>
      </c>
      <c r="Y17" s="269"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(TEXT(I18,"yyyymmdd"))&amp;$T$3&amp;A18&amp;$T$3&amp;B18&amp;$R$3</f>
        <v>20250401-4241-三重仁義店(定保)</v>
      </c>
      <c r="Q18" s="267"/>
      <c r="R18" s="267"/>
      <c r="S18" s="267"/>
      <c r="T18" s="267"/>
      <c r="U18" s="258">
        <f>IF(AND(W18&lt;&gt;"", X18&lt;&gt;""), 2, IF(OR(W18&lt;&gt;"", X18&lt;&gt;""), 1, 0))</f>
        <v>2</v>
      </c>
      <c r="V18" s="246"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(TEXT(I19,"yyyymmdd"))&amp;$T$3&amp;A19&amp;$T$3&amp;B19&amp;$R$3</f>
        <v>20250402-3627-三重重新橋(定保)</v>
      </c>
      <c r="Q19" s="267"/>
      <c r="R19" s="267"/>
      <c r="S19" s="267"/>
      <c r="T19" s="267"/>
      <c r="U19" s="258">
        <f>IF(AND(W19&lt;&gt;"", X19&lt;&gt;""), 2, IF(OR(W19&lt;&gt;"", X19&lt;&gt;""), 1, 0))</f>
        <v>2</v>
      </c>
      <c r="V19" s="246"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(TEXT(I20,"yyyymmdd"))&amp;$T$3&amp;A20&amp;$T$3&amp;B20&amp;$R$3</f>
        <v>20250402-4084-三重昌隆店(定保)</v>
      </c>
      <c r="Q20" s="140"/>
      <c r="R20" s="140"/>
      <c r="S20" s="140"/>
      <c r="T20" s="140"/>
      <c r="U20" s="258">
        <f>IF(AND(W20&lt;&gt;"", X20&lt;&gt;""), 2, IF(OR(W20&lt;&gt;"", X20&lt;&gt;""), 1, 0))</f>
        <v>2</v>
      </c>
      <c r="V20" s="246"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(TEXT(I21,"yyyymmdd"))&amp;$T$3&amp;A21&amp;$T$3&amp;B21&amp;$R$3</f>
        <v>20250402-4260-三重重高店(定保)</v>
      </c>
      <c r="Q21" s="140"/>
      <c r="R21" s="140"/>
      <c r="S21" s="140"/>
      <c r="T21" s="140"/>
      <c r="U21" s="258">
        <f>IF(AND(W21&lt;&gt;"", X21&lt;&gt;""), 2, IF(OR(W21&lt;&gt;"", X21&lt;&gt;""), 1, 0))</f>
        <v>2</v>
      </c>
      <c r="V21" s="246"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(TEXT(I22,"yyyymmdd"))&amp;$T$3&amp;A22&amp;$T$3&amp;B22&amp;$R$3</f>
        <v>20250402-2221-板橋雙十店(定保)</v>
      </c>
      <c r="Q22" s="140"/>
      <c r="R22" s="140"/>
      <c r="S22" s="140"/>
      <c r="T22" s="140"/>
      <c r="U22" s="258">
        <f>IF(AND(W22&lt;&gt;"", X22&lt;&gt;""), 2, IF(OR(W22&lt;&gt;"", X22&lt;&gt;""), 1, 0))</f>
        <v>1</v>
      </c>
      <c r="V22" s="246"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(TEXT(I23,"yyyymmdd"))&amp;$T$3&amp;A23&amp;$T$3&amp;B23&amp;$R$3</f>
        <v>20250402-2321-北縣重鑫店(定保)</v>
      </c>
      <c r="Q23" s="140"/>
      <c r="R23" s="140"/>
      <c r="S23" s="140"/>
      <c r="T23" s="140"/>
      <c r="U23" s="258">
        <f>IF(AND(W23&lt;&gt;"", X23&lt;&gt;""), 2, IF(OR(W23&lt;&gt;"", X23&lt;&gt;""), 1, 0))</f>
        <v>2</v>
      </c>
      <c r="V23" s="246"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(TEXT(I24,"yyyymmdd"))&amp;$T$3&amp;A24&amp;$T$3&amp;B24&amp;$R$3</f>
        <v>20250402-D072-北縣僑福店(定保)</v>
      </c>
      <c r="Q24" s="140"/>
      <c r="R24" s="140"/>
      <c r="S24" s="140"/>
      <c r="T24" s="140"/>
      <c r="U24" s="258">
        <f>IF(AND(W24&lt;&gt;"", X24&lt;&gt;""), 2, IF(OR(W24&lt;&gt;"", X24&lt;&gt;""), 1, 0))</f>
        <v>1</v>
      </c>
      <c r="V24" s="246"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(TEXT(I25,"yyyymmdd"))&amp;$T$3&amp;A25&amp;$T$3&amp;B25&amp;$R$3</f>
        <v>20250407-4155-三重穀保店(定保)</v>
      </c>
      <c r="Q25" s="140"/>
      <c r="R25" s="140"/>
      <c r="S25" s="140"/>
      <c r="T25" s="140"/>
      <c r="U25" s="258">
        <f>IF(AND(W25&lt;&gt;"", X25&lt;&gt;""), 2, IF(OR(W25&lt;&gt;"", X25&lt;&gt;""), 1, 0))</f>
        <v>1</v>
      </c>
      <c r="V25" s="246"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(TEXT(I26,"yyyymmdd"))&amp;$T$3&amp;A26&amp;$T$3&amp;B26&amp;$R$3</f>
        <v>20250407-4762-新莊巷口店(定保)</v>
      </c>
      <c r="Q26" s="140"/>
      <c r="R26" s="140"/>
      <c r="S26" s="140"/>
      <c r="T26" s="140"/>
      <c r="U26" s="258">
        <f>IF(AND(W26&lt;&gt;"", X26&lt;&gt;""), 2, IF(OR(W26&lt;&gt;"", X26&lt;&gt;""), 1, 0))</f>
        <v>0</v>
      </c>
      <c r="V26" s="246"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(TEXT(I27,"yyyymmdd"))&amp;$T$3&amp;A27&amp;$T$3&amp;B27&amp;$R$3</f>
        <v>20250407-A171-淡水金龍店(定保)</v>
      </c>
      <c r="Q27" s="140"/>
      <c r="R27" s="140"/>
      <c r="S27" s="140"/>
      <c r="T27" s="140"/>
      <c r="U27" s="258">
        <f>IF(AND(W27&lt;&gt;"", X27&lt;&gt;""), 2, IF(OR(W27&lt;&gt;"", X27&lt;&gt;""), 1, 0))</f>
        <v>2</v>
      </c>
      <c r="V27" s="246"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(TEXT(I28,"yyyymmdd"))&amp;$T$3&amp;A28&amp;$T$3&amp;B28&amp;$R$3</f>
        <v>20250408-4326-林口建安店(定保)</v>
      </c>
      <c r="Q28" s="140"/>
      <c r="R28" s="140"/>
      <c r="S28" s="140"/>
      <c r="T28" s="140"/>
      <c r="U28" s="258">
        <f>IF(AND(W28&lt;&gt;"", X28&lt;&gt;""), 2, IF(OR(W28&lt;&gt;"", X28&lt;&gt;""), 1, 0))</f>
        <v>2</v>
      </c>
      <c r="V28" s="246"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(TEXT(I29,"yyyymmdd"))&amp;$T$3&amp;A29&amp;$T$3&amp;B29&amp;$R$3</f>
        <v>20250408-2759-三重仁化店(定保)</v>
      </c>
      <c r="Q29" s="140"/>
      <c r="R29" s="140"/>
      <c r="S29" s="140"/>
      <c r="T29" s="140"/>
      <c r="U29" s="258">
        <f>IF(AND(W29&lt;&gt;"", X29&lt;&gt;""), 2, IF(OR(W29&lt;&gt;"", X29&lt;&gt;""), 1, 0))</f>
        <v>2</v>
      </c>
      <c r="V29" s="246"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(TEXT(I30,"yyyymmdd"))&amp;$T$3&amp;A30&amp;$T$3&amp;B30&amp;$R$3</f>
        <v>20250408-2422-北縣板億店(定保)</v>
      </c>
      <c r="Q30" s="140"/>
      <c r="R30" s="140"/>
      <c r="S30" s="140"/>
      <c r="T30" s="140"/>
      <c r="U30" s="258">
        <f>IF(AND(W30&lt;&gt;"", X30&lt;&gt;""), 2, IF(OR(W30&lt;&gt;"", X30&lt;&gt;""), 1, 0))</f>
        <v>2</v>
      </c>
      <c r="V30" s="246"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(TEXT(I31,"yyyymmdd"))&amp;$T$3&amp;A31&amp;$T$3&amp;B31&amp;$R$3</f>
        <v>20250408-4282-林口建林店(定保)</v>
      </c>
      <c r="Q31" s="140"/>
      <c r="R31" s="140"/>
      <c r="S31" s="140"/>
      <c r="T31" s="140"/>
      <c r="U31" s="258">
        <f>IF(AND(W31&lt;&gt;"", X31&lt;&gt;""), 2, IF(OR(W31&lt;&gt;"", X31&lt;&gt;""), 1, 0))</f>
        <v>0</v>
      </c>
      <c r="V31" s="246"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(TEXT(I32,"yyyymmdd"))&amp;$T$3&amp;A32&amp;$T$3&amp;B32&amp;$R$3</f>
        <v>20250408-4134-三重大同南(定保)</v>
      </c>
      <c r="Q32" s="140"/>
      <c r="R32" s="140"/>
      <c r="S32" s="140"/>
      <c r="T32" s="140"/>
      <c r="U32" s="258">
        <f>IF(AND(W32&lt;&gt;"", X32&lt;&gt;""), 2, IF(OR(W32&lt;&gt;"", X32&lt;&gt;""), 1, 0))</f>
        <v>2</v>
      </c>
      <c r="V32" s="246"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(TEXT(I33,"yyyymmdd"))&amp;$T$3&amp;A33&amp;$T$3&amp;B33&amp;$R$3</f>
        <v>20250408-2259-三重興華店(定保)</v>
      </c>
      <c r="Q33" s="140"/>
      <c r="R33" s="140"/>
      <c r="S33" s="140"/>
      <c r="T33" s="140"/>
      <c r="U33" s="258">
        <f>IF(AND(W33&lt;&gt;"", X33&lt;&gt;""), 2, IF(OR(W33&lt;&gt;"", X33&lt;&gt;""), 1, 0))</f>
        <v>2</v>
      </c>
      <c r="V33" s="246"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(TEXT(I34,"yyyymmdd"))&amp;$T$3&amp;A34&amp;$T$3&amp;B34&amp;$R$3</f>
        <v>20250408-2837-北縣重萬店(定保)</v>
      </c>
      <c r="Q34" s="140"/>
      <c r="R34" s="140"/>
      <c r="S34" s="140"/>
      <c r="T34" s="140"/>
      <c r="U34" s="258">
        <f>IF(AND(W34&lt;&gt;"", X34&lt;&gt;""), 2, IF(OR(W34&lt;&gt;"", X34&lt;&gt;""), 1, 0))</f>
        <v>2</v>
      </c>
      <c r="V34" s="246"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(TEXT(I35,"yyyymmdd"))&amp;$T$3&amp;A35&amp;$T$3&amp;B35&amp;$R$3</f>
        <v>20250409-2362-新莊化成店(定保)</v>
      </c>
      <c r="Q35" s="140"/>
      <c r="R35" s="140"/>
      <c r="S35" s="140"/>
      <c r="T35" s="140"/>
      <c r="U35" s="258">
        <f>IF(AND(W35&lt;&gt;"", X35&lt;&gt;""), 2, IF(OR(W35&lt;&gt;"", X35&lt;&gt;""), 1, 0))</f>
        <v>2</v>
      </c>
      <c r="V35" s="246"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(TEXT(I36,"yyyymmdd"))&amp;$T$3&amp;A36&amp;$T$3&amp;B36&amp;$R$3</f>
        <v>20250409-3741-三重重新三(定保)</v>
      </c>
      <c r="Q36" s="140"/>
      <c r="R36" s="140"/>
      <c r="S36" s="140"/>
      <c r="T36" s="140"/>
      <c r="U36" s="258">
        <f>IF(AND(W36&lt;&gt;"", X36&lt;&gt;""), 2, IF(OR(W36&lt;&gt;"", X36&lt;&gt;""), 1, 0))</f>
        <v>2</v>
      </c>
      <c r="V36" s="246"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(TEXT(I37,"yyyymmdd"))&amp;$T$3&amp;A37&amp;$T$3&amp;B37&amp;$R$3</f>
        <v>20250409-2302-北縣重安店(定保)</v>
      </c>
      <c r="Q37" s="140"/>
      <c r="R37" s="140"/>
      <c r="S37" s="140"/>
      <c r="T37" s="140"/>
      <c r="U37" s="258">
        <f>IF(AND(W37&lt;&gt;"", X37&lt;&gt;""), 2, IF(OR(W37&lt;&gt;"", X37&lt;&gt;""), 1, 0))</f>
        <v>2</v>
      </c>
      <c r="V37" s="246"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(TEXT(I38,"yyyymmdd"))&amp;$T$3&amp;A38&amp;$T$3&amp;B38&amp;$R$3</f>
        <v>20250409-3772-三重美溪店(定保)</v>
      </c>
      <c r="Q38" s="267"/>
      <c r="R38" s="267"/>
      <c r="S38" s="267"/>
      <c r="T38" s="267"/>
      <c r="U38" s="258">
        <f>IF(AND(W38&lt;&gt;"", X38&lt;&gt;""), 2, IF(OR(W38&lt;&gt;"", X38&lt;&gt;""), 1, 0))</f>
        <v>0</v>
      </c>
      <c r="V38" s="246" t="str">
        <f>IF(I38="", "未到店",
   IF(M38&lt;&gt;"EDC", "異常",
      IF(OR(AND(Y38="STAR", N38="STAR"), AND(Y38&lt;&gt;"STAR", N38="")), "已完工", "異常")
   )
)</f>
        <v>已完工</v>
      </c>
      <c r="W38" s="268"/>
      <c r="X38" s="269"/>
      <c r="Y38" s="269"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(TEXT(I39,"yyyymmdd"))&amp;$T$3&amp;A39&amp;$T$3&amp;B39&amp;$R$3</f>
        <v>20250409-5316-三重五常店(定保)</v>
      </c>
      <c r="Q39" s="251"/>
      <c r="R39" s="251"/>
      <c r="S39" s="251"/>
      <c r="T39" s="251"/>
      <c r="U39" s="258">
        <f>IF(AND(W39&lt;&gt;"", X39&lt;&gt;""), 2, IF(OR(W39&lt;&gt;"", X39&lt;&gt;""), 1, 0))</f>
        <v>0</v>
      </c>
      <c r="V39" s="246"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(TEXT(I40,"yyyymmdd"))&amp;$T$3&amp;A40&amp;$T$3&amp;B40&amp;$R$3</f>
        <v>20250410-4528-八里鐵塔店(定保)</v>
      </c>
      <c r="Q40" s="140"/>
      <c r="R40" s="140"/>
      <c r="S40" s="140"/>
      <c r="T40" s="140"/>
      <c r="U40" s="258">
        <f>IF(AND(W40&lt;&gt;"", X40&lt;&gt;""), 2, IF(OR(W40&lt;&gt;"", X40&lt;&gt;""), 1, 0))</f>
        <v>0</v>
      </c>
      <c r="V40" s="246"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(TEXT(I41,"yyyymmdd"))&amp;$T$3&amp;A41&amp;$T$3&amp;B41&amp;$R$3</f>
        <v>20250410-3851-北縣輔園店(定保)</v>
      </c>
      <c r="Q41" s="140"/>
      <c r="R41" s="140"/>
      <c r="S41" s="140"/>
      <c r="T41" s="140"/>
      <c r="U41" s="258">
        <f>IF(AND(W41&lt;&gt;"", X41&lt;&gt;""), 2, IF(OR(W41&lt;&gt;"", X41&lt;&gt;""), 1, 0))</f>
        <v>2</v>
      </c>
      <c r="V41" s="246"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(TEXT(I42,"yyyymmdd"))&amp;$T$3&amp;A42&amp;$T$3&amp;B42&amp;$R$3</f>
        <v>20250410-4259-八里水灣店(定保)</v>
      </c>
      <c r="Q42" s="140"/>
      <c r="R42" s="140"/>
      <c r="S42" s="140"/>
      <c r="T42" s="140"/>
      <c r="U42" s="258">
        <f>IF(AND(W42&lt;&gt;"", X42&lt;&gt;""), 2, IF(OR(W42&lt;&gt;"", X42&lt;&gt;""), 1, 0))</f>
        <v>2</v>
      </c>
      <c r="V42" s="246"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(TEXT(I43,"yyyymmdd"))&amp;$T$3&amp;A43&amp;$T$3&amp;B43&amp;$R$3</f>
        <v>20250410-2306-八里凱旋門(定保)</v>
      </c>
      <c r="Q43" s="140"/>
      <c r="R43" s="140"/>
      <c r="S43" s="140"/>
      <c r="T43" s="140"/>
      <c r="U43" s="258">
        <f>IF(AND(W43&lt;&gt;"", X43&lt;&gt;""), 2, IF(OR(W43&lt;&gt;"", X43&lt;&gt;""), 1, 0))</f>
        <v>2</v>
      </c>
      <c r="V43" s="246"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(TEXT(I44,"yyyymmdd"))&amp;$T$3&amp;A44&amp;$T$3&amp;B44&amp;$R$3</f>
        <v>20250410-4764-八里大船店(定保)</v>
      </c>
      <c r="Q44" s="140"/>
      <c r="R44" s="140"/>
      <c r="S44" s="140"/>
      <c r="T44" s="140"/>
      <c r="U44" s="258">
        <f>IF(AND(W44&lt;&gt;"", X44&lt;&gt;""), 2, IF(OR(W44&lt;&gt;"", X44&lt;&gt;""), 1, 0))</f>
        <v>0</v>
      </c>
      <c r="V44" s="246"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(TEXT(I45,"yyyymmdd"))&amp;$T$3&amp;A45&amp;$T$3&amp;B45&amp;$R$3</f>
        <v>20250410-2442-北縣商港店(定保)</v>
      </c>
      <c r="Q45" s="140"/>
      <c r="R45" s="140"/>
      <c r="S45" s="140"/>
      <c r="T45" s="140"/>
      <c r="U45" s="258">
        <f>IF(AND(W45&lt;&gt;"", X45&lt;&gt;""), 2, IF(OR(W45&lt;&gt;"", X45&lt;&gt;""), 1, 0))</f>
        <v>2</v>
      </c>
      <c r="V45" s="246"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(TEXT(I46,"yyyymmdd"))&amp;$T$3&amp;A46&amp;$T$3&amp;B46&amp;$R$3</f>
        <v>20250410-5074-八里福德新村(定保)</v>
      </c>
      <c r="Q46" s="140"/>
      <c r="R46" s="140"/>
      <c r="S46" s="140"/>
      <c r="T46" s="140"/>
      <c r="U46" s="258">
        <f>IF(AND(W46&lt;&gt;"", X46&lt;&gt;""), 2, IF(OR(W46&lt;&gt;"", X46&lt;&gt;""), 1, 0))</f>
        <v>0</v>
      </c>
      <c r="V46" s="246"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(TEXT(I47,"yyyymmdd"))&amp;$T$3&amp;A47&amp;$T$3&amp;B47&amp;$R$3</f>
        <v>20250410-4243-八里聖心店(定保)</v>
      </c>
      <c r="Q47" s="140"/>
      <c r="R47" s="140"/>
      <c r="S47" s="140"/>
      <c r="T47" s="140"/>
      <c r="U47" s="258">
        <f>IF(AND(W47&lt;&gt;"", X47&lt;&gt;""), 2, IF(OR(W47&lt;&gt;"", X47&lt;&gt;""), 1, 0))</f>
        <v>2</v>
      </c>
      <c r="V47" s="246"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(TEXT(I48,"yyyymmdd"))&amp;$T$3&amp;A48&amp;$T$3&amp;B48&amp;$R$3</f>
        <v>20250410-3458-八里龍米店(定保)</v>
      </c>
      <c r="Q48" s="140"/>
      <c r="R48" s="140"/>
      <c r="S48" s="140"/>
      <c r="T48" s="140"/>
      <c r="U48" s="258">
        <f>IF(AND(W48&lt;&gt;"", X48&lt;&gt;""), 2, IF(OR(W48&lt;&gt;"", X48&lt;&gt;""), 1, 0))</f>
        <v>1</v>
      </c>
      <c r="V48" s="246"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(TEXT(I49,"yyyymmdd"))&amp;$T$3&amp;A49&amp;$T$3&amp;B49&amp;$R$3</f>
        <v>20250411-4656-泰山新民店(定保)</v>
      </c>
      <c r="Q49" s="140"/>
      <c r="R49" s="140"/>
      <c r="S49" s="140"/>
      <c r="T49" s="140"/>
      <c r="U49" s="258">
        <f>IF(AND(W49&lt;&gt;"", X49&lt;&gt;""), 2, IF(OR(W49&lt;&gt;"", X49&lt;&gt;""), 1, 0))</f>
        <v>2</v>
      </c>
      <c r="V49" s="246"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(TEXT(I50,"yyyymmdd"))&amp;$T$3&amp;A50&amp;$T$3&amp;B50&amp;$R$3</f>
        <v>20250411-3606-北縣泰富店(定保)</v>
      </c>
      <c r="Q50" s="140"/>
      <c r="R50" s="140"/>
      <c r="S50" s="140"/>
      <c r="T50" s="140"/>
      <c r="U50" s="258">
        <f>IF(AND(W50&lt;&gt;"", X50&lt;&gt;""), 2, IF(OR(W50&lt;&gt;"", X50&lt;&gt;""), 1, 0))</f>
        <v>2</v>
      </c>
      <c r="V50" s="246"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(TEXT(I51,"yyyymmdd"))&amp;$T$3&amp;A51&amp;$T$3&amp;B51&amp;$R$3</f>
        <v>20250411-D024-三重三民店(定保)</v>
      </c>
      <c r="Q51" s="140"/>
      <c r="R51" s="140"/>
      <c r="S51" s="140"/>
      <c r="T51" s="140"/>
      <c r="U51" s="258">
        <f>IF(AND(W51&lt;&gt;"", X51&lt;&gt;""), 2, IF(OR(W51&lt;&gt;"", X51&lt;&gt;""), 1, 0))</f>
        <v>2</v>
      </c>
      <c r="V51" s="246"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(TEXT(I52,"yyyymmdd"))&amp;$T$3&amp;A52&amp;$T$3&amp;B52&amp;$R$3</f>
        <v>20250411-3676-三重田心店(定保)</v>
      </c>
      <c r="Q52" s="140"/>
      <c r="R52" s="140"/>
      <c r="S52" s="140"/>
      <c r="T52" s="140"/>
      <c r="U52" s="258">
        <f>IF(AND(W52&lt;&gt;"", X52&lt;&gt;""), 2, IF(OR(W52&lt;&gt;"", X52&lt;&gt;""), 1, 0))</f>
        <v>2</v>
      </c>
      <c r="V52" s="246"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(TEXT(I53,"yyyymmdd"))&amp;$T$3&amp;A53&amp;$T$3&amp;B53&amp;$R$3</f>
        <v>20250411-3752-板橋豫章店(定保)</v>
      </c>
      <c r="Q53" s="140"/>
      <c r="R53" s="140"/>
      <c r="S53" s="140"/>
      <c r="T53" s="140"/>
      <c r="U53" s="258">
        <f>IF(AND(W53&lt;&gt;"", X53&lt;&gt;""), 2, IF(OR(W53&lt;&gt;"", X53&lt;&gt;""), 1, 0))</f>
        <v>2</v>
      </c>
      <c r="V53" s="246"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(TEXT(I54,"yyyymmdd"))&amp;$T$3&amp;A54&amp;$T$3&amp;B54&amp;$R$3</f>
        <v>20250411-3977-板橋玉川店(定保)</v>
      </c>
      <c r="Q54" s="140"/>
      <c r="R54" s="140"/>
      <c r="S54" s="140"/>
      <c r="T54" s="140"/>
      <c r="U54" s="258">
        <f>IF(AND(W54&lt;&gt;"", X54&lt;&gt;""), 2, IF(OR(W54&lt;&gt;"", X54&lt;&gt;""), 1, 0))</f>
        <v>0</v>
      </c>
      <c r="V54" s="246"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(TEXT(I55,"yyyymmdd"))&amp;$T$3&amp;A55&amp;$T$3&amp;B55&amp;$R$3</f>
        <v>20250414-4005-新莊雙鳳店(定保)</v>
      </c>
      <c r="Q55" s="140"/>
      <c r="R55" s="140"/>
      <c r="S55" s="140"/>
      <c r="T55" s="140"/>
      <c r="U55" s="258">
        <f>IF(AND(W55&lt;&gt;"", X55&lt;&gt;""), 2, IF(OR(W55&lt;&gt;"", X55&lt;&gt;""), 1, 0))</f>
        <v>2</v>
      </c>
      <c r="V55" s="246"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(TEXT(I56,"yyyymmdd"))&amp;$T$3&amp;A56&amp;$T$3&amp;B56&amp;$R$3</f>
        <v>20250414-D649-北縣中陽店(定保)</v>
      </c>
      <c r="Q56" s="140"/>
      <c r="R56" s="140"/>
      <c r="S56" s="140"/>
      <c r="T56" s="140"/>
      <c r="U56" s="258">
        <f>IF(AND(W56&lt;&gt;"", X56&lt;&gt;""), 2, IF(OR(W56&lt;&gt;"", X56&lt;&gt;""), 1, 0))</f>
        <v>2</v>
      </c>
      <c r="V56" s="246"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(TEXT(I57,"yyyymmdd"))&amp;$T$3&amp;A57&amp;$T$3&amp;B57&amp;$R$3</f>
        <v>20250414-2014-三重中陽二店(定保)</v>
      </c>
      <c r="Q57" s="140"/>
      <c r="R57" s="140"/>
      <c r="S57" s="140"/>
      <c r="T57" s="140"/>
      <c r="U57" s="258">
        <f>IF(AND(W57&lt;&gt;"", X57&lt;&gt;""), 2, IF(OR(W57&lt;&gt;"", X57&lt;&gt;""), 1, 0))</f>
        <v>2</v>
      </c>
      <c r="V57" s="246"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(TEXT(I58,"yyyymmdd"))&amp;$T$3&amp;A58&amp;$T$3&amp;B58&amp;$R$3</f>
        <v>20250414-5003-五股更寮店(定保)</v>
      </c>
      <c r="Q58" s="140"/>
      <c r="R58" s="140"/>
      <c r="S58" s="140"/>
      <c r="T58" s="140"/>
      <c r="U58" s="258">
        <f>IF(AND(W58&lt;&gt;"", X58&lt;&gt;""), 2, IF(OR(W58&lt;&gt;"", X58&lt;&gt;""), 1, 0))</f>
        <v>0</v>
      </c>
      <c r="V58" s="246"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(TEXT(I59,"yyyymmdd"))&amp;$T$3&amp;A59&amp;$T$3&amp;B59&amp;$R$3</f>
        <v>20250414-3227-五股四維店(定保)</v>
      </c>
      <c r="Q59" s="140"/>
      <c r="R59" s="140"/>
      <c r="S59" s="140"/>
      <c r="T59" s="140"/>
      <c r="U59" s="258">
        <f>IF(AND(W59&lt;&gt;"", X59&lt;&gt;""), 2, IF(OR(W59&lt;&gt;"", X59&lt;&gt;""), 1, 0))</f>
        <v>1</v>
      </c>
      <c r="V59" s="246"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(TEXT(I60,"yyyymmdd"))&amp;$T$3&amp;A60&amp;$T$3&amp;B60&amp;$R$3</f>
        <v>20250415-3983-三重星光店(定保)</v>
      </c>
      <c r="Q60" s="140"/>
      <c r="R60" s="140"/>
      <c r="S60" s="140"/>
      <c r="T60" s="140"/>
      <c r="U60" s="258">
        <f>IF(AND(W60&lt;&gt;"", X60&lt;&gt;""), 2, IF(OR(W60&lt;&gt;"", X60&lt;&gt;""), 1, 0))</f>
        <v>1</v>
      </c>
      <c r="V60" s="246"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(TEXT(I61,"yyyymmdd"))&amp;$T$3&amp;A61&amp;$T$3&amp;B61&amp;$R$3</f>
        <v>20250415-D174-新莊裕民店(定保)</v>
      </c>
      <c r="Q61" s="140"/>
      <c r="R61" s="140"/>
      <c r="S61" s="140"/>
      <c r="T61" s="140"/>
      <c r="U61" s="258">
        <f>IF(AND(W61&lt;&gt;"", X61&lt;&gt;""), 2, IF(OR(W61&lt;&gt;"", X61&lt;&gt;""), 1, 0))</f>
        <v>1</v>
      </c>
      <c r="V61" s="246"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(TEXT(I62,"yyyymmdd"))&amp;$T$3&amp;A62&amp;$T$3&amp;B62&amp;$R$3</f>
        <v>20250415-4804-三重國隆店(定保)</v>
      </c>
      <c r="Q62" s="140"/>
      <c r="R62" s="140"/>
      <c r="S62" s="140"/>
      <c r="T62" s="140"/>
      <c r="U62" s="258">
        <f>IF(AND(W62&lt;&gt;"", X62&lt;&gt;""), 2, IF(OR(W62&lt;&gt;"", X62&lt;&gt;""), 1, 0))</f>
        <v>2</v>
      </c>
      <c r="V62" s="246"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(TEXT(I63,"yyyymmdd"))&amp;$T$3&amp;A63&amp;$T$3&amp;B63&amp;$R$3</f>
        <v>20250415-D148-新莊福營店(定保)</v>
      </c>
      <c r="Q63" s="140"/>
      <c r="R63" s="140"/>
      <c r="S63" s="140"/>
      <c r="T63" s="140"/>
      <c r="U63" s="258">
        <f>IF(AND(W63&lt;&gt;"", X63&lt;&gt;""), 2, IF(OR(W63&lt;&gt;"", X63&lt;&gt;""), 1, 0))</f>
        <v>2</v>
      </c>
      <c r="V63" s="246"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(TEXT(I64,"yyyymmdd"))&amp;$T$3&amp;A64&amp;$T$3&amp;B64&amp;$R$3</f>
        <v>20250415-L562-田倉民安店(定保)</v>
      </c>
      <c r="Q64" s="144"/>
      <c r="R64" s="140"/>
      <c r="S64" s="140"/>
      <c r="T64" s="140"/>
      <c r="U64" s="258">
        <f>IF(AND(W64&lt;&gt;"", X64&lt;&gt;""), 2, IF(OR(W64&lt;&gt;"", X64&lt;&gt;""), 1, 0))</f>
        <v>0</v>
      </c>
      <c r="V64" s="246"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(TEXT(I65,"yyyymmdd"))&amp;$T$3&amp;A65&amp;$T$3&amp;B65&amp;$R$3</f>
        <v>20250415-4046-板橋福康店(定保)</v>
      </c>
      <c r="Q65" s="140"/>
      <c r="R65" s="140"/>
      <c r="S65" s="140"/>
      <c r="T65" s="140"/>
      <c r="U65" s="258">
        <f>IF(AND(W65&lt;&gt;"", X65&lt;&gt;""), 2, IF(OR(W65&lt;&gt;"", X65&lt;&gt;""), 1, 0))</f>
        <v>2</v>
      </c>
      <c r="V65" s="246"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(TEXT(I66,"yyyymmdd"))&amp;$T$3&amp;A66&amp;$T$3&amp;B66&amp;$R$3</f>
        <v>20250415-4184-三重今大店(定保)</v>
      </c>
      <c r="Q66" s="140"/>
      <c r="R66" s="140"/>
      <c r="S66" s="140"/>
      <c r="T66" s="140"/>
      <c r="U66" s="258">
        <f>IF(AND(W66&lt;&gt;"", X66&lt;&gt;""), 2, IF(OR(W66&lt;&gt;"", X66&lt;&gt;""), 1, 0))</f>
        <v>1</v>
      </c>
      <c r="V66" s="246"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(TEXT(I67,"yyyymmdd"))&amp;$T$3&amp;A67&amp;$T$3&amp;B67&amp;$R$3</f>
        <v>20250415-L535-田倉新樹店(定保)</v>
      </c>
      <c r="Q67" s="140"/>
      <c r="R67" s="140"/>
      <c r="S67" s="140"/>
      <c r="T67" s="140"/>
      <c r="U67" s="258">
        <f>IF(AND(W67&lt;&gt;"", X67&lt;&gt;""), 2, IF(OR(W67&lt;&gt;"", X67&lt;&gt;""), 1, 0))</f>
        <v>1</v>
      </c>
      <c r="V67" s="246"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(TEXT(I68,"yyyymmdd"))&amp;$T$3&amp;A68&amp;$T$3&amp;B68&amp;$R$3</f>
        <v>20250416-4917-板橋翠華店(定保)</v>
      </c>
      <c r="Q68" s="140"/>
      <c r="R68" s="140"/>
      <c r="S68" s="140"/>
      <c r="T68" s="140"/>
      <c r="U68" s="258">
        <f>IF(AND(W68&lt;&gt;"", X68&lt;&gt;""), 2, IF(OR(W68&lt;&gt;"", X68&lt;&gt;""), 1, 0))</f>
        <v>1</v>
      </c>
      <c r="V68" s="246" t="str">
        <f>IF(I68="", "未到店",
   IF(M68&lt;&gt;"EDC", "異常",
      IF(OR(AND(Y68="STAR", N68="STAR"), AND(Y68&lt;&gt;"STAR", N68="")), "已完工", "異常")
   )
)</f>
        <v>已完工</v>
      </c>
      <c r="W68" s="268"/>
      <c r="X68" s="269"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(TEXT(I69,"yyyymmdd"))&amp;$T$3&amp;A69&amp;$T$3&amp;B69&amp;$R$3</f>
        <v>20250416-4539-三重自信店(定保)</v>
      </c>
      <c r="Q69" s="140"/>
      <c r="R69" s="140"/>
      <c r="S69" s="140"/>
      <c r="T69" s="140"/>
      <c r="U69" s="258">
        <f>IF(AND(W69&lt;&gt;"", X69&lt;&gt;""), 2, IF(OR(W69&lt;&gt;"", X69&lt;&gt;""), 1, 0))</f>
        <v>2</v>
      </c>
      <c r="V69" s="246"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(TEXT(I70,"yyyymmdd"))&amp;$T$3&amp;A70&amp;$T$3&amp;B70&amp;$R$3</f>
        <v>20250416-2543-三重大仁店(定保)</v>
      </c>
      <c r="Q70" s="140"/>
      <c r="R70" s="140"/>
      <c r="S70" s="140"/>
      <c r="T70" s="140"/>
      <c r="U70" s="258">
        <f>IF(AND(W70&lt;&gt;"", X70&lt;&gt;""), 2, IF(OR(W70&lt;&gt;"", X70&lt;&gt;""), 1, 0))</f>
        <v>2</v>
      </c>
      <c r="V70" s="246"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(TEXT(I71,"yyyymmdd"))&amp;$T$3&amp;A71&amp;$T$3&amp;B71&amp;$R$3</f>
        <v>20250417-4083-三重中央南(定保)</v>
      </c>
      <c r="Q71" s="140"/>
      <c r="R71" s="140"/>
      <c r="S71" s="140"/>
      <c r="T71" s="140"/>
      <c r="U71" s="258">
        <f>IF(AND(W71&lt;&gt;"", X71&lt;&gt;""), 2, IF(OR(W71&lt;&gt;"", X71&lt;&gt;""), 1, 0))</f>
        <v>2</v>
      </c>
      <c r="V71" s="246"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(TEXT(I72,"yyyymmdd"))&amp;$T$3&amp;A72&amp;$T$3&amp;B72&amp;$R$3</f>
        <v>20250417-2935-三重夜市口(定保)</v>
      </c>
      <c r="Q72" s="140"/>
      <c r="R72" s="140"/>
      <c r="S72" s="140"/>
      <c r="T72" s="140"/>
      <c r="U72" s="258">
        <f>IF(AND(W72&lt;&gt;"", X72&lt;&gt;""), 2, IF(OR(W72&lt;&gt;"", X72&lt;&gt;""), 1, 0))</f>
        <v>2</v>
      </c>
      <c r="V72" s="246"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(TEXT(I73,"yyyymmdd"))&amp;$T$3&amp;A73&amp;$T$3&amp;B73&amp;$R$3</f>
        <v>20250418-2619-三重大榮店(定保)</v>
      </c>
      <c r="Q73" s="140"/>
      <c r="R73" s="140"/>
      <c r="S73" s="140"/>
      <c r="T73" s="140"/>
      <c r="U73" s="258">
        <f>IF(AND(W73&lt;&gt;"", X73&lt;&gt;""), 2, IF(OR(W73&lt;&gt;"", X73&lt;&gt;""), 1, 0))</f>
        <v>2</v>
      </c>
      <c r="V73" s="246" t="str">
        <f>IF(I73="", "未到店",
   IF(M73&lt;&gt;"EDC", "異常",
      IF(OR(AND(Y73="STAR", N73="STAR"), AND(Y73&lt;&gt;"STAR", N73="")), "已完工", "異常")
   )
)</f>
        <v>已完工</v>
      </c>
      <c r="W73" s="3" t="s">
        <v>4210</v>
      </c>
      <c r="X73" s="5" t="s">
        <v>4211</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(TEXT(I74,"yyyymmdd"))&amp;$T$3&amp;A74&amp;$T$3&amp;B74&amp;$R$3</f>
        <v>20250418-4312-三重文化北(定保)</v>
      </c>
      <c r="Q74" s="140"/>
      <c r="R74" s="140"/>
      <c r="S74" s="140"/>
      <c r="T74" s="140"/>
      <c r="U74" s="258">
        <f>IF(AND(W74&lt;&gt;"", X74&lt;&gt;""), 2, IF(OR(W74&lt;&gt;"", X74&lt;&gt;""), 1, 0))</f>
        <v>2</v>
      </c>
      <c r="V74" s="246" t="str">
        <f>IF(I74="", "未到店",
   IF(M74&lt;&gt;"EDC", "異常",
      IF(OR(AND(Y74="STAR", N74="STAR"), AND(Y74&lt;&gt;"STAR", N74="")), "已完工", "異常")
   )
)</f>
        <v>已完工</v>
      </c>
      <c r="W74" s="3" t="s">
        <v>4208</v>
      </c>
      <c r="X74" s="5" t="s">
        <v>4209</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(TEXT(I75,"yyyymmdd"))&amp;$T$3&amp;A75&amp;$T$3&amp;B75&amp;$R$3</f>
        <v>20250418-4406-板橋稚暉店(定保)</v>
      </c>
      <c r="Q75" s="140"/>
      <c r="R75" s="140"/>
      <c r="S75" s="140"/>
      <c r="T75" s="140"/>
      <c r="U75" s="258">
        <f>IF(AND(W75&lt;&gt;"", X75&lt;&gt;""), 2, IF(OR(W75&lt;&gt;"", X75&lt;&gt;""), 1, 0))</f>
        <v>0</v>
      </c>
      <c r="V75" s="246"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IF(I76&gt;0,(TEXT(I76,"yyyymmdd")&amp;$T$3&amp;A76&amp;$T$3&amp;B76&amp;$R$3),"")</f>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(TEXT(I76,"yyyymmdd"))&amp;$T$3&amp;A76&amp;$T$3&amp;B76&amp;$R$3</f>
        <v>20250418-4025-新莊祐信店(定保)</v>
      </c>
      <c r="Q76" s="140"/>
      <c r="R76" s="140"/>
      <c r="S76" s="140"/>
      <c r="T76" s="140"/>
      <c r="U76" s="258">
        <f>IF(AND(W76&lt;&gt;"", X76&lt;&gt;""), 2, IF(OR(W76&lt;&gt;"", X76&lt;&gt;""), 1, 0))</f>
        <v>2</v>
      </c>
      <c r="V76" s="246" t="str">
        <f>IF(I76="", "未到店",
   IF(M76&lt;&gt;"EDC", "異常",
      IF(OR(AND(Y76="STAR", N76="STAR"), AND(Y76&lt;&gt;"STAR", N76="")), "已完工", "異常")
   )
)</f>
        <v>已完工</v>
      </c>
      <c r="W76" s="3" t="s">
        <v>4422</v>
      </c>
      <c r="X76" s="5" t="s">
        <v>4423</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(TEXT(I77,"yyyymmdd"))&amp;$T$3&amp;A77&amp;$T$3&amp;B77&amp;$R$3</f>
        <v>20250418-4163-新莊中泉店(定保)</v>
      </c>
      <c r="Q77" s="140"/>
      <c r="R77" s="140"/>
      <c r="S77" s="140"/>
      <c r="T77" s="140"/>
      <c r="U77" s="258">
        <f>IF(AND(W77&lt;&gt;"", X77&lt;&gt;""), 2, IF(OR(W77&lt;&gt;"", X77&lt;&gt;""), 1, 0))</f>
        <v>2</v>
      </c>
      <c r="V77" s="246" t="str">
        <f>IF(I77="", "未到店",
   IF(M77&lt;&gt;"EDC", "異常",
      IF(OR(AND(Y77="STAR", N77="STAR"), AND(Y77&lt;&gt;"STAR", N77="")), "已完工", "異常")
   )
)</f>
        <v>已完工</v>
      </c>
      <c r="W77" s="3" t="s">
        <v>4202</v>
      </c>
      <c r="X77" s="5" t="s">
        <v>4203</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(TEXT(I78,"yyyymmdd"))&amp;$T$3&amp;A78&amp;$T$3&amp;B78&amp;$R$3</f>
        <v>20250418-2995-板橋湳雅夜市(定保)</v>
      </c>
      <c r="Q78" s="140"/>
      <c r="R78" s="140"/>
      <c r="S78" s="140"/>
      <c r="T78" s="140"/>
      <c r="U78" s="258">
        <f>IF(AND(W78&lt;&gt;"", X78&lt;&gt;""), 2, IF(OR(W78&lt;&gt;"", X78&lt;&gt;""), 1, 0))</f>
        <v>2</v>
      </c>
      <c r="V78" s="246" t="str">
        <f>IF(I78="", "未到店",
   IF(M78&lt;&gt;"EDC", "異常",
      IF(OR(AND(Y78="STAR", N78="STAR"), AND(Y78&lt;&gt;"STAR", N78="")), "已完工", "異常")
   )
)</f>
        <v>已完工</v>
      </c>
      <c r="W78" s="3" t="s">
        <v>4392</v>
      </c>
      <c r="X78" s="5" t="s">
        <v>4393</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(TEXT(I79,"yyyymmdd"))&amp;$T$3&amp;A79&amp;$T$3&amp;B79&amp;$R$3</f>
        <v>20250421-3878-林口清梅店(定保)</v>
      </c>
      <c r="Q79" s="140"/>
      <c r="R79" s="140"/>
      <c r="S79" s="140"/>
      <c r="T79" s="140"/>
      <c r="U79" s="258">
        <f>IF(AND(W79&lt;&gt;"", X79&lt;&gt;""), 2, IF(OR(W79&lt;&gt;"", X79&lt;&gt;""), 1, 0))</f>
        <v>1</v>
      </c>
      <c r="V79" s="246" t="str">
        <f>IF(I79="", "未到店",
   IF(M79&lt;&gt;"EDC", "異常",
      IF(OR(AND(Y79="STAR", N79="STAR"), AND(Y79&lt;&gt;"STAR", N79="")), "已完工", "異常")
   )
)</f>
        <v>已完工</v>
      </c>
      <c r="W79" s="3" t="s">
        <v>4261</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IF(I80&gt;0,(TEXT(I80,"yyyymmdd")&amp;$T$3&amp;A80&amp;$T$3&amp;B80&amp;$R$3),"")</f>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(TEXT(I80,"yyyymmdd"))&amp;$T$3&amp;A80&amp;$T$3&amp;B80&amp;$R$3</f>
        <v>20250422-3652-北縣莊民店(定保)</v>
      </c>
      <c r="Q80" s="140"/>
      <c r="R80" s="140"/>
      <c r="S80" s="140"/>
      <c r="T80" s="140"/>
      <c r="U80" s="258">
        <f>IF(AND(W80&lt;&gt;"", X80&lt;&gt;""), 2, IF(OR(W80&lt;&gt;"", X80&lt;&gt;""), 1, 0))</f>
        <v>2</v>
      </c>
      <c r="V80" s="246" t="str">
        <f>IF(I80="", "未到店",
   IF(M80&lt;&gt;"EDC", "異常",
      IF(OR(AND(Y80="STAR", N80="STAR"), AND(Y80&lt;&gt;"STAR", N80="")), "已完工", "異常")
   )
)</f>
        <v>已完工</v>
      </c>
      <c r="W80" s="3" t="s">
        <v>4416</v>
      </c>
      <c r="X80" s="5" t="s">
        <v>4417</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IF(I81&gt;0,(TEXT(I81,"yyyymmdd")&amp;$T$3&amp;A81&amp;$T$3&amp;B81&amp;$R$3),"")</f>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(TEXT(I81,"yyyymmdd"))&amp;$T$3&amp;A81&amp;$T$3&amp;B81&amp;$R$3</f>
        <v>20250422-4845-石門海角店(定保)</v>
      </c>
      <c r="Q81" s="140"/>
      <c r="R81" s="140"/>
      <c r="S81" s="140"/>
      <c r="T81" s="140"/>
      <c r="U81" s="258">
        <f>IF(AND(W81&lt;&gt;"", X81&lt;&gt;""), 2, IF(OR(W81&lt;&gt;"", X81&lt;&gt;""), 1, 0))</f>
        <v>2</v>
      </c>
      <c r="V81" s="246" t="str">
        <f>IF(I81="", "未到店",
   IF(M81&lt;&gt;"EDC", "異常",
      IF(OR(AND(Y81="STAR", N81="STAR"), AND(Y81&lt;&gt;"STAR", N81="")), "已完工", "異常")
   )
)</f>
        <v>已完工</v>
      </c>
      <c r="W81" s="3" t="s">
        <v>4242</v>
      </c>
      <c r="X81" s="5" t="s">
        <v>4243</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IF(I82&gt;0,(TEXT(I82,"yyyymmdd")&amp;$T$3&amp;A82&amp;$T$3&amp;B82&amp;$R$3),"")</f>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(TEXT(I82,"yyyymmdd"))&amp;$T$3&amp;A82&amp;$T$3&amp;B82&amp;$R$3</f>
        <v>20250422-2154-北縣板莊店(定保)</v>
      </c>
      <c r="Q82" s="140"/>
      <c r="R82" s="140"/>
      <c r="S82" s="140"/>
      <c r="T82" s="140"/>
      <c r="U82" s="258">
        <f>IF(AND(W82&lt;&gt;"", X82&lt;&gt;""), 2, IF(OR(W82&lt;&gt;"", X82&lt;&gt;""), 1, 0))</f>
        <v>0</v>
      </c>
      <c r="V82" s="246" t="str">
        <f>IF(I82="", "未到店",
   IF(M82&lt;&gt;"EDC", "異常",
      IF(OR(AND(Y82="STAR", N82="STAR"), AND(Y82&lt;&gt;"STAR", N82="")), "已完工", "異常")
   )
)</f>
        <v>已完工</v>
      </c>
      <c r="X82" s="5"/>
      <c r="Y82" s="5" t="str">
        <f>IF(U82&gt;0,"STAR","")</f>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1746</v>
      </c>
      <c r="H83" s="186" t="str">
        <f>IF(I83&gt;0,(TEXT(I83,"yyyymmdd")&amp;$T$3&amp;A83&amp;$T$3&amp;B83&amp;$R$3),"")</f>
        <v>20250423-5060-淡水魚市店(定保)</v>
      </c>
      <c r="I83" s="190">
        <v>45770.666666666664</v>
      </c>
      <c r="J83" s="188" cm="1">
        <f t="array" ref="J83">IFERROR(INDEX(IM!$X$2:$X$650, MATCH(1, (IM!$F$2:$F$650=A83) * (ISNUMBER(SEARCH($C$1, IM!$AC$2:$AC$650))), 0)), "")</f>
        <v>45770.666666666664</v>
      </c>
      <c r="K83" s="159">
        <f>COUNTIFS(IM!F:F,A83,IM!AD:AD,"O",IM!X:X,"&gt;="&amp;$A$1,IM!X:X,"&lt;="&amp;$B$1)</f>
        <v>1</v>
      </c>
      <c r="L83" s="228" t="str" cm="1">
        <f t="array" ref="L83">IF(K83&gt;0,IFERROR(HYPERLINK("#'IM'!AC"&amp;MATCH(1,(IM!$F$1:$F$7700=A83)*(ISNUMBER(SEARCH("PMQ2",IM!$AC$1:$AC$7700))),0),"檢核"),"未登錄"),"")</f>
        <v>檢核</v>
      </c>
      <c r="M83" s="230" t="str" cm="1">
        <f t="array" ref="M83">IF(AND(SUMPRODUCT((IM!F2:F825=A83)*(ISNUMBER(SEARCH("EDC", IM!AC2:AC825))))&gt;0), "EDC", "")</f>
        <v>EDC</v>
      </c>
      <c r="N83" s="264" t="str" cm="1">
        <f t="array" ref="N83">IF(AND(SUMPRODUCT((IM!F2:F825=A83)*(ISNUMBER(SEARCH("STAR", IM!AC2:AC825))))&gt;0), "STAR", "")</f>
        <v/>
      </c>
      <c r="O83" s="256" t="str" cm="1">
        <f t="array" ref="O83">IFERROR(INDEX(IM!$X$2:$X$650, MATCH(1, (IM!$F$2:$F$650=A83) * (ISNUMBER(SEARCH($D$1, IM!$AC$2:$AC$650))), 0)), "")</f>
        <v/>
      </c>
      <c r="P83" s="191" t="str">
        <f>(TEXT(I83,"yyyymmdd"))&amp;$T$3&amp;A83&amp;$T$3&amp;B83&amp;$R$3</f>
        <v>20250423-5060-淡水魚市店(定保)</v>
      </c>
      <c r="Q83" s="140"/>
      <c r="R83" s="140"/>
      <c r="S83" s="140"/>
      <c r="T83" s="140"/>
      <c r="U83" s="258">
        <f>IF(AND(W83&lt;&gt;"", X83&lt;&gt;""), 2, IF(OR(W83&lt;&gt;"", X83&lt;&gt;""), 1, 0))</f>
        <v>0</v>
      </c>
      <c r="V83" s="246" t="str">
        <f>IF(I83="", "未到店",
   IF(M83&lt;&gt;"EDC", "異常",
      IF(OR(AND(Y83="STAR", N83="STAR"), AND(Y83&lt;&gt;"STAR", N83="")), "已完工", "異常")
   )
)</f>
        <v>已完工</v>
      </c>
      <c r="X83" s="5"/>
      <c r="Y83" s="5" t="str">
        <f>IF(U83&gt;0,"STAR","")</f>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4086</v>
      </c>
      <c r="H84" s="186" t="str">
        <f>IF(I84&gt;0,(TEXT(I84,"yyyymmdd")&amp;$T$3&amp;A84&amp;$T$3&amp;B84&amp;$R$3),"")</f>
        <v>20250424-3359-三重金陵店(定保)</v>
      </c>
      <c r="I84" s="190">
        <v>45771.614583333336</v>
      </c>
      <c r="J84" s="188" cm="1">
        <f t="array" ref="J84">IFERROR(INDEX(IM!$X$2:$X$650, MATCH(1, (IM!$F$2:$F$650=A84) * (ISNUMBER(SEARCH($C$1, IM!$AC$2:$AC$650))), 0)), "")</f>
        <v>45771.614583333336</v>
      </c>
      <c r="K84" s="159">
        <f>COUNTIFS(IM!F:F,A84,IM!AD:AD,"O",IM!X:X,"&gt;="&amp;$A$1,IM!X:X,"&lt;="&amp;$B$1)</f>
        <v>1</v>
      </c>
      <c r="L84" s="228" t="str" cm="1">
        <f t="array" ref="L84">IF(K84&gt;0,IFERROR(HYPERLINK("#'IM'!AC"&amp;MATCH(1,(IM!$F$1:$F$7700=A84)*(ISNUMBER(SEARCH("PMQ2",IM!$AC$1:$AC$7700))),0),"檢核"),"未登錄"),"")</f>
        <v>檢核</v>
      </c>
      <c r="M84" s="230" t="str" cm="1">
        <f t="array" ref="M84">IF(AND(SUMPRODUCT((IM!F2:F726=A84)*(ISNUMBER(SEARCH("EDC", IM!AC2:AC726))))&gt;0), "EDC", "")</f>
        <v>EDC</v>
      </c>
      <c r="N84" s="264" t="str" cm="1">
        <f t="array" ref="N84">IF(AND(SUMPRODUCT((IM!F2:F726=A84)*(ISNUMBER(SEARCH("STAR", IM!AC2:AC726))))&gt;0), "STAR", "")</f>
        <v>STAR</v>
      </c>
      <c r="O84" s="256" cm="1">
        <f t="array" ref="O84">IFERROR(INDEX(IM!$X$2:$X$650, MATCH(1, (IM!$F$2:$F$650=A84) * (ISNUMBER(SEARCH($D$1, IM!$AC$2:$AC$650))), 0)), "")</f>
        <v>45771.614583333336</v>
      </c>
      <c r="P84" s="191" t="str">
        <f>(TEXT(I84,"yyyymmdd"))&amp;$T$3&amp;A84&amp;$T$3&amp;B84&amp;$R$3</f>
        <v>20250424-3359-三重金陵店(定保)</v>
      </c>
      <c r="Q84" s="140"/>
      <c r="R84" s="140"/>
      <c r="S84" s="140"/>
      <c r="T84" s="140"/>
      <c r="U84" s="258">
        <f>IF(AND(W84&lt;&gt;"", X84&lt;&gt;""), 2, IF(OR(W84&lt;&gt;"", X84&lt;&gt;""), 1, 0))</f>
        <v>2</v>
      </c>
      <c r="V84" s="246" t="str">
        <f>IF(I84="", "未到店",
   IF(M84&lt;&gt;"EDC", "異常",
      IF(OR(AND(Y84="STAR", N84="STAR"), AND(Y84&lt;&gt;"STAR", N84="")), "已完工", "異常")
   )
)</f>
        <v>已完工</v>
      </c>
      <c r="W84" s="3" t="s">
        <v>4246</v>
      </c>
      <c r="X84" s="5" t="s">
        <v>4247</v>
      </c>
      <c r="Y84" s="5" t="str">
        <f>IF(U84&gt;0,"STAR","")</f>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20250424-D191-三重興德店(定保)</v>
      </c>
      <c r="I85" s="190">
        <v>45771.677777777775</v>
      </c>
      <c r="J85" s="188" cm="1">
        <f t="array" ref="J85">IFERROR(INDEX(IM!$X$2:$X$650, MATCH(1, (IM!$F$2:$F$650=A85) * (ISNUMBER(SEARCH($C$1, IM!$AC$2:$AC$650))), 0)), "")</f>
        <v>45771.677777777775</v>
      </c>
      <c r="K85" s="159">
        <f>COUNTIFS(IM!F:F,A85,IM!AD:AD,"O",IM!X:X,"&gt;="&amp;$A$1,IM!X:X,"&lt;="&amp;$B$1)</f>
        <v>1</v>
      </c>
      <c r="L85" s="228" t="str" cm="1">
        <f t="array" ref="L85">IF(K85&gt;0,IFERROR(HYPERLINK("#'IM'!AC"&amp;MATCH(1,(IM!$F$1:$F$7700=A85)*(ISNUMBER(SEARCH("PMQ2",IM!$AC$1:$AC$7700))),0),"檢核"),"未登錄"),"")</f>
        <v>檢核</v>
      </c>
      <c r="M85" s="230" t="str" cm="1">
        <f t="array" ref="M85">IF(AND(SUMPRODUCT((IM!F2:F727=A85)*(ISNUMBER(SEARCH("EDC", IM!AC2:AC727))))&gt;0), "EDC", "")</f>
        <v>EDC</v>
      </c>
      <c r="N85" s="264" t="str" cm="1">
        <f t="array" ref="N85">IF(AND(SUMPRODUCT((IM!F2:F727=A85)*(ISNUMBER(SEARCH("STAR", IM!AC2:AC727))))&gt;0), "STAR", "")</f>
        <v>STAR</v>
      </c>
      <c r="O85" s="256" cm="1">
        <f t="array" ref="O85">IFERROR(INDEX(IM!$X$2:$X$650, MATCH(1, (IM!$F$2:$F$650=A85) * (ISNUMBER(SEARCH($D$1, IM!$AC$2:$AC$650))), 0)), "")</f>
        <v>45771.677777777775</v>
      </c>
      <c r="P85" s="191" t="str">
        <f>(TEXT(I85,"yyyymmdd"))&amp;$T$3&amp;A85&amp;$T$3&amp;B85&amp;$R$3</f>
        <v>20250424-D191-三重興德店(定保)</v>
      </c>
      <c r="Q85" s="140"/>
      <c r="R85" s="140"/>
      <c r="S85" s="140"/>
      <c r="T85" s="140"/>
      <c r="U85" s="258">
        <f>IF(AND(W85&lt;&gt;"", X85&lt;&gt;""), 2, IF(OR(W85&lt;&gt;"", X85&lt;&gt;""), 1, 0))</f>
        <v>2</v>
      </c>
      <c r="V85" s="246" t="str">
        <f>IF(I85="", "未到店",
   IF(M85&lt;&gt;"EDC", "異常",
      IF(OR(AND(Y85="STAR", N85="STAR"), AND(Y85&lt;&gt;"STAR", N85="")), "已完工", "異常")
   )
)</f>
        <v>已完工</v>
      </c>
      <c r="W85" s="3" t="s">
        <v>4248</v>
      </c>
      <c r="X85" s="5" t="s">
        <v>4249</v>
      </c>
      <c r="Y85" s="5" t="str">
        <f>IF(U85&gt;0,"STAR","")</f>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1746</v>
      </c>
      <c r="H86" s="186" t="str">
        <f>IF(I86&gt;0,(TEXT(I86,"yyyymmdd")&amp;$T$3&amp;A86&amp;$T$3&amp;B86&amp;$R$3),"")</f>
        <v>20250425-2267-北縣金陽店(定保)</v>
      </c>
      <c r="I86" s="190">
        <v>45772.586805555555</v>
      </c>
      <c r="J86" s="188" cm="1">
        <f t="array" ref="J86">IFERROR(INDEX(IM!$X$2:$X$650, MATCH(1, (IM!$F$2:$F$650=A86) * (ISNUMBER(SEARCH($C$1, IM!$AC$2:$AC$650))), 0)), "")</f>
        <v>45772.586805555555</v>
      </c>
      <c r="K86" s="159">
        <f>COUNTIFS(IM!F:F,A86,IM!AD:AD,"O",IM!X:X,"&gt;="&amp;$A$1,IM!X:X,"&lt;="&amp;$B$1)</f>
        <v>1</v>
      </c>
      <c r="L86" s="228" t="str" cm="1">
        <f t="array" ref="L86">IF(K86&gt;0,IFERROR(HYPERLINK("#'IM'!AC"&amp;MATCH(1,(IM!$F$1:$F$7700=A86)*(ISNUMBER(SEARCH("PMQ2",IM!$AC$1:$AC$7700))),0),"檢核"),"未登錄"),"")</f>
        <v>檢核</v>
      </c>
      <c r="M86" s="230" t="str" cm="1">
        <f t="array" ref="M86">IF(AND(SUMPRODUCT((IM!F2:F719=A86)*(ISNUMBER(SEARCH("EDC", IM!AC2:AC719))))&gt;0), "EDC", "")</f>
        <v>EDC</v>
      </c>
      <c r="N86" s="264" t="str" cm="1">
        <f t="array" ref="N86">IF(AND(SUMPRODUCT((IM!F2:F719=A86)*(ISNUMBER(SEARCH("STAR", IM!AC2:AC719))))&gt;0), "STAR", "")</f>
        <v>STAR</v>
      </c>
      <c r="O86" s="256" cm="1">
        <f t="array" ref="O86">IFERROR(INDEX(IM!$X$2:$X$650, MATCH(1, (IM!$F$2:$F$650=A86) * (ISNUMBER(SEARCH($D$1, IM!$AC$2:$AC$650))), 0)), "")</f>
        <v>45772.586805555555</v>
      </c>
      <c r="P86" s="191" t="str">
        <f>(TEXT(I86,"yyyymmdd"))&amp;$T$3&amp;A86&amp;$T$3&amp;B86&amp;$R$3</f>
        <v>20250425-2267-北縣金陽店(定保)</v>
      </c>
      <c r="Q86" s="140"/>
      <c r="R86" s="140"/>
      <c r="S86" s="140"/>
      <c r="T86" s="140"/>
      <c r="U86" s="258">
        <f>IF(AND(W86&lt;&gt;"", X86&lt;&gt;""), 2, IF(OR(W86&lt;&gt;"", X86&lt;&gt;""), 1, 0))</f>
        <v>2</v>
      </c>
      <c r="V86" s="246" t="str">
        <f>IF(I86="", "未到店",
   IF(M86&lt;&gt;"EDC", "異常",
      IF(OR(AND(Y86="STAR", N86="STAR"), AND(Y86&lt;&gt;"STAR", N86="")), "已完工", "異常")
   )
)</f>
        <v>已完工</v>
      </c>
      <c r="W86" s="3" t="s">
        <v>4240</v>
      </c>
      <c r="X86" s="5" t="s">
        <v>4241</v>
      </c>
      <c r="Y86" s="5" t="str">
        <f>IF(U86&gt;0,"STAR","")</f>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IF(I87&gt;0,(TEXT(I87,"yyyymmdd")&amp;$T$3&amp;A87&amp;$T$3&amp;B87&amp;$R$3),"")</f>
        <v>20250429-3358-新莊棒球場(定保)</v>
      </c>
      <c r="I87" s="190">
        <v>45776.4375</v>
      </c>
      <c r="J87" s="188" cm="1">
        <f t="array" ref="J87">IFERROR(INDEX(IM!$X$2:$X$650, MATCH(1, (IM!$F$2:$F$650=A87) * (ISNUMBER(SEARCH($C$1, IM!$AC$2:$AC$650))), 0)), "")</f>
        <v>45776.4375</v>
      </c>
      <c r="K87" s="159">
        <f>COUNTIFS(IM!F:F,A87,IM!AD:AD,"O",IM!X:X,"&gt;="&amp;$A$1,IM!X:X,"&lt;="&amp;$B$1)</f>
        <v>1</v>
      </c>
      <c r="L87" s="228" t="str" cm="1">
        <f t="array" ref="L87">IF(K87&gt;0,IFERROR(HYPERLINK("#'IM'!AC"&amp;MATCH(1,(IM!$F$1:$F$7700=A87)*(ISNUMBER(SEARCH("PMQ2",IM!$AC$1:$AC$7700))),0),"檢核"),"未登錄"),"")</f>
        <v>檢核</v>
      </c>
      <c r="M87" s="230" t="str" cm="1">
        <f t="array" ref="M87">IF(AND(SUMPRODUCT((IM!F2:F837=A87)*(ISNUMBER(SEARCH("EDC", IM!AC2:AC837))))&gt;0), "EDC", "")</f>
        <v>EDC</v>
      </c>
      <c r="N87" s="264" t="str" cm="1">
        <f t="array" ref="N87">IF(AND(SUMPRODUCT((IM!F2:F837=A87)*(ISNUMBER(SEARCH("STAR", IM!AC2:AC837))))&gt;0), "STAR", "")</f>
        <v/>
      </c>
      <c r="O87" s="256" t="str" cm="1">
        <f t="array" ref="O87">IFERROR(INDEX(IM!$X$2:$X$650, MATCH(1, (IM!$F$2:$F$650=A87) * (ISNUMBER(SEARCH($D$1, IM!$AC$2:$AC$650))), 0)), "")</f>
        <v/>
      </c>
      <c r="P87" s="191" t="str">
        <f>(TEXT(I87,"yyyymmdd"))&amp;$T$3&amp;A87&amp;$T$3&amp;B87&amp;$R$3</f>
        <v>20250429-3358-新莊棒球場(定保)</v>
      </c>
      <c r="Q87" s="140"/>
      <c r="R87" s="140"/>
      <c r="S87" s="140"/>
      <c r="T87" s="140"/>
      <c r="U87" s="258">
        <f>IF(AND(W87&lt;&gt;"", X87&lt;&gt;""), 2, IF(OR(W87&lt;&gt;"", X87&lt;&gt;""), 1, 0))</f>
        <v>0</v>
      </c>
      <c r="V87" s="246" t="str">
        <f>IF(I87="", "未到店",
   IF(M87&lt;&gt;"EDC", "異常",
      IF(OR(AND(Y87="STAR", N87="STAR"), AND(Y87&lt;&gt;"STAR", N87="")), "已完工", "異常")
   )
)</f>
        <v>已完工</v>
      </c>
      <c r="X87" s="5"/>
      <c r="Y87" s="5" t="str">
        <f>IF(U87&gt;0,"STAR","")</f>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IF(I88&gt;0,(TEXT(I88,"yyyymmdd")&amp;$T$3&amp;A88&amp;$T$3&amp;B88&amp;$R$3),"")</f>
        <v>20250429-3623-三重自強店(定保)</v>
      </c>
      <c r="I88" s="190">
        <v>45776.625</v>
      </c>
      <c r="J88" s="188" cm="1">
        <f t="array" ref="J88">IFERROR(INDEX(IM!$X$2:$X$650, MATCH(1, (IM!$F$2:$F$650=A88) * (ISNUMBER(SEARCH($C$1, IM!$AC$2:$AC$650))), 0)), "")</f>
        <v>45776.625</v>
      </c>
      <c r="K88" s="159">
        <f>COUNTIFS(IM!F:F,A88,IM!AD:AD,"O",IM!X:X,"&gt;="&amp;$A$1,IM!X:X,"&lt;="&amp;$B$1)</f>
        <v>1</v>
      </c>
      <c r="L88" s="228" t="str" cm="1">
        <f t="array" ref="L88">IF(K88&gt;0,IFERROR(HYPERLINK("#'IM'!AC"&amp;MATCH(1,(IM!$F$1:$F$7700=A88)*(ISNUMBER(SEARCH("PMQ2",IM!$AC$1:$AC$7700))),0),"檢核"),"未登錄"),"")</f>
        <v>檢核</v>
      </c>
      <c r="M88" s="230" t="str" cm="1">
        <f t="array" ref="M88">IF(AND(SUMPRODUCT((IM!F2:F761=A88)*(ISNUMBER(SEARCH("EDC", IM!AC2:AC761))))&gt;0), "EDC", "")</f>
        <v>EDC</v>
      </c>
      <c r="N88" s="264" t="str" cm="1">
        <f t="array" ref="N88">IF(AND(SUMPRODUCT((IM!F2:F761=A88)*(ISNUMBER(SEARCH("STAR", IM!AC2:AC761))))&gt;0), "STAR", "")</f>
        <v>STAR</v>
      </c>
      <c r="O88" s="256" cm="1">
        <f t="array" ref="O88">IFERROR(INDEX(IM!$X$2:$X$650, MATCH(1, (IM!$F$2:$F$650=A88) * (ISNUMBER(SEARCH($D$1, IM!$AC$2:$AC$650))), 0)), "")</f>
        <v>45776.625</v>
      </c>
      <c r="P88" s="191" t="str">
        <f>(TEXT(I88,"yyyymmdd"))&amp;$T$3&amp;A88&amp;$T$3&amp;B88&amp;$R$3</f>
        <v>20250429-3623-三重自強店(定保)</v>
      </c>
      <c r="Q88" s="140"/>
      <c r="R88" s="140"/>
      <c r="S88" s="140"/>
      <c r="T88" s="140"/>
      <c r="U88" s="258">
        <f>IF(AND(W88&lt;&gt;"", X88&lt;&gt;""), 2, IF(OR(W88&lt;&gt;"", X88&lt;&gt;""), 1, 0))</f>
        <v>2</v>
      </c>
      <c r="V88" s="246" t="str">
        <f>IF(I88="", "未到店",
   IF(M88&lt;&gt;"EDC", "異常",
      IF(OR(AND(Y88="STAR", N88="STAR"), AND(Y88&lt;&gt;"STAR", N88="")), "已完工", "異常")
   )
)</f>
        <v>已完工</v>
      </c>
      <c r="W88" s="3" t="s">
        <v>4294</v>
      </c>
      <c r="X88" s="5" t="s">
        <v>4295</v>
      </c>
      <c r="Y88" s="5" t="str">
        <f>IF(U88&gt;0,"STAR","")</f>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1746</v>
      </c>
      <c r="H89" s="186" t="str">
        <f>IF(I89&gt;0,(TEXT(I89,"yyyymmdd")&amp;$T$3&amp;A89&amp;$T$3&amp;B89&amp;$R$3),"")</f>
        <v>20250430-2318-北縣淡俊店(定保)</v>
      </c>
      <c r="I89" s="190">
        <v>45777.59375</v>
      </c>
      <c r="J89" s="188" cm="1">
        <f t="array" ref="J89">IFERROR(INDEX(IM!$X$2:$X$650, MATCH(1, (IM!$F$2:$F$650=A89) * (ISNUMBER(SEARCH($C$1, IM!$AC$2:$AC$650))), 0)), "")</f>
        <v>45777.59375</v>
      </c>
      <c r="K89" s="159">
        <f>COUNTIFS(IM!F:F,A89,IM!AD:AD,"O",IM!X:X,"&gt;="&amp;$A$1,IM!X:X,"&lt;="&amp;$B$1)</f>
        <v>1</v>
      </c>
      <c r="L89" s="228" t="str" cm="1">
        <f t="array" ref="L89">IF(K89&gt;0,IFERROR(HYPERLINK("#'IM'!AC"&amp;MATCH(1,(IM!$F$1:$F$7700=A89)*(ISNUMBER(SEARCH("PMQ2",IM!$AC$1:$AC$7700))),0),"檢核"),"未登錄"),"")</f>
        <v>檢核</v>
      </c>
      <c r="M89" s="230" t="str" cm="1">
        <f t="array" ref="M89">IF(AND(SUMPRODUCT((IM!F2:F753=A89)*(ISNUMBER(SEARCH("EDC", IM!AC2:AC753))))&gt;0), "EDC", "")</f>
        <v>EDC</v>
      </c>
      <c r="N89" s="264" t="str" cm="1">
        <f t="array" ref="N89">IF(AND(SUMPRODUCT((IM!F2:F753=A89)*(ISNUMBER(SEARCH("STAR", IM!AC2:AC753))))&gt;0), "STAR", "")</f>
        <v>STAR</v>
      </c>
      <c r="O89" s="256" cm="1">
        <f t="array" ref="O89">IFERROR(INDEX(IM!$X$2:$X$650, MATCH(1, (IM!$F$2:$F$650=A89) * (ISNUMBER(SEARCH($D$1, IM!$AC$2:$AC$650))), 0)), "")</f>
        <v>45777.59375</v>
      </c>
      <c r="P89" s="191" t="str">
        <f>(TEXT(I89,"yyyymmdd"))&amp;$T$3&amp;A89&amp;$T$3&amp;B89&amp;$R$3</f>
        <v>20250430-2318-北縣淡俊店(定保)</v>
      </c>
      <c r="Q89" s="140"/>
      <c r="R89" s="140"/>
      <c r="S89" s="140"/>
      <c r="T89" s="140"/>
      <c r="U89" s="258">
        <f>IF(AND(W89&lt;&gt;"", X89&lt;&gt;""), 2, IF(OR(W89&lt;&gt;"", X89&lt;&gt;""), 1, 0))</f>
        <v>1</v>
      </c>
      <c r="V89" s="246" t="str">
        <f>IF(I89="", "未到店",
   IF(M89&lt;&gt;"EDC", "異常",
      IF(OR(AND(Y89="STAR", N89="STAR"), AND(Y89&lt;&gt;"STAR", N89="")), "已完工", "異常")
   )
)</f>
        <v>已完工</v>
      </c>
      <c r="X89" s="5" t="s">
        <v>4280</v>
      </c>
      <c r="Y89" s="5" t="str">
        <f>IF(U89&gt;0,"STAR","")</f>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1746</v>
      </c>
      <c r="H90" s="186" t="str">
        <f>IF(I90&gt;0,(TEXT(I90,"yyyymmdd")&amp;$T$3&amp;A90&amp;$T$3&amp;B90&amp;$R$3),"")</f>
        <v>20250430-2897-淡水台電宿舍(定保)</v>
      </c>
      <c r="I90" s="190">
        <v>45777.647222222222</v>
      </c>
      <c r="J90" s="188" cm="1">
        <f t="array" ref="J90">IFERROR(INDEX(IM!$X$2:$X$650, MATCH(1, (IM!$F$2:$F$650=A90) * (ISNUMBER(SEARCH($C$1, IM!$AC$2:$AC$650))), 0)), "")</f>
        <v>45777.647222222222</v>
      </c>
      <c r="K90" s="159">
        <f>COUNTIFS(IM!F:F,A90,IM!AD:AD,"O",IM!X:X,"&gt;="&amp;$A$1,IM!X:X,"&lt;="&amp;$B$1)</f>
        <v>1</v>
      </c>
      <c r="L90" s="228" t="str" cm="1">
        <f t="array" ref="L90">IF(K90&gt;0,IFERROR(HYPERLINK("#'IM'!AC"&amp;MATCH(1,(IM!$F$1:$F$7700=A90)*(ISNUMBER(SEARCH("PMQ2",IM!$AC$1:$AC$7700))),0),"檢核"),"未登錄"),"")</f>
        <v>檢核</v>
      </c>
      <c r="M90" s="230" t="str" cm="1">
        <f t="array" ref="M90">IF(AND(SUMPRODUCT((IM!F2:F817=A90)*(ISNUMBER(SEARCH("EDC", IM!AC2:AC817))))&gt;0), "EDC", "")</f>
        <v>EDC</v>
      </c>
      <c r="N90" s="264" t="str" cm="1">
        <f t="array" ref="N90">IF(AND(SUMPRODUCT((IM!F2:F817=A90)*(ISNUMBER(SEARCH("STAR", IM!AC2:AC817))))&gt;0), "STAR", "")</f>
        <v>STAR</v>
      </c>
      <c r="O90" s="256" cm="1">
        <f t="array" ref="O90">IFERROR(INDEX(IM!$X$2:$X$650, MATCH(1, (IM!$F$2:$F$650=A90) * (ISNUMBER(SEARCH($D$1, IM!$AC$2:$AC$650))), 0)), "")</f>
        <v>45777.647222222222</v>
      </c>
      <c r="P90" s="191" t="str">
        <f>(TEXT(I90,"yyyymmdd"))&amp;$T$3&amp;A90&amp;$T$3&amp;B90&amp;$R$3</f>
        <v>20250430-2897-淡水台電宿舍(定保)</v>
      </c>
      <c r="Q90" s="140"/>
      <c r="R90" s="140"/>
      <c r="S90" s="140"/>
      <c r="T90" s="140"/>
      <c r="U90" s="258">
        <f>IF(AND(W90&lt;&gt;"", X90&lt;&gt;""), 2, IF(OR(W90&lt;&gt;"", X90&lt;&gt;""), 1, 0))</f>
        <v>2</v>
      </c>
      <c r="V90" s="246" t="str">
        <f>IF(I90="", "未到店",
   IF(M90&lt;&gt;"EDC", "異常",
      IF(OR(AND(Y90="STAR", N90="STAR"), AND(Y90&lt;&gt;"STAR", N90="")), "已完工", "異常")
   )
)</f>
        <v>已完工</v>
      </c>
      <c r="W90" s="3" t="s">
        <v>4340</v>
      </c>
      <c r="X90" s="5" t="s">
        <v>4341</v>
      </c>
      <c r="Y90" s="5" t="str">
        <f>IF(U90&gt;0,"STAR","")</f>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1746</v>
      </c>
      <c r="H91" s="186" t="str">
        <f>IF(I91&gt;0,(TEXT(I91,"yyyymmdd")&amp;$T$3&amp;A91&amp;$T$3&amp;B91&amp;$R$3),"")</f>
        <v>20250502-2403-北縣板龍店(定保)</v>
      </c>
      <c r="I91" s="190">
        <v>45779.527777777781</v>
      </c>
      <c r="J91" s="188" cm="1">
        <f t="array" ref="J91">IFERROR(INDEX(IM!$X$2:$X$650, MATCH(1, (IM!$F$2:$F$650=A91) * (ISNUMBER(SEARCH($C$1, IM!$AC$2:$AC$650))), 0)), "")</f>
        <v>45779.527777777781</v>
      </c>
      <c r="K91" s="159">
        <f>COUNTIFS(IM!F:F,A91,IM!AD:AD,"O",IM!X:X,"&gt;="&amp;$A$1,IM!X:X,"&lt;="&amp;$B$1)</f>
        <v>1</v>
      </c>
      <c r="L91" s="228" t="str" cm="1">
        <f t="array" ref="L91">IF(K91&gt;0,IFERROR(HYPERLINK("#'IM'!AC"&amp;MATCH(1,(IM!$F$1:$F$7700=A91)*(ISNUMBER(SEARCH("PMQ2",IM!$AC$1:$AC$7700))),0),"檢核"),"未登錄"),"")</f>
        <v>檢核</v>
      </c>
      <c r="M91" s="230" t="str" cm="1">
        <f t="array" ref="M91">IF(AND(SUMPRODUCT((IM!F2:F834=A91)*(ISNUMBER(SEARCH("EDC", IM!AC2:AC834))))&gt;0), "EDC", "")</f>
        <v>EDC</v>
      </c>
      <c r="N91" s="264" t="str" cm="1">
        <f t="array" ref="N91">IF(AND(SUMPRODUCT((IM!F2:F834=A91)*(ISNUMBER(SEARCH("STAR", IM!AC2:AC834))))&gt;0), "STAR", "")</f>
        <v/>
      </c>
      <c r="O91" s="256" t="str" cm="1">
        <f t="array" ref="O91">IFERROR(INDEX(IM!$X$2:$X$650, MATCH(1, (IM!$F$2:$F$650=A91) * (ISNUMBER(SEARCH($D$1, IM!$AC$2:$AC$650))), 0)), "")</f>
        <v/>
      </c>
      <c r="P91" s="191" t="str">
        <f>(TEXT(I91,"yyyymmdd"))&amp;$T$3&amp;A91&amp;$T$3&amp;B91&amp;$R$3</f>
        <v>20250502-2403-北縣板龍店(定保)</v>
      </c>
      <c r="Q91" s="140"/>
      <c r="R91" s="140"/>
      <c r="S91" s="140"/>
      <c r="T91" s="140"/>
      <c r="U91" s="258">
        <f>IF(AND(W91&lt;&gt;"", X91&lt;&gt;""), 2, IF(OR(W91&lt;&gt;"", X91&lt;&gt;""), 1, 0))</f>
        <v>2</v>
      </c>
      <c r="V91" s="246" t="str">
        <f>IF(I91="", "未到店",
   IF(M91&lt;&gt;"EDC", "異常",
      IF(OR(AND(Y91="STAR", N91="STAR"), AND(Y91&lt;&gt;"STAR", N91="")), "已完工", "異常")
   )
)</f>
        <v>異常</v>
      </c>
      <c r="W91" s="3" t="s">
        <v>4368</v>
      </c>
      <c r="X91" s="5" t="s">
        <v>4369</v>
      </c>
      <c r="Y91" s="5" t="str">
        <f>IF(U91&gt;0,"STAR","")</f>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IF(I92&gt;0,(TEXT(I92,"yyyymmdd")&amp;$T$3&amp;A92&amp;$T$3&amp;B92&amp;$R$3),"")</f>
        <v>20250502-3052-北縣莊玲店(定保)</v>
      </c>
      <c r="I92" s="190">
        <v>45779.604166666664</v>
      </c>
      <c r="J92" s="188" cm="1">
        <f t="array" ref="J92">IFERROR(INDEX(IM!$X$2:$X$650, MATCH(1, (IM!$F$2:$F$650=A92) * (ISNUMBER(SEARCH($C$1, IM!$AC$2:$AC$650))), 0)), "")</f>
        <v>45779.604166666664</v>
      </c>
      <c r="K92" s="159">
        <f>COUNTIFS(IM!F:F,A92,IM!AD:AD,"O",IM!X:X,"&gt;="&amp;$A$1,IM!X:X,"&lt;="&amp;$B$1)</f>
        <v>1</v>
      </c>
      <c r="L92" s="228" t="str" cm="1">
        <f t="array" ref="L92">IF(K92&gt;0,IFERROR(HYPERLINK("#'IM'!AC"&amp;MATCH(1,(IM!$F$1:$F$7700=A92)*(ISNUMBER(SEARCH("PMQ2",IM!$AC$1:$AC$7700))),0),"檢核"),"未登錄"),"")</f>
        <v>檢核</v>
      </c>
      <c r="M92" s="230" t="str" cm="1">
        <f t="array" ref="M92">IF(AND(SUMPRODUCT((IM!F2:F660=A92)*(ISNUMBER(SEARCH("EDC", IM!AC2:AC660))))&gt;0), "EDC", "")</f>
        <v>EDC</v>
      </c>
      <c r="N92" s="264" t="str" cm="1">
        <f t="array" ref="N92">IF(AND(SUMPRODUCT((IM!F2:F660=A92)*(ISNUMBER(SEARCH("STAR", IM!AC2:AC660))))&gt;0), "STAR", "")</f>
        <v/>
      </c>
      <c r="O92" s="256" t="str" cm="1">
        <f t="array" ref="O92">IFERROR(INDEX(IM!$X$2:$X$650, MATCH(1, (IM!$F$2:$F$650=A92) * (ISNUMBER(SEARCH($D$1, IM!$AC$2:$AC$650))), 0)), "")</f>
        <v/>
      </c>
      <c r="P92" s="191" t="str">
        <f>(TEXT(I92,"yyyymmdd"))&amp;$T$3&amp;A92&amp;$T$3&amp;B92&amp;$R$3</f>
        <v>20250502-3052-北縣莊玲店(定保)</v>
      </c>
      <c r="Q92" s="140"/>
      <c r="R92" s="140"/>
      <c r="S92" s="140"/>
      <c r="T92" s="140"/>
      <c r="U92" s="258">
        <f>IF(AND(W92&lt;&gt;"", X92&lt;&gt;""), 2, IF(OR(W92&lt;&gt;"", X92&lt;&gt;""), 1, 0))</f>
        <v>2</v>
      </c>
      <c r="V92" s="246" t="str">
        <f>IF(I92="", "未到店",
   IF(M92&lt;&gt;"EDC", "異常",
      IF(OR(AND(Y92="STAR", N92="STAR"), AND(Y92&lt;&gt;"STAR", N92="")), "已完工", "異常")
   )
)</f>
        <v>異常</v>
      </c>
      <c r="W92" s="3" t="s">
        <v>4161</v>
      </c>
      <c r="X92" s="5" t="s">
        <v>4162</v>
      </c>
      <c r="Y92" s="5" t="str">
        <f>IF(U92&gt;0,"STAR","")</f>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IF(I93&gt;0,(TEXT(I93,"yyyymmdd")&amp;$T$3&amp;A93&amp;$T$3&amp;B93&amp;$R$3),"")</f>
        <v>20250502-D022-三重溪尾店(定保)</v>
      </c>
      <c r="I93" s="190">
        <v>45779.628472222219</v>
      </c>
      <c r="J93" s="188" cm="1">
        <f t="array" ref="J93">IFERROR(INDEX(IM!$X$2:$X$650, MATCH(1, (IM!$F$2:$F$650=A93) * (ISNUMBER(SEARCH($C$1, IM!$AC$2:$AC$650))), 0)), "")</f>
        <v>45779.628472222219</v>
      </c>
      <c r="K93" s="159">
        <f>COUNTIFS(IM!F:F,A93,IM!AD:AD,"O",IM!X:X,"&gt;="&amp;$A$1,IM!X:X,"&lt;="&amp;$B$1)</f>
        <v>1</v>
      </c>
      <c r="L93" s="228" t="str" cm="1">
        <f t="array" ref="L93">IF(K93&gt;0,IFERROR(HYPERLINK("#'IM'!AC"&amp;MATCH(1,(IM!$F$1:$F$7700=A93)*(ISNUMBER(SEARCH("PMQ2",IM!$AC$1:$AC$7700))),0),"檢核"),"未登錄"),"")</f>
        <v>檢核</v>
      </c>
      <c r="M93" s="230" t="str" cm="1">
        <f t="array" ref="M93">IF(AND(SUMPRODUCT((IM!F2:F724=A93)*(ISNUMBER(SEARCH("EDC", IM!AC2:AC724))))&gt;0), "EDC", "")</f>
        <v>EDC</v>
      </c>
      <c r="N93" s="264" t="str" cm="1">
        <f t="array" ref="N93">IF(AND(SUMPRODUCT((IM!F2:F724=A93)*(ISNUMBER(SEARCH("STAR", IM!AC2:AC724))))&gt;0), "STAR", "")</f>
        <v>STAR</v>
      </c>
      <c r="O93" s="256" cm="1">
        <f t="array" ref="O93">IFERROR(INDEX(IM!$X$2:$X$650, MATCH(1, (IM!$F$2:$F$650=A93) * (ISNUMBER(SEARCH($D$1, IM!$AC$2:$AC$650))), 0)), "")</f>
        <v>45779.628472222219</v>
      </c>
      <c r="P93" s="191" t="str">
        <f>(TEXT(I93,"yyyymmdd"))&amp;$T$3&amp;A93&amp;$T$3&amp;B93&amp;$R$3</f>
        <v>20250502-D022-三重溪尾店(定保)</v>
      </c>
      <c r="Q93" s="140"/>
      <c r="R93" s="140"/>
      <c r="S93" s="140"/>
      <c r="T93" s="140"/>
      <c r="U93" s="258">
        <f>IF(AND(W93&lt;&gt;"", X93&lt;&gt;""), 2, IF(OR(W93&lt;&gt;"", X93&lt;&gt;""), 1, 0))</f>
        <v>0</v>
      </c>
      <c r="V93" s="246" t="str">
        <f>IF(I93="", "未到店",
   IF(M93&lt;&gt;"EDC", "異常",
      IF(OR(AND(Y93="STAR", N93="STAR"), AND(Y93&lt;&gt;"STAR", N93="")), "已完工", "異常")
   )
)</f>
        <v>異常</v>
      </c>
      <c r="X93" s="5"/>
      <c r="Y93" s="5" t="str">
        <f>IF(U93&gt;0,"STAR","")</f>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20250502-4191-三重溪美店(定保)</v>
      </c>
      <c r="I94" s="190">
        <v>45779.662499999999</v>
      </c>
      <c r="J94" s="188" cm="1">
        <f t="array" ref="J94">IFERROR(INDEX(IM!$X$2:$X$650, MATCH(1, (IM!$F$2:$F$650=A94) * (ISNUMBER(SEARCH($C$1, IM!$AC$2:$AC$650))), 0)), "")</f>
        <v>45779.662499999999</v>
      </c>
      <c r="K94" s="159">
        <f>COUNTIFS(IM!F:F,A94,IM!AD:AD,"O",IM!X:X,"&gt;="&amp;$A$1,IM!X:X,"&lt;="&amp;$B$1)</f>
        <v>1</v>
      </c>
      <c r="L94" s="228" t="str" cm="1">
        <f t="array" ref="L94">IF(K94&gt;0,IFERROR(HYPERLINK("#'IM'!AC"&amp;MATCH(1,(IM!$F$1:$F$7700=A94)*(ISNUMBER(SEARCH("PMQ2",IM!$AC$1:$AC$7700))),0),"檢核"),"未登錄"),"")</f>
        <v>檢核</v>
      </c>
      <c r="M94" s="230" t="str" cm="1">
        <f t="array" ref="M94">IF(AND(SUMPRODUCT((IM!F2:F652=A94)*(ISNUMBER(SEARCH("EDC", IM!AC2:AC652))))&gt;0), "EDC", "")</f>
        <v>EDC</v>
      </c>
      <c r="N94" s="264" t="str" cm="1">
        <f t="array" ref="N94">IF(AND(SUMPRODUCT((IM!F2:F652=A94)*(ISNUMBER(SEARCH("STAR", IM!AC2:AC652))))&gt;0), "STAR", "")</f>
        <v/>
      </c>
      <c r="O94" s="256" t="str" cm="1">
        <f t="array" ref="O94">IFERROR(INDEX(IM!$X$2:$X$650, MATCH(1, (IM!$F$2:$F$650=A94) * (ISNUMBER(SEARCH($D$1, IM!$AC$2:$AC$650))), 0)), "")</f>
        <v/>
      </c>
      <c r="P94" s="191" t="str">
        <f>(TEXT(I94,"yyyymmdd"))&amp;$T$3&amp;A94&amp;$T$3&amp;B94&amp;$R$3</f>
        <v>20250502-4191-三重溪美店(定保)</v>
      </c>
      <c r="Q94" s="267"/>
      <c r="R94" s="267"/>
      <c r="S94" s="267"/>
      <c r="T94" s="267"/>
      <c r="U94" s="258">
        <f>IF(AND(W94&lt;&gt;"", X94&lt;&gt;""), 2, IF(OR(W94&lt;&gt;"", X94&lt;&gt;""), 1, 0))</f>
        <v>2</v>
      </c>
      <c r="V94" s="246" t="str">
        <f>IF(I94="", "未到店",
   IF(M94&lt;&gt;"EDC", "異常",
      IF(OR(AND(Y94="STAR", N94="STAR"), AND(Y94&lt;&gt;"STAR", N94="")), "已完工", "異常")
   )
)</f>
        <v>異常</v>
      </c>
      <c r="W94" s="3" t="s">
        <v>4149</v>
      </c>
      <c r="X94" s="5" t="s">
        <v>4150</v>
      </c>
      <c r="Y94" s="5" t="str">
        <f>IF(U94&gt;0,"STAR","")</f>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IF(I95&gt;0,(TEXT(I95,"yyyymmdd")&amp;$T$3&amp;A95&amp;$T$3&amp;B95&amp;$R$3),"")</f>
        <v>20250502-4586-三重三文店(定保)</v>
      </c>
      <c r="I95" s="190">
        <v>45779.697222222225</v>
      </c>
      <c r="J95" s="188" cm="1">
        <f t="array" ref="J95">IFERROR(INDEX(IM!$X$2:$X$650, MATCH(1, (IM!$F$2:$F$650=A95) * (ISNUMBER(SEARCH($C$1, IM!$AC$2:$AC$650))), 0)), "")</f>
        <v>45779.697222222225</v>
      </c>
      <c r="K95" s="159">
        <f>COUNTIFS(IM!F:F,A95,IM!AD:AD,"O",IM!X:X,"&gt;="&amp;$A$1,IM!X:X,"&lt;="&amp;$B$1)</f>
        <v>1</v>
      </c>
      <c r="L95" s="228" t="str" cm="1">
        <f t="array" ref="L95">IF(K95&gt;0,IFERROR(HYPERLINK("#'IM'!AC"&amp;MATCH(1,(IM!$F$1:$F$7700=A95)*(ISNUMBER(SEARCH("PMQ2",IM!$AC$1:$AC$7700))),0),"檢核"),"未登錄"),"")</f>
        <v>檢核</v>
      </c>
      <c r="M95" s="230" t="str" cm="1">
        <f t="array" ref="M95">IF(AND(SUMPRODUCT((IM!F2:F690=A95)*(ISNUMBER(SEARCH("EDC", IM!AC2:AC690))))&gt;0), "EDC", "")</f>
        <v>EDC</v>
      </c>
      <c r="N95" s="264" t="str" cm="1">
        <f t="array" ref="N95">IF(AND(SUMPRODUCT((IM!F2:F690=A95)*(ISNUMBER(SEARCH("STAR", IM!AC2:AC690))))&gt;0), "STAR", "")</f>
        <v/>
      </c>
      <c r="O95" s="256" t="str" cm="1">
        <f t="array" ref="O95">IFERROR(INDEX(IM!$X$2:$X$650, MATCH(1, (IM!$F$2:$F$650=A95) * (ISNUMBER(SEARCH($D$1, IM!$AC$2:$AC$650))), 0)), "")</f>
        <v/>
      </c>
      <c r="P95" s="191" t="str">
        <f>(TEXT(I95,"yyyymmdd"))&amp;$T$3&amp;A95&amp;$T$3&amp;B95&amp;$R$3</f>
        <v>20250502-4586-三重三文店(定保)</v>
      </c>
      <c r="Q95" s="140"/>
      <c r="R95" s="140"/>
      <c r="S95" s="140"/>
      <c r="T95" s="140"/>
      <c r="U95" s="258">
        <f>IF(AND(W95&lt;&gt;"", X95&lt;&gt;""), 2, IF(OR(W95&lt;&gt;"", X95&lt;&gt;""), 1, 0))</f>
        <v>0</v>
      </c>
      <c r="V95" s="246" t="str">
        <f>IF(I95="", "未到店",
   IF(M95&lt;&gt;"EDC", "異常",
      IF(OR(AND(Y95="STAR", N95="STAR"), AND(Y95&lt;&gt;"STAR", N95="")), "已完工", "異常")
   )
)</f>
        <v>已完工</v>
      </c>
      <c r="X95" s="5"/>
      <c r="Y95" s="5" t="str">
        <f>IF(U95&gt;0,"STAR","")</f>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IF(I96&gt;0,(TEXT(I96,"yyyymmdd")&amp;$T$3&amp;A96&amp;$T$3&amp;B96&amp;$R$3),"")</f>
        <v>20250505-2349-三重永福店(定保)</v>
      </c>
      <c r="I96" s="190">
        <v>45782.470138888886</v>
      </c>
      <c r="J96" s="188" cm="1">
        <f t="array" ref="J96">IFERROR(INDEX(IM!$X$2:$X$650, MATCH(1, (IM!$F$2:$F$650=A96) * (ISNUMBER(SEARCH($C$1, IM!$AC$2:$AC$650))), 0)), "")</f>
        <v>45782.470138888886</v>
      </c>
      <c r="K96" s="159">
        <f>COUNTIFS(IM!F:F,A96,IM!AD:AD,"O",IM!X:X,"&gt;="&amp;$A$1,IM!X:X,"&lt;="&amp;$B$1)</f>
        <v>1</v>
      </c>
      <c r="L96" s="228" t="str" cm="1">
        <f t="array" ref="L96">IF(K96&gt;0,IFERROR(HYPERLINK("#'IM'!AC"&amp;MATCH(1,(IM!$F$1:$F$7700=A96)*(ISNUMBER(SEARCH("PMQ2",IM!$AC$1:$AC$7700))),0),"檢核"),"未登錄"),"")</f>
        <v>檢核</v>
      </c>
      <c r="M96" s="230" t="str" cm="1">
        <f t="array" ref="M96">IF(AND(SUMPRODUCT((IM!F2:F769=A96)*(ISNUMBER(SEARCH("EDC", IM!AC2:AC769))))&gt;0), "EDC", "")</f>
        <v>EDC</v>
      </c>
      <c r="N96" s="264" t="str" cm="1">
        <f t="array" ref="N96">IF(AND(SUMPRODUCT((IM!F2:F769=A96)*(ISNUMBER(SEARCH("STAR", IM!AC2:AC769))))&gt;0), "STAR", "")</f>
        <v/>
      </c>
      <c r="O96" s="256" t="str" cm="1">
        <f t="array" ref="O96">IFERROR(INDEX(IM!$X$2:$X$650, MATCH(1, (IM!$F$2:$F$650=A96) * (ISNUMBER(SEARCH($D$1, IM!$AC$2:$AC$650))), 0)), "")</f>
        <v/>
      </c>
      <c r="P96" s="191" t="str">
        <f>(TEXT(I96,"yyyymmdd"))&amp;$T$3&amp;A96&amp;$T$3&amp;B96&amp;$R$3</f>
        <v>20250505-2349-三重永福店(定保)</v>
      </c>
      <c r="Q96" s="140"/>
      <c r="R96" s="140"/>
      <c r="S96" s="140"/>
      <c r="T96" s="140"/>
      <c r="U96" s="258">
        <f>IF(AND(W96&lt;&gt;"", X96&lt;&gt;""), 2, IF(OR(W96&lt;&gt;"", X96&lt;&gt;""), 1, 0))</f>
        <v>2</v>
      </c>
      <c r="V96" s="246" t="str">
        <f>IF(I96="", "未到店",
   IF(M96&lt;&gt;"EDC", "異常",
      IF(OR(AND(Y96="STAR", N96="STAR"), AND(Y96&lt;&gt;"STAR", N96="")), "已完工", "異常")
   )
)</f>
        <v>異常</v>
      </c>
      <c r="W96" s="3" t="s">
        <v>4301</v>
      </c>
      <c r="X96" s="5" t="s">
        <v>4302</v>
      </c>
      <c r="Y96" s="5" t="str">
        <f>IF(U96&gt;0,"STAR","")</f>
        <v>STAR</v>
      </c>
    </row>
    <row r="97" spans="1:25" ht="15.75" customHeight="1">
      <c r="A97" s="179">
        <v>3362</v>
      </c>
      <c r="B97" s="180" t="str">
        <f>VLOOKUP(A97,'0919門市清單主檔'!B:C,2,FALSE)</f>
        <v>北縣重武店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IF(I97&gt;0,(TEXT(I97,"yyyymmdd")&amp;$T$3&amp;A97&amp;$T$3&amp;B97&amp;$R$3),"")</f>
        <v>-3362-北縣重武店(定保)</v>
      </c>
      <c r="I97" s="190" t="s">
        <v>1746</v>
      </c>
      <c r="J97" s="188" t="str" cm="1">
        <f t="array" ref="J97">IFERROR(INDEX(IM!$X$2:$X$650, MATCH(1, (IM!$F$2:$F$650=A97) * (ISNUMBER(SEARCH($C$1, IM!$AC$2:$AC$650))), 0)), "")</f>
        <v/>
      </c>
      <c r="K97" s="159">
        <f>COUNTIFS(IM!F:F,A97,IM!AD:AD,"O",IM!X:X,"&gt;="&amp;$A$1,IM!X:X,"&lt;="&amp;$B$1)</f>
        <v>0</v>
      </c>
      <c r="L97" s="228" t="str" cm="1">
        <f t="array" ref="L97">IF(K97&gt;0,IFERROR(HYPERLINK("#'IM'!AC"&amp;MATCH(1,(IM!$F$1:$F$7700=A97)*(ISNUMBER(SEARCH("PMQ2",IM!$AC$1:$AC$7700))),0),"檢核"),"未登錄"),"")</f>
        <v/>
      </c>
      <c r="M97" s="230" t="str" cm="1">
        <f t="array" ref="M97">IF(AND(SUMPRODUCT((IM!F2:F650=A97)*(ISNUMBER(SEARCH("EDC", IM!AC2:AC650))))&gt;0), "EDC", "")</f>
        <v/>
      </c>
      <c r="N97" s="264" t="str" cm="1">
        <f t="array" ref="N97">IF(AND(SUMPRODUCT((IM!F2:F650=A97)*(ISNUMBER(SEARCH("STAR", IM!AC2:AC650))))&gt;0), "STAR", "")</f>
        <v/>
      </c>
      <c r="O97" s="256" t="str" cm="1">
        <f t="array" ref="O97">IFERROR(INDEX(IM!$X$2:$X$650, MATCH(1, (IM!$F$2:$F$650=A97) * (ISNUMBER(SEARCH($D$1, IM!$AC$2:$AC$650))), 0)), "")</f>
        <v/>
      </c>
      <c r="P97" s="191" t="str">
        <f>(TEXT(I97,"yyyymmdd"))&amp;$T$3&amp;A97&amp;$T$3&amp;B97&amp;$R$3</f>
        <v>-3362-北縣重武店(定保)</v>
      </c>
      <c r="Q97" s="267"/>
      <c r="R97" s="267"/>
      <c r="S97" s="267"/>
      <c r="T97" s="267"/>
      <c r="U97" s="258">
        <f>IF(AND(W97&lt;&gt;"", X97&lt;&gt;""), 2, IF(OR(W97&lt;&gt;"", X97&lt;&gt;""), 1, 0))</f>
        <v>1</v>
      </c>
      <c r="V97" s="246" t="str">
        <f>IF(I97="", "未到店",
   IF(M97&lt;&gt;"EDC", "異常",
      IF(OR(AND(Y97="STAR", N97="STAR"), AND(Y97&lt;&gt;"STAR", N97="")), "已完工", "異常")
   )
)</f>
        <v>未到店</v>
      </c>
      <c r="W97" s="268"/>
      <c r="X97" s="269" t="s">
        <v>4146</v>
      </c>
      <c r="Y97" s="5" t="str">
        <f>IF(U97&gt;0,"STAR","")</f>
        <v>STAR</v>
      </c>
    </row>
    <row r="98" spans="1:25" ht="15.75" customHeight="1">
      <c r="A98" s="179">
        <v>3890</v>
      </c>
      <c r="B98" s="180" t="str">
        <f>VLOOKUP(A98,'0919門市清單主檔'!B:C,2,FALSE)</f>
        <v>三重美堤店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IF(I98&gt;0,(TEXT(I98,"yyyymmdd")&amp;$T$3&amp;A98&amp;$T$3&amp;B98&amp;$R$3),"")</f>
        <v>-3890-三重美堤店(定保)</v>
      </c>
      <c r="I98" s="190" t="s">
        <v>1746</v>
      </c>
      <c r="J98" s="188" t="str" cm="1">
        <f t="array" ref="J98">IFERROR(INDEX(IM!$X$2:$X$650, MATCH(1, (IM!$F$2:$F$650=A98) * (ISNUMBER(SEARCH($C$1, IM!$AC$2:$AC$650))), 0)), "")</f>
        <v/>
      </c>
      <c r="K98" s="159">
        <f>COUNTIFS(IM!F:F,A98,IM!AD:AD,"O",IM!X:X,"&gt;="&amp;$A$1,IM!X:X,"&lt;="&amp;$B$1)</f>
        <v>0</v>
      </c>
      <c r="L98" s="228" t="str" cm="1">
        <f t="array" ref="L98">IF(K98&gt;0,IFERROR(HYPERLINK("#'IM'!AC"&amp;MATCH(1,(IM!$F$1:$F$7700=A98)*(ISNUMBER(SEARCH("PMQ2",IM!$AC$1:$AC$7700))),0),"檢核"),"未登錄"),"")</f>
        <v/>
      </c>
      <c r="M98" s="230" t="str" cm="1">
        <f t="array" ref="M98">IF(AND(SUMPRODUCT((IM!F2:F651=A98)*(ISNUMBER(SEARCH("EDC", IM!AC2:AC651))))&gt;0), "EDC", "")</f>
        <v/>
      </c>
      <c r="N98" s="264" t="str" cm="1">
        <f t="array" ref="N98">IF(AND(SUMPRODUCT((IM!F2:F651=A98)*(ISNUMBER(SEARCH("STAR", IM!AC2:AC651))))&gt;0), "STAR", "")</f>
        <v/>
      </c>
      <c r="O98" s="256" t="str" cm="1">
        <f t="array" ref="O98">IFERROR(INDEX(IM!$X$2:$X$650, MATCH(1, (IM!$F$2:$F$650=A98) * (ISNUMBER(SEARCH($D$1, IM!$AC$2:$AC$650))), 0)), "")</f>
        <v/>
      </c>
      <c r="P98" s="191" t="str">
        <f>(TEXT(I98,"yyyymmdd"))&amp;$T$3&amp;A98&amp;$T$3&amp;B98&amp;$R$3</f>
        <v>-3890-三重美堤店(定保)</v>
      </c>
      <c r="Q98" s="267"/>
      <c r="R98" s="267"/>
      <c r="S98" s="267"/>
      <c r="T98" s="267"/>
      <c r="U98" s="258">
        <f>IF(AND(W98&lt;&gt;"", X98&lt;&gt;""), 2, IF(OR(W98&lt;&gt;"", X98&lt;&gt;""), 1, 0))</f>
        <v>2</v>
      </c>
      <c r="V98" s="246" t="str">
        <f>IF(I98="", "未到店",
   IF(M98&lt;&gt;"EDC", "異常",
      IF(OR(AND(Y98="STAR", N98="STAR"), AND(Y98&lt;&gt;"STAR", N98="")), "已完工", "異常")
   )
)</f>
        <v>未到店</v>
      </c>
      <c r="W98" s="3" t="s">
        <v>4147</v>
      </c>
      <c r="X98" s="5" t="s">
        <v>4148</v>
      </c>
      <c r="Y98" s="5" t="str">
        <f>IF(U98&gt;0,"STAR","")</f>
        <v>STAR</v>
      </c>
    </row>
    <row r="99" spans="1:25" ht="15.75" customHeight="1">
      <c r="A99" s="179">
        <v>5245</v>
      </c>
      <c r="B99" s="180" t="str">
        <f>VLOOKUP(A99,'0919門市清單主檔'!B:C,2,FALSE)</f>
        <v>三重護山店</v>
      </c>
      <c r="C99" s="181" t="str">
        <f>VLOOKUP($A99,'0919門市清單主檔'!B:V,20,FALSE)</f>
        <v>新北市</v>
      </c>
      <c r="D99" s="182" t="str">
        <f>VLOOKUP($A99,'0919門市清單主檔'!B:V,21,FALSE)</f>
        <v>三重區</v>
      </c>
      <c r="E99" s="183" t="str">
        <f>VLOOKUP(D99,區域表!A:B,2,FALSE)</f>
        <v>吳宗鴻</v>
      </c>
      <c r="F99" s="184" t="str">
        <f>IFERROR(IF(VLOOKUP(A99,門市狀態!A:D,4,FALSE)=0,"",VLOOKUP(A99,門市狀態!A:D,4,FALSE)),"")</f>
        <v/>
      </c>
      <c r="G99" s="185" t="s">
        <v>1746</v>
      </c>
      <c r="H99" s="186" t="str">
        <f>IF(I99&gt;0,(TEXT(I99,"yyyymmdd")&amp;$T$3&amp;A99&amp;$T$3&amp;B99&amp;$R$3),"")</f>
        <v>-5245-三重護山店(定保)</v>
      </c>
      <c r="I99" s="190" t="s">
        <v>1746</v>
      </c>
      <c r="J99" s="188" t="str" cm="1">
        <f t="array" ref="J99">IFERROR(INDEX(IM!$X$2:$X$650, MATCH(1, (IM!$F$2:$F$650=A99) * (ISNUMBER(SEARCH($C$1, IM!$AC$2:$AC$650))), 0)), "")</f>
        <v/>
      </c>
      <c r="K99" s="159">
        <f>COUNTIFS(IM!F:F,A99,IM!AD:AD,"O",IM!X:X,"&gt;="&amp;$A$1,IM!X:X,"&lt;="&amp;$B$1)</f>
        <v>0</v>
      </c>
      <c r="L99" s="228" t="str" cm="1">
        <f t="array" ref="L99">IF(K99&gt;0,IFERROR(HYPERLINK("#'IM'!AC"&amp;MATCH(1,(IM!$F$1:$F$7700=A99)*(ISNUMBER(SEARCH("PMQ2",IM!$AC$1:$AC$7700))),0),"檢核"),"未登錄"),"")</f>
        <v/>
      </c>
      <c r="M99" s="230" t="str" cm="1">
        <f t="array" ref="M99">IF(AND(SUMPRODUCT((IM!F2:F653=A99)*(ISNUMBER(SEARCH("EDC", IM!AC2:AC653))))&gt;0), "EDC", "")</f>
        <v/>
      </c>
      <c r="N99" s="264" t="str" cm="1">
        <f t="array" ref="N99">IF(AND(SUMPRODUCT((IM!F2:F653=A99)*(ISNUMBER(SEARCH("STAR", IM!AC2:AC653))))&gt;0), "STAR", "")</f>
        <v/>
      </c>
      <c r="O99" s="256" t="str" cm="1">
        <f t="array" ref="O99">IFERROR(INDEX(IM!$X$2:$X$650, MATCH(1, (IM!$F$2:$F$650=A99) * (ISNUMBER(SEARCH($D$1, IM!$AC$2:$AC$650))), 0)), "")</f>
        <v/>
      </c>
      <c r="P99" s="191" t="str">
        <f>(TEXT(I99,"yyyymmdd"))&amp;$T$3&amp;A99&amp;$T$3&amp;B99&amp;$R$3</f>
        <v>-5245-三重護山店(定保)</v>
      </c>
      <c r="Q99" s="140"/>
      <c r="R99" s="140"/>
      <c r="S99" s="140"/>
      <c r="T99" s="140"/>
      <c r="U99" s="258">
        <f>IF(AND(W99&lt;&gt;"", X99&lt;&gt;""), 2, IF(OR(W99&lt;&gt;"", X99&lt;&gt;""), 1, 0))</f>
        <v>0</v>
      </c>
      <c r="V99" s="246" t="str">
        <f>IF(I99="", "未到店",
   IF(M99&lt;&gt;"EDC", "異常",
      IF(OR(AND(Y99="STAR", N99="STAR"), AND(Y99&lt;&gt;"STAR", N99="")), "已完工", "異常")
   )
)</f>
        <v>未到店</v>
      </c>
      <c r="X99" s="5"/>
      <c r="Y99" s="5" t="str">
        <f>IF(U99&gt;0,"STAR","")</f>
        <v/>
      </c>
    </row>
    <row r="100" spans="1:25" ht="15.75" customHeight="1">
      <c r="A100" s="179" t="s">
        <v>34</v>
      </c>
      <c r="B100" s="180" t="str">
        <f>VLOOKUP(A100,'0919門市清單主檔'!B:C,2,FALSE)</f>
        <v>板橋寶翠店</v>
      </c>
      <c r="C100" s="181" t="str">
        <f>VLOOKUP($A100,'0919門市清單主檔'!B:V,20,FALSE)</f>
        <v>新北市</v>
      </c>
      <c r="D100" s="182" t="str">
        <f>VLOOKUP($A100,'0919門市清單主檔'!B:V,21,FALSE)</f>
        <v>板橋區</v>
      </c>
      <c r="E100" s="183" t="str">
        <f>VLOOKUP(D100,區域表!A:B,2,FALSE)</f>
        <v>狄澤洋</v>
      </c>
      <c r="F100" s="184" t="str">
        <f>IFERROR(IF(VLOOKUP(A100,門市狀態!A:D,4,FALSE)=0,"",VLOOKUP(A100,門市狀態!A:D,4,FALSE)),"")</f>
        <v/>
      </c>
      <c r="G100" s="185" t="s">
        <v>1746</v>
      </c>
      <c r="H100" s="186" t="str">
        <f>IF(I100&gt;0,(TEXT(I100,"yyyymmdd")&amp;$T$3&amp;A100&amp;$T$3&amp;B100&amp;$R$3),"")</f>
        <v>-D767-板橋寶翠店(定保)</v>
      </c>
      <c r="I100" s="190" t="s">
        <v>1746</v>
      </c>
      <c r="J100" s="188" t="str" cm="1">
        <f t="array" ref="J100">IFERROR(INDEX(IM!$X$2:$X$650, MATCH(1, (IM!$F$2:$F$650=A100) * (ISNUMBER(SEARCH($C$1, IM!$AC$2:$AC$650))), 0)), "")</f>
        <v/>
      </c>
      <c r="K100" s="159">
        <f>COUNTIFS(IM!F:F,A100,IM!AD:AD,"O",IM!X:X,"&gt;="&amp;$A$1,IM!X:X,"&lt;="&amp;$B$1)</f>
        <v>0</v>
      </c>
      <c r="L100" s="228" t="str" cm="1">
        <f t="array" ref="L100">IF(K100&gt;0,IFERROR(HYPERLINK("#'IM'!AC"&amp;MATCH(1,(IM!$F$1:$F$7700=A100)*(ISNUMBER(SEARCH("PMQ2",IM!$AC$1:$AC$7700))),0),"檢核"),"未登錄"),"")</f>
        <v/>
      </c>
      <c r="M100" s="230" t="str" cm="1">
        <f t="array" ref="M100">IF(AND(SUMPRODUCT((IM!F2:F658=A100)*(ISNUMBER(SEARCH("EDC", IM!AC2:AC658))))&gt;0), "EDC", "")</f>
        <v/>
      </c>
      <c r="N100" s="264" t="str" cm="1">
        <f t="array" ref="N100">IF(AND(SUMPRODUCT((IM!F2:F658=A100)*(ISNUMBER(SEARCH("STAR", IM!AC2:AC658))))&gt;0), "STAR", "")</f>
        <v/>
      </c>
      <c r="O100" s="256" t="str" cm="1">
        <f t="array" ref="O100">IFERROR(INDEX(IM!$X$2:$X$650, MATCH(1, (IM!$F$2:$F$650=A100) * (ISNUMBER(SEARCH($D$1, IM!$AC$2:$AC$650))), 0)), "")</f>
        <v/>
      </c>
      <c r="P100" s="191" t="str">
        <f>(TEXT(I100,"yyyymmdd"))&amp;$T$3&amp;A100&amp;$T$3&amp;B100&amp;$R$3</f>
        <v>-D767-板橋寶翠店(定保)</v>
      </c>
      <c r="Q100" s="140"/>
      <c r="R100" s="140"/>
      <c r="S100" s="140"/>
      <c r="T100" s="140"/>
      <c r="U100" s="258">
        <f>IF(AND(W100&lt;&gt;"", X100&lt;&gt;""), 2, IF(OR(W100&lt;&gt;"", X100&lt;&gt;""), 1, 0))</f>
        <v>2</v>
      </c>
      <c r="V100" s="246" t="str">
        <f>IF(I100="", "未到店",
   IF(M100&lt;&gt;"EDC", "異常",
      IF(OR(AND(Y100="STAR", N100="STAR"), AND(Y100&lt;&gt;"STAR", N100="")), "已完工", "異常")
   )
)</f>
        <v>未到店</v>
      </c>
      <c r="W100" s="3" t="s">
        <v>4158</v>
      </c>
      <c r="X100" s="5" t="s">
        <v>4159</v>
      </c>
      <c r="Y100" s="5" t="str">
        <f>IF(U100&gt;0,"STAR","")</f>
        <v>STAR</v>
      </c>
    </row>
    <row r="101" spans="1:25" ht="15.75" customHeight="1">
      <c r="A101" s="179">
        <v>4036</v>
      </c>
      <c r="B101" s="180" t="str">
        <f>VLOOKUP(A101,'0919門市清單主檔'!B:C,2,FALSE)</f>
        <v>蘆洲永樂店</v>
      </c>
      <c r="C101" s="181" t="str">
        <f>VLOOKUP($A101,'0919門市清單主檔'!B:V,20,FALSE)</f>
        <v>新北市</v>
      </c>
      <c r="D101" s="182" t="str">
        <f>VLOOKUP($A101,'0919門市清單主檔'!B:V,21,FALSE)</f>
        <v>蘆洲區</v>
      </c>
      <c r="E101" s="183" t="str">
        <f>VLOOKUP(D101,區域表!A:B,2,FALSE)</f>
        <v>吳宗鴻</v>
      </c>
      <c r="F101" s="184" t="str">
        <f>IFERROR(IF(VLOOKUP(A101,門市狀態!A:D,4,FALSE)=0,"",VLOOKUP(A101,門市狀態!A:D,4,FALSE)),"")</f>
        <v/>
      </c>
      <c r="G101" s="185" t="s">
        <v>1746</v>
      </c>
      <c r="H101" s="186" t="str">
        <f>IF(I101&gt;0,(TEXT(I101,"yyyymmdd")&amp;$T$3&amp;A101&amp;$T$3&amp;B101&amp;$R$3),"")</f>
        <v>-4036-蘆洲永樂店(定保)</v>
      </c>
      <c r="I101" s="190" t="s">
        <v>1746</v>
      </c>
      <c r="J101" s="188" t="str" cm="1">
        <f t="array" ref="J101">IFERROR(INDEX(IM!$X$2:$X$650, MATCH(1, (IM!$F$2:$F$650=A101) * (ISNUMBER(SEARCH($C$1, IM!$AC$2:$AC$650))), 0)), "")</f>
        <v/>
      </c>
      <c r="K101" s="159">
        <f>COUNTIFS(IM!F:F,A101,IM!AD:AD,"O",IM!X:X,"&gt;="&amp;$A$1,IM!X:X,"&lt;="&amp;$B$1)</f>
        <v>0</v>
      </c>
      <c r="L101" s="228" t="str" cm="1">
        <f t="array" ref="L101">IF(K101&gt;0,IFERROR(HYPERLINK("#'IM'!AC"&amp;MATCH(1,(IM!$F$1:$F$7700=A101)*(ISNUMBER(SEARCH("PMQ2",IM!$AC$1:$AC$7700))),0),"檢核"),"未登錄"),"")</f>
        <v/>
      </c>
      <c r="M101" s="230" t="str" cm="1">
        <f t="array" ref="M101">IF(AND(SUMPRODUCT((IM!F2:F659=A101)*(ISNUMBER(SEARCH("EDC", IM!AC2:AC659))))&gt;0), "EDC", "")</f>
        <v/>
      </c>
      <c r="N101" s="264" t="str" cm="1">
        <f t="array" ref="N101">IF(AND(SUMPRODUCT((IM!F2:F659=A101)*(ISNUMBER(SEARCH("STAR", IM!AC2:AC659))))&gt;0), "STAR", "")</f>
        <v/>
      </c>
      <c r="O101" s="256" t="str" cm="1">
        <f t="array" ref="O101">IFERROR(INDEX(IM!$X$2:$X$650, MATCH(1, (IM!$F$2:$F$650=A101) * (ISNUMBER(SEARCH($D$1, IM!$AC$2:$AC$650))), 0)), "")</f>
        <v/>
      </c>
      <c r="P101" s="191" t="str">
        <f>(TEXT(I101,"yyyymmdd"))&amp;$T$3&amp;A101&amp;$T$3&amp;B101&amp;$R$3</f>
        <v>-4036-蘆洲永樂店(定保)</v>
      </c>
      <c r="Q101" s="140"/>
      <c r="R101" s="140"/>
      <c r="S101" s="140"/>
      <c r="T101" s="140"/>
      <c r="U101" s="258">
        <f>IF(AND(W101&lt;&gt;"", X101&lt;&gt;""), 2, IF(OR(W101&lt;&gt;"", X101&lt;&gt;""), 1, 0))</f>
        <v>1</v>
      </c>
      <c r="V101" s="246" t="str">
        <f>IF(I101="", "未到店",
   IF(M101&lt;&gt;"EDC", "異常",
      IF(OR(AND(Y101="STAR", N101="STAR"), AND(Y101&lt;&gt;"STAR", N101="")), "已完工", "異常")
   )
)</f>
        <v>未到店</v>
      </c>
      <c r="W101" s="3" t="s">
        <v>4160</v>
      </c>
      <c r="X101" s="5"/>
      <c r="Y101" s="5" t="str">
        <f>IF(U101&gt;0,"STAR","")</f>
        <v>STAR</v>
      </c>
    </row>
    <row r="102" spans="1:25" ht="15.75" customHeight="1">
      <c r="A102" s="179">
        <v>3380</v>
      </c>
      <c r="B102" s="180" t="str">
        <f>VLOOKUP(A102,'0919門市清單主檔'!B:C,2,FALSE)</f>
        <v>北縣莊勝店</v>
      </c>
      <c r="C102" s="181" t="str">
        <f>VLOOKUP($A102,'0919門市清單主檔'!B:V,20,FALSE)</f>
        <v>新北市</v>
      </c>
      <c r="D102" s="182" t="str">
        <f>VLOOKUP($A102,'0919門市清單主檔'!B:V,21,FALSE)</f>
        <v>新莊區</v>
      </c>
      <c r="E102" s="183" t="str">
        <f>VLOOKUP(D102,區域表!A:B,2,FALSE)</f>
        <v>湯家瑋</v>
      </c>
      <c r="F102" s="184" t="str">
        <f>IFERROR(IF(VLOOKUP(A102,門市狀態!A:D,4,FALSE)=0,"",VLOOKUP(A102,門市狀態!A:D,4,FALSE)),"")</f>
        <v/>
      </c>
      <c r="G102" s="185" t="s">
        <v>1746</v>
      </c>
      <c r="H102" s="186" t="str">
        <f>IF(I102&gt;0,(TEXT(I102,"yyyymmdd")&amp;$T$3&amp;A102&amp;$T$3&amp;B102&amp;$R$3),"")</f>
        <v>-3380-北縣莊勝店(定保)</v>
      </c>
      <c r="I102" s="190" t="s">
        <v>1746</v>
      </c>
      <c r="J102" s="188" t="str" cm="1">
        <f t="array" ref="J102">IFERROR(INDEX(IM!$X$2:$X$650, MATCH(1, (IM!$F$2:$F$650=A102) * (ISNUMBER(SEARCH($C$1, IM!$AC$2:$AC$650))), 0)), "")</f>
        <v/>
      </c>
      <c r="K102" s="159">
        <f>COUNTIFS(IM!F:F,A102,IM!AD:AD,"O",IM!X:X,"&gt;="&amp;$A$1,IM!X:X,"&lt;="&amp;$B$1)</f>
        <v>0</v>
      </c>
      <c r="L102" s="228" t="str" cm="1">
        <f t="array" ref="L102">IF(K102&gt;0,IFERROR(HYPERLINK("#'IM'!AC"&amp;MATCH(1,(IM!$F$1:$F$7700=A102)*(ISNUMBER(SEARCH("PMQ2",IM!$AC$1:$AC$7700))),0),"檢核"),"未登錄"),"")</f>
        <v/>
      </c>
      <c r="M102" s="230" t="str" cm="1">
        <f t="array" ref="M102">IF(AND(SUMPRODUCT((IM!F2:F661=A102)*(ISNUMBER(SEARCH("EDC", IM!AC2:AC661))))&gt;0), "EDC", "")</f>
        <v/>
      </c>
      <c r="N102" s="264" t="str" cm="1">
        <f t="array" ref="N102">IF(AND(SUMPRODUCT((IM!F2:F661=A102)*(ISNUMBER(SEARCH("STAR", IM!AC2:AC661))))&gt;0), "STAR", "")</f>
        <v/>
      </c>
      <c r="O102" s="256" t="str" cm="1">
        <f t="array" ref="O102">IFERROR(INDEX(IM!$X$2:$X$650, MATCH(1, (IM!$F$2:$F$650=A102) * (ISNUMBER(SEARCH($D$1, IM!$AC$2:$AC$650))), 0)), "")</f>
        <v/>
      </c>
      <c r="P102" s="191" t="str">
        <f>(TEXT(I102,"yyyymmdd"))&amp;$T$3&amp;A102&amp;$T$3&amp;B102&amp;$R$3</f>
        <v>-3380-北縣莊勝店(定保)</v>
      </c>
      <c r="Q102" s="140"/>
      <c r="R102" s="140"/>
      <c r="S102" s="140"/>
      <c r="T102" s="140"/>
      <c r="U102" s="258">
        <f>IF(AND(W102&lt;&gt;"", X102&lt;&gt;""), 2, IF(OR(W102&lt;&gt;"", X102&lt;&gt;""), 1, 0))</f>
        <v>1</v>
      </c>
      <c r="V102" s="246" t="str">
        <f>IF(I102="", "未到店",
   IF(M102&lt;&gt;"EDC", "異常",
      IF(OR(AND(Y102="STAR", N102="STAR"), AND(Y102&lt;&gt;"STAR", N102="")), "已完工", "異常")
   )
)</f>
        <v>未到店</v>
      </c>
      <c r="X102" s="5" t="s">
        <v>4163</v>
      </c>
      <c r="Y102" s="5" t="str">
        <f>IF(U102&gt;0,"STAR","")</f>
        <v>STAR</v>
      </c>
    </row>
    <row r="103" spans="1:25" ht="15.75" customHeight="1">
      <c r="A103" s="179" t="s">
        <v>17</v>
      </c>
      <c r="B103" s="180" t="str">
        <f>VLOOKUP(A103,'0919門市清單主檔'!B:C,2,FALSE)</f>
        <v>蘆洲權義店</v>
      </c>
      <c r="C103" s="181" t="str">
        <f>VLOOKUP($A103,'0919門市清單主檔'!B:V,20,FALSE)</f>
        <v>新北市</v>
      </c>
      <c r="D103" s="182" t="str">
        <f>VLOOKUP($A103,'0919門市清單主檔'!B:V,21,FALSE)</f>
        <v>蘆洲區</v>
      </c>
      <c r="E103" s="183" t="str">
        <f>VLOOKUP(D103,區域表!A:B,2,FALSE)</f>
        <v>吳宗鴻</v>
      </c>
      <c r="F103" s="184" t="str">
        <f>IFERROR(IF(VLOOKUP(A103,門市狀態!A:D,4,FALSE)=0,"",VLOOKUP(A103,門市狀態!A:D,4,FALSE)),"")</f>
        <v/>
      </c>
      <c r="G103" s="185" t="s">
        <v>1746</v>
      </c>
      <c r="H103" s="186" t="str">
        <f>IF(I103&gt;0,(TEXT(I103,"yyyymmdd")&amp;$T$3&amp;A103&amp;$T$3&amp;B103&amp;$R$3),"")</f>
        <v>-D193-蘆洲權義店(定保)</v>
      </c>
      <c r="I103" s="190" t="s">
        <v>1746</v>
      </c>
      <c r="J103" s="188" t="str" cm="1">
        <f t="array" ref="J103">IFERROR(INDEX(IM!$X$2:$X$650, MATCH(1, (IM!$F$2:$F$650=A103) * (ISNUMBER(SEARCH($C$1, IM!$AC$2:$AC$650))), 0)), "")</f>
        <v/>
      </c>
      <c r="K103" s="159">
        <f>COUNTIFS(IM!F:F,A103,IM!AD:AD,"O",IM!X:X,"&gt;="&amp;$A$1,IM!X:X,"&lt;="&amp;$B$1)</f>
        <v>0</v>
      </c>
      <c r="L103" s="228" t="str" cm="1">
        <f t="array" ref="L103">IF(K103&gt;0,IFERROR(HYPERLINK("#'IM'!AC"&amp;MATCH(1,(IM!$F$1:$F$7700=A103)*(ISNUMBER(SEARCH("PMQ2",IM!$AC$1:$AC$7700))),0),"檢核"),"未登錄"),"")</f>
        <v/>
      </c>
      <c r="M103" s="230" t="str" cm="1">
        <f t="array" ref="M103">IF(AND(SUMPRODUCT((IM!F2:F662=A103)*(ISNUMBER(SEARCH("EDC", IM!AC2:AC662))))&gt;0), "EDC", "")</f>
        <v/>
      </c>
      <c r="N103" s="264" t="str" cm="1">
        <f t="array" ref="N103">IF(AND(SUMPRODUCT((IM!F2:F662=A103)*(ISNUMBER(SEARCH("STAR", IM!AC2:AC662))))&gt;0), "STAR", "")</f>
        <v/>
      </c>
      <c r="O103" s="256" t="str" cm="1">
        <f t="array" ref="O103">IFERROR(INDEX(IM!$X$2:$X$650, MATCH(1, (IM!$F$2:$F$650=A103) * (ISNUMBER(SEARCH($D$1, IM!$AC$2:$AC$650))), 0)), "")</f>
        <v/>
      </c>
      <c r="P103" s="191" t="str">
        <f>(TEXT(I103,"yyyymmdd"))&amp;$T$3&amp;A103&amp;$T$3&amp;B103&amp;$R$3</f>
        <v>-D193-蘆洲權義店(定保)</v>
      </c>
      <c r="Q103" s="140"/>
      <c r="R103" s="140"/>
      <c r="S103" s="140"/>
      <c r="T103" s="140"/>
      <c r="U103" s="258">
        <f>IF(AND(W103&lt;&gt;"", X103&lt;&gt;""), 2, IF(OR(W103&lt;&gt;"", X103&lt;&gt;""), 1, 0))</f>
        <v>2</v>
      </c>
      <c r="V103" s="246" t="str">
        <f>IF(I103="", "未到店",
   IF(M103&lt;&gt;"EDC", "異常",
      IF(OR(AND(Y103="STAR", N103="STAR"), AND(Y103&lt;&gt;"STAR", N103="")), "已完工", "異常")
   )
)</f>
        <v>未到店</v>
      </c>
      <c r="W103" s="3" t="s">
        <v>4164</v>
      </c>
      <c r="X103" s="5" t="s">
        <v>4165</v>
      </c>
      <c r="Y103" s="5" t="str">
        <f>IF(U103&gt;0,"STAR","")</f>
        <v>STAR</v>
      </c>
    </row>
    <row r="104" spans="1:25" ht="15.75" customHeight="1">
      <c r="A104" s="179">
        <v>5082</v>
      </c>
      <c r="B104" s="180" t="str">
        <f>VLOOKUP(A104,'0919門市清單主檔'!B:C,2,FALSE)</f>
        <v>蘆洲水湳店</v>
      </c>
      <c r="C104" s="181" t="str">
        <f>VLOOKUP($A104,'0919門市清單主檔'!B:V,20,FALSE)</f>
        <v>新北市</v>
      </c>
      <c r="D104" s="182" t="str">
        <f>VLOOKUP($A104,'0919門市清單主檔'!B:V,21,FALSE)</f>
        <v>蘆洲區</v>
      </c>
      <c r="E104" s="183" t="str">
        <f>VLOOKUP(D104,區域表!A:B,2,FALSE)</f>
        <v>吳宗鴻</v>
      </c>
      <c r="F104" s="184" t="str">
        <f>IFERROR(IF(VLOOKUP(A104,門市狀態!A:D,4,FALSE)=0,"",VLOOKUP(A104,門市狀態!A:D,4,FALSE)),"")</f>
        <v/>
      </c>
      <c r="G104" s="185" t="s">
        <v>1746</v>
      </c>
      <c r="H104" s="186" t="str">
        <f>IF(I104&gt;0,(TEXT(I104,"yyyymmdd")&amp;$T$3&amp;A104&amp;$T$3&amp;B104&amp;$R$3),"")</f>
        <v>-5082-蘆洲水湳店(定保)</v>
      </c>
      <c r="I104" s="190" t="s">
        <v>1746</v>
      </c>
      <c r="J104" s="188" t="str" cm="1">
        <f t="array" ref="J104">IFERROR(INDEX(IM!$X$2:$X$650, MATCH(1, (IM!$F$2:$F$650=A104) * (ISNUMBER(SEARCH($C$1, IM!$AC$2:$AC$650))), 0)), "")</f>
        <v/>
      </c>
      <c r="K104" s="159">
        <f>COUNTIFS(IM!F:F,A104,IM!AD:AD,"O",IM!X:X,"&gt;="&amp;$A$1,IM!X:X,"&lt;="&amp;$B$1)</f>
        <v>0</v>
      </c>
      <c r="L104" s="228" t="str" cm="1">
        <f t="array" ref="L104">IF(K104&gt;0,IFERROR(HYPERLINK("#'IM'!AC"&amp;MATCH(1,(IM!$F$1:$F$7700=A104)*(ISNUMBER(SEARCH("PMQ2",IM!$AC$1:$AC$7700))),0),"檢核"),"未登錄"),"")</f>
        <v/>
      </c>
      <c r="M104" s="230" t="str" cm="1">
        <f t="array" ref="M104">IF(AND(SUMPRODUCT((IM!F2:F663=A104)*(ISNUMBER(SEARCH("EDC", IM!AC2:AC663))))&gt;0), "EDC", "")</f>
        <v/>
      </c>
      <c r="N104" s="264" t="str" cm="1">
        <f t="array" ref="N104">IF(AND(SUMPRODUCT((IM!F2:F663=A104)*(ISNUMBER(SEARCH("STAR", IM!AC2:AC663))))&gt;0), "STAR", "")</f>
        <v/>
      </c>
      <c r="O104" s="256" t="str" cm="1">
        <f t="array" ref="O104">IFERROR(INDEX(IM!$X$2:$X$650, MATCH(1, (IM!$F$2:$F$650=A104) * (ISNUMBER(SEARCH($D$1, IM!$AC$2:$AC$650))), 0)), "")</f>
        <v/>
      </c>
      <c r="P104" s="191" t="str">
        <f>(TEXT(I104,"yyyymmdd"))&amp;$T$3&amp;A104&amp;$T$3&amp;B104&amp;$R$3</f>
        <v>-5082-蘆洲水湳店(定保)</v>
      </c>
      <c r="Q104" s="140"/>
      <c r="R104" s="140"/>
      <c r="S104" s="140"/>
      <c r="T104" s="140"/>
      <c r="U104" s="258">
        <f>IF(AND(W104&lt;&gt;"", X104&lt;&gt;""), 2, IF(OR(W104&lt;&gt;"", X104&lt;&gt;""), 1, 0))</f>
        <v>0</v>
      </c>
      <c r="V104" s="246" t="str">
        <f>IF(I104="", "未到店",
   IF(M104&lt;&gt;"EDC", "異常",
      IF(OR(AND(Y104="STAR", N104="STAR"), AND(Y104&lt;&gt;"STAR", N104="")), "已完工", "異常")
   )
)</f>
        <v>未到店</v>
      </c>
      <c r="X104" s="5"/>
      <c r="Y104" s="5" t="str">
        <f>IF(U104&gt;0,"STAR","")</f>
        <v/>
      </c>
    </row>
    <row r="105" spans="1:25" ht="15.75" customHeight="1">
      <c r="A105" s="179">
        <v>2301</v>
      </c>
      <c r="B105" s="180" t="str">
        <f>VLOOKUP(A105,'0919門市清單主檔'!B:C,2,FALSE)</f>
        <v>蘆洲樂平店</v>
      </c>
      <c r="C105" s="181" t="str">
        <f>VLOOKUP($A105,'0919門市清單主檔'!B:V,20,FALSE)</f>
        <v>新北市</v>
      </c>
      <c r="D105" s="182" t="str">
        <f>VLOOKUP($A105,'0919門市清單主檔'!B:V,21,FALSE)</f>
        <v>蘆洲區</v>
      </c>
      <c r="E105" s="183" t="str">
        <f>VLOOKUP(D105,區域表!A:B,2,FALSE)</f>
        <v>吳宗鴻</v>
      </c>
      <c r="F105" s="184" t="str">
        <f>IFERROR(IF(VLOOKUP(A105,門市狀態!A:D,4,FALSE)=0,"",VLOOKUP(A105,門市狀態!A:D,4,FALSE)),"")</f>
        <v/>
      </c>
      <c r="G105" s="185" t="s">
        <v>1746</v>
      </c>
      <c r="H105" s="186" t="str">
        <f>IF(I105&gt;0,(TEXT(I105,"yyyymmdd")&amp;$T$3&amp;A105&amp;$T$3&amp;B105&amp;$R$3),"")</f>
        <v>-2301-蘆洲樂平店(定保)</v>
      </c>
      <c r="I105" s="190" t="s">
        <v>1746</v>
      </c>
      <c r="J105" s="188" t="str" cm="1">
        <f t="array" ref="J105">IFERROR(INDEX(IM!$X$2:$X$650, MATCH(1, (IM!$F$2:$F$650=A105) * (ISNUMBER(SEARCH($C$1, IM!$AC$2:$AC$650))), 0)), "")</f>
        <v/>
      </c>
      <c r="K105" s="159">
        <f>COUNTIFS(IM!F:F,A105,IM!AD:AD,"O",IM!X:X,"&gt;="&amp;$A$1,IM!X:X,"&lt;="&amp;$B$1)</f>
        <v>0</v>
      </c>
      <c r="L105" s="228" t="str" cm="1">
        <f t="array" ref="L105">IF(K105&gt;0,IFERROR(HYPERLINK("#'IM'!AC"&amp;MATCH(1,(IM!$F$1:$F$7700=A105)*(ISNUMBER(SEARCH("PMQ2",IM!$AC$1:$AC$7700))),0),"檢核"),"未登錄"),"")</f>
        <v/>
      </c>
      <c r="M105" s="230" t="str" cm="1">
        <f t="array" ref="M105">IF(AND(SUMPRODUCT((IM!F2:F664=A105)*(ISNUMBER(SEARCH("EDC", IM!AC2:AC664))))&gt;0), "EDC", "")</f>
        <v/>
      </c>
      <c r="N105" s="264" t="str" cm="1">
        <f t="array" ref="N105">IF(AND(SUMPRODUCT((IM!F2:F664=A105)*(ISNUMBER(SEARCH("STAR", IM!AC2:AC664))))&gt;0), "STAR", "")</f>
        <v/>
      </c>
      <c r="O105" s="256" t="str" cm="1">
        <f t="array" ref="O105">IFERROR(INDEX(IM!$X$2:$X$650, MATCH(1, (IM!$F$2:$F$650=A105) * (ISNUMBER(SEARCH($D$1, IM!$AC$2:$AC$650))), 0)), "")</f>
        <v/>
      </c>
      <c r="P105" s="191" t="str">
        <f>(TEXT(I105,"yyyymmdd"))&amp;$T$3&amp;A105&amp;$T$3&amp;B105&amp;$R$3</f>
        <v>-2301-蘆洲樂平店(定保)</v>
      </c>
      <c r="Q105" s="140"/>
      <c r="R105" s="140"/>
      <c r="S105" s="140"/>
      <c r="T105" s="140"/>
      <c r="U105" s="258">
        <f>IF(AND(W105&lt;&gt;"", X105&lt;&gt;""), 2, IF(OR(W105&lt;&gt;"", X105&lt;&gt;""), 1, 0))</f>
        <v>2</v>
      </c>
      <c r="V105" s="246" t="str">
        <f>IF(I105="", "未到店",
   IF(M105&lt;&gt;"EDC", "異常",
      IF(OR(AND(Y105="STAR", N105="STAR"), AND(Y105&lt;&gt;"STAR", N105="")), "已完工", "異常")
   )
)</f>
        <v>未到店</v>
      </c>
      <c r="W105" s="3" t="s">
        <v>4166</v>
      </c>
      <c r="X105" s="5" t="s">
        <v>4167</v>
      </c>
      <c r="Y105" s="5" t="str">
        <f>IF(U105&gt;0,"STAR","")</f>
        <v>STAR</v>
      </c>
    </row>
    <row r="106" spans="1:25" ht="15.75" customHeight="1">
      <c r="A106" s="179" t="s">
        <v>38</v>
      </c>
      <c r="B106" s="180" t="str">
        <f>VLOOKUP(A106,'0919門市清單主檔'!B:C,2,FALSE)</f>
        <v>三重大有店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IF(I106&gt;0,(TEXT(I106,"yyyymmdd")&amp;$T$3&amp;A106&amp;$T$3&amp;B106&amp;$R$3),"")</f>
        <v>-D390-三重大有店(定保)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IF(AND(SUMPRODUCT((IM!F2:F666=A106)*(ISNUMBER(SEARCH("EDC", IM!AC2:AC666))))&gt;0), "EDC", "")</f>
        <v/>
      </c>
      <c r="N106" s="264" t="str" cm="1">
        <f t="array" ref="N106">IF(AND(SUMPRODUCT((IM!F2:F666=A106)*(ISNUMBER(SEARCH("STAR", IM!AC2:AC666))))&gt;0), "STAR", "")</f>
        <v/>
      </c>
      <c r="O106" s="256" t="str" cm="1">
        <f t="array" ref="O106">IFERROR(INDEX(IM!$X$2:$X$650, MATCH(1, (IM!$F$2:$F$650=A106) * (ISNUMBER(SEARCH($D$1, IM!$AC$2:$AC$650))), 0)), "")</f>
        <v/>
      </c>
      <c r="P106" s="191" t="str">
        <f>(TEXT(I106,"yyyymmdd"))&amp;$T$3&amp;A106&amp;$T$3&amp;B106&amp;$R$3</f>
        <v>-D390-三重大有店(定保)</v>
      </c>
      <c r="Q106" s="140"/>
      <c r="R106" s="140"/>
      <c r="S106" s="140"/>
      <c r="T106" s="140"/>
      <c r="U106" s="258">
        <f>IF(AND(W106&lt;&gt;"", X106&lt;&gt;""), 2, IF(OR(W106&lt;&gt;"", X106&lt;&gt;""), 1, 0))</f>
        <v>2</v>
      </c>
      <c r="V106" s="246" t="str">
        <f>IF(I106="", "未到店",
   IF(M106&lt;&gt;"EDC", "異常",
      IF(OR(AND(Y106="STAR", N106="STAR"), AND(Y106&lt;&gt;"STAR", N106="")), "已完工", "異常")
   )
)</f>
        <v>未到店</v>
      </c>
      <c r="W106" s="3" t="s">
        <v>4169</v>
      </c>
      <c r="X106" s="5" t="s">
        <v>4170</v>
      </c>
      <c r="Y106" s="5" t="str">
        <f>IF(U106&gt;0,"STAR","")</f>
        <v>STAR</v>
      </c>
    </row>
    <row r="107" spans="1:25" ht="15.75" customHeight="1">
      <c r="A107" s="192">
        <v>4968</v>
      </c>
      <c r="B107" s="180" t="str">
        <f>VLOOKUP(A107,'0919門市清單主檔'!B:C,2,FALSE)</f>
        <v>三重太璞宮</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1746</v>
      </c>
      <c r="H107" s="186" t="str">
        <f>IF(I107&gt;0,(TEXT(I107,"yyyymmdd")&amp;$T$3&amp;A107&amp;$T$3&amp;B107&amp;$R$3),"")</f>
        <v>-4968-三重太璞宮(定保)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IF(AND(SUMPRODUCT((IM!F2:F668=A107)*(ISNUMBER(SEARCH("EDC", IM!AC2:AC668))))&gt;0), "EDC", "")</f>
        <v/>
      </c>
      <c r="N107" s="264" t="str" cm="1">
        <f t="array" ref="N107">IF(AND(SUMPRODUCT((IM!F2:F668=A107)*(ISNUMBER(SEARCH("STAR", IM!AC2:AC668))))&gt;0), "STAR", "")</f>
        <v/>
      </c>
      <c r="O107" s="256" t="str" cm="1">
        <f t="array" ref="O107">IFERROR(INDEX(IM!$X$2:$X$650, MATCH(1, (IM!$F$2:$F$650=A107) * (ISNUMBER(SEARCH($D$1, IM!$AC$2:$AC$650))), 0)), "")</f>
        <v/>
      </c>
      <c r="P107" s="191" t="str">
        <f>(TEXT(I107,"yyyymmdd"))&amp;$T$3&amp;A107&amp;$T$3&amp;B107&amp;$R$3</f>
        <v>-4968-三重太璞宮(定保)</v>
      </c>
      <c r="Q107" s="140"/>
      <c r="R107" s="140"/>
      <c r="S107" s="140"/>
      <c r="T107" s="140"/>
      <c r="U107" s="258">
        <f>IF(AND(W107&lt;&gt;"", X107&lt;&gt;""), 2, IF(OR(W107&lt;&gt;"", X107&lt;&gt;""), 1, 0))</f>
        <v>1</v>
      </c>
      <c r="V107" s="246" t="str">
        <f>IF(I107="", "未到店",
   IF(M107&lt;&gt;"EDC", "異常",
      IF(OR(AND(Y107="STAR", N107="STAR"), AND(Y107&lt;&gt;"STAR", N107="")), "已完工", "異常")
   )
)</f>
        <v>未到店</v>
      </c>
      <c r="W107" s="3" t="s">
        <v>4171</v>
      </c>
      <c r="X107" s="5"/>
      <c r="Y107" s="5" t="str">
        <f>IF(U107&gt;0,"STAR","")</f>
        <v>STAR</v>
      </c>
    </row>
    <row r="108" spans="1:25" ht="15.75" customHeight="1">
      <c r="A108" s="179">
        <v>4856</v>
      </c>
      <c r="B108" s="180" t="str">
        <f>VLOOKUP(A108,'0919門市清單主檔'!B:C,2,FALSE)</f>
        <v>新莊小胖店</v>
      </c>
      <c r="C108" s="181" t="str">
        <f>VLOOKUP($A108,'0919門市清單主檔'!B:V,20,FALSE)</f>
        <v>新北市</v>
      </c>
      <c r="D108" s="182" t="str">
        <f>VLOOKUP($A108,'0919門市清單主檔'!B:V,21,FALSE)</f>
        <v>新莊區</v>
      </c>
      <c r="E108" s="183" t="str">
        <f>VLOOKUP(D108,區域表!A:B,2,FALSE)</f>
        <v>湯家瑋</v>
      </c>
      <c r="F108" s="184" t="str">
        <f>IFERROR(IF(VLOOKUP(A108,門市狀態!A:D,4,FALSE)=0,"",VLOOKUP(A108,門市狀態!A:D,4,FALSE)),"")</f>
        <v/>
      </c>
      <c r="G108" s="185" t="s">
        <v>1746</v>
      </c>
      <c r="H108" s="186" t="str">
        <f>IF(I108&gt;0,(TEXT(I108,"yyyymmdd")&amp;$T$3&amp;A108&amp;$T$3&amp;B108&amp;$R$3),"")</f>
        <v>-4856-新莊小胖店(定保)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IF(AND(SUMPRODUCT((IM!F2:F670=A108)*(ISNUMBER(SEARCH("EDC", IM!AC2:AC670))))&gt;0), "EDC", "")</f>
        <v/>
      </c>
      <c r="N108" s="264" t="str" cm="1">
        <f t="array" ref="N108">IF(AND(SUMPRODUCT((IM!F2:F670=A108)*(ISNUMBER(SEARCH("STAR", IM!AC2:AC670))))&gt;0), "STAR", "")</f>
        <v/>
      </c>
      <c r="O108" s="256" t="str" cm="1">
        <f t="array" ref="O108">IFERROR(INDEX(IM!$X$2:$X$650, MATCH(1, (IM!$F$2:$F$650=A108) * (ISNUMBER(SEARCH($D$1, IM!$AC$2:$AC$650))), 0)), "")</f>
        <v/>
      </c>
      <c r="P108" s="191" t="str">
        <f>(TEXT(I108,"yyyymmdd"))&amp;$T$3&amp;A108&amp;$T$3&amp;B108&amp;$R$3</f>
        <v>-4856-新莊小胖店(定保)</v>
      </c>
      <c r="Q108" s="140"/>
      <c r="R108" s="140"/>
      <c r="S108" s="140"/>
      <c r="T108" s="140"/>
      <c r="U108" s="258">
        <f>IF(AND(W108&lt;&gt;"", X108&lt;&gt;""), 2, IF(OR(W108&lt;&gt;"", X108&lt;&gt;""), 1, 0))</f>
        <v>1</v>
      </c>
      <c r="V108" s="246" t="str">
        <f>IF(I108="", "未到店",
   IF(M108&lt;&gt;"EDC", "異常",
      IF(OR(AND(Y108="STAR", N108="STAR"), AND(Y108&lt;&gt;"STAR", N108="")), "已完工", "異常")
   )
)</f>
        <v>未到店</v>
      </c>
      <c r="X108" s="5" t="s">
        <v>4174</v>
      </c>
      <c r="Y108" s="5" t="str">
        <f>IF(U108&gt;0,"STAR","")</f>
        <v>STAR</v>
      </c>
    </row>
    <row r="109" spans="1:25" ht="15.75" customHeight="1">
      <c r="A109" s="179">
        <v>2209</v>
      </c>
      <c r="B109" s="180" t="str">
        <f>VLOOKUP(A109,'0919門市清單主檔'!B:C,2,FALSE)</f>
        <v>北縣重強店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1746</v>
      </c>
      <c r="H109" s="186" t="str">
        <f>IF(I109&gt;0,(TEXT(I109,"yyyymmdd")&amp;$T$3&amp;A109&amp;$T$3&amp;B109&amp;$R$3),"")</f>
        <v>-2209-北縣重強店(定保)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IF(AND(SUMPRODUCT((IM!F2:F685=A109)*(ISNUMBER(SEARCH("EDC", IM!AC2:AC685))))&gt;0), "EDC", "")</f>
        <v/>
      </c>
      <c r="N109" s="264" t="str" cm="1">
        <f t="array" ref="N109">IF(AND(SUMPRODUCT((IM!F2:F685=A109)*(ISNUMBER(SEARCH("STAR", IM!AC2:AC685))))&gt;0), "STAR", "")</f>
        <v/>
      </c>
      <c r="O109" s="256" t="str" cm="1">
        <f t="array" ref="O109">IFERROR(INDEX(IM!$X$2:$X$650, MATCH(1, (IM!$F$2:$F$650=A109) * (ISNUMBER(SEARCH($D$1, IM!$AC$2:$AC$650))), 0)), "")</f>
        <v/>
      </c>
      <c r="P109" s="191" t="str">
        <f>(TEXT(I109,"yyyymmdd"))&amp;$T$3&amp;A109&amp;$T$3&amp;B109&amp;$R$3</f>
        <v>-2209-北縣重強店(定保)</v>
      </c>
      <c r="Q109" s="140"/>
      <c r="R109" s="140"/>
      <c r="S109" s="140"/>
      <c r="T109" s="140"/>
      <c r="U109" s="258">
        <f>IF(AND(W109&lt;&gt;"", X109&lt;&gt;""), 2, IF(OR(W109&lt;&gt;"", X109&lt;&gt;""), 1, 0))</f>
        <v>1</v>
      </c>
      <c r="V109" s="246" t="str">
        <f>IF(I109="", "未到店",
   IF(M109&lt;&gt;"EDC", "異常",
      IF(OR(AND(Y109="STAR", N109="STAR"), AND(Y109&lt;&gt;"STAR", N109="")), "已完工", "異常")
   )
)</f>
        <v>未到店</v>
      </c>
      <c r="X109" s="5" t="s">
        <v>4199</v>
      </c>
      <c r="Y109" s="5" t="str">
        <f>IF(U109&gt;0,"STAR","")</f>
        <v>STAR</v>
      </c>
    </row>
    <row r="110" spans="1:25" ht="15.75" customHeight="1">
      <c r="A110" s="179">
        <v>2691</v>
      </c>
      <c r="B110" s="180" t="str">
        <f>VLOOKUP(A110,'0919門市清單主檔'!B:C,2,FALSE)</f>
        <v>五股興珍店</v>
      </c>
      <c r="C110" s="181" t="str">
        <f>VLOOKUP($A110,'0919門市清單主檔'!B:V,20,FALSE)</f>
        <v>新北市</v>
      </c>
      <c r="D110" s="182" t="str">
        <f>VLOOKUP($A110,'0919門市清單主檔'!B:V,21,FALSE)</f>
        <v>五股區</v>
      </c>
      <c r="E110" s="183" t="str">
        <f>VLOOKUP(D110,區域表!A:B,2,FALSE)</f>
        <v>湯家瑋</v>
      </c>
      <c r="F110" s="184" t="str">
        <f>IFERROR(IF(VLOOKUP(A110,門市狀態!A:D,4,FALSE)=0,"",VLOOKUP(A110,門市狀態!A:D,4,FALSE)),"")</f>
        <v/>
      </c>
      <c r="G110" s="185" t="s">
        <v>1746</v>
      </c>
      <c r="H110" s="186" t="str">
        <f>IF(I110&gt;0,(TEXT(I110,"yyyymmdd")&amp;$T$3&amp;A110&amp;$T$3&amp;B110&amp;$R$3),"")</f>
        <v>-2691-五股興珍店(定保)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IF(AND(SUMPRODUCT((IM!F2:F694=A110)*(ISNUMBER(SEARCH("EDC", IM!AC2:AC694))))&gt;0), "EDC", "")</f>
        <v/>
      </c>
      <c r="N110" s="264" t="str" cm="1">
        <f t="array" ref="N110">IF(AND(SUMPRODUCT((IM!F2:F694=A110)*(ISNUMBER(SEARCH("STAR", IM!AC2:AC694))))&gt;0), "STAR", "")</f>
        <v/>
      </c>
      <c r="O110" s="256" t="str" cm="1">
        <f t="array" ref="O110">IFERROR(INDEX(IM!$X$2:$X$650, MATCH(1, (IM!$F$2:$F$650=A110) * (ISNUMBER(SEARCH($D$1, IM!$AC$2:$AC$650))), 0)), "")</f>
        <v/>
      </c>
      <c r="P110" s="191" t="str">
        <f>(TEXT(I110,"yyyymmdd"))&amp;$T$3&amp;A110&amp;$T$3&amp;B110&amp;$R$3</f>
        <v>-2691-五股興珍店(定保)</v>
      </c>
      <c r="Q110" s="140"/>
      <c r="R110" s="140"/>
      <c r="S110" s="140"/>
      <c r="T110" s="140"/>
      <c r="U110" s="258">
        <f>IF(AND(W110&lt;&gt;"", X110&lt;&gt;""), 2, IF(OR(W110&lt;&gt;"", X110&lt;&gt;""), 1, 0))</f>
        <v>2</v>
      </c>
      <c r="V110" s="246" t="str">
        <f>IF(I110="", "未到店",
   IF(M110&lt;&gt;"EDC", "異常",
      IF(OR(AND(Y110="STAR", N110="STAR"), AND(Y110&lt;&gt;"STAR", N110="")), "已完工", "異常")
   )
)</f>
        <v>未到店</v>
      </c>
      <c r="W110" s="3" t="s">
        <v>4213</v>
      </c>
      <c r="X110" s="5" t="s">
        <v>4214</v>
      </c>
      <c r="Y110" s="5" t="str">
        <f>IF(U110&gt;0,"STAR","")</f>
        <v>STAR</v>
      </c>
    </row>
    <row r="111" spans="1:25" ht="15.75" customHeight="1">
      <c r="A111" s="179">
        <v>2390</v>
      </c>
      <c r="B111" s="180" t="str">
        <f>VLOOKUP(A111,'0919門市清單主檔'!B:C,2,FALSE)</f>
        <v>五股產業園區</v>
      </c>
      <c r="C111" s="181" t="str">
        <f>VLOOKUP($A111,'0919門市清單主檔'!B:V,20,FALSE)</f>
        <v>新北市</v>
      </c>
      <c r="D111" s="182" t="str">
        <f>VLOOKUP($A111,'0919門市清單主檔'!B:V,21,FALSE)</f>
        <v>五股區</v>
      </c>
      <c r="E111" s="183" t="str">
        <f>VLOOKUP(D111,區域表!A:B,2,FALSE)</f>
        <v>湯家瑋</v>
      </c>
      <c r="F111" s="184" t="str">
        <f>IFERROR(IF(VLOOKUP(A111,門市狀態!A:D,4,FALSE)=0,"",VLOOKUP(A111,門市狀態!A:D,4,FALSE)),"")</f>
        <v/>
      </c>
      <c r="G111" s="185" t="s">
        <v>1746</v>
      </c>
      <c r="H111" s="186" t="str">
        <f>IF(I111&gt;0,(TEXT(I111,"yyyymmdd")&amp;$T$3&amp;A111&amp;$T$3&amp;B111&amp;$R$3),"")</f>
        <v>-2390-五股產業園區(定保)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IF(AND(SUMPRODUCT((IM!F2:F695=A111)*(ISNUMBER(SEARCH("EDC", IM!AC2:AC695))))&gt;0), "EDC", "")</f>
        <v/>
      </c>
      <c r="N111" s="264" t="str" cm="1">
        <f t="array" ref="N111">IF(AND(SUMPRODUCT((IM!F2:F695=A111)*(ISNUMBER(SEARCH("STAR", IM!AC2:AC695))))&gt;0), "STAR", "")</f>
        <v/>
      </c>
      <c r="O111" s="256" t="str" cm="1">
        <f t="array" ref="O111">IFERROR(INDEX(IM!$X$2:$X$650, MATCH(1, (IM!$F$2:$F$650=A111) * (ISNUMBER(SEARCH($D$1, IM!$AC$2:$AC$650))), 0)), "")</f>
        <v/>
      </c>
      <c r="P111" s="191" t="str">
        <f>(TEXT(I111,"yyyymmdd"))&amp;$T$3&amp;A111&amp;$T$3&amp;B111&amp;$R$3</f>
        <v>-2390-五股產業園區(定保)</v>
      </c>
      <c r="Q111" s="140"/>
      <c r="R111" s="140"/>
      <c r="S111" s="140"/>
      <c r="T111" s="140"/>
      <c r="U111" s="258">
        <f>IF(AND(W111&lt;&gt;"", X111&lt;&gt;""), 2, IF(OR(W111&lt;&gt;"", X111&lt;&gt;""), 1, 0))</f>
        <v>1</v>
      </c>
      <c r="V111" s="246" t="str">
        <f>IF(I111="", "未到店",
   IF(M111&lt;&gt;"EDC", "異常",
      IF(OR(AND(Y111="STAR", N111="STAR"), AND(Y111&lt;&gt;"STAR", N111="")), "已完工", "異常")
   )
)</f>
        <v>未到店</v>
      </c>
      <c r="X111" s="5" t="s">
        <v>4215</v>
      </c>
      <c r="Y111" s="5" t="str">
        <f>IF(U111&gt;0,"STAR","")</f>
        <v>STAR</v>
      </c>
    </row>
    <row r="112" spans="1:25" ht="15.75" customHeight="1">
      <c r="A112" s="179">
        <v>4819</v>
      </c>
      <c r="B112" s="180" t="str">
        <f>VLOOKUP(A112,'0919門市清單主檔'!B:C,2,FALSE)</f>
        <v>五股凌雲店</v>
      </c>
      <c r="C112" s="181" t="str">
        <f>VLOOKUP($A112,'0919門市清單主檔'!B:V,20,FALSE)</f>
        <v>新北市</v>
      </c>
      <c r="D112" s="182" t="str">
        <f>VLOOKUP($A112,'0919門市清單主檔'!B:V,21,FALSE)</f>
        <v>五股區</v>
      </c>
      <c r="E112" s="183" t="str">
        <f>VLOOKUP(D112,區域表!A:B,2,FALSE)</f>
        <v>湯家瑋</v>
      </c>
      <c r="F112" s="184" t="str">
        <f>IFERROR(IF(VLOOKUP(A112,門市狀態!A:D,4,FALSE)=0,"",VLOOKUP(A112,門市狀態!A:D,4,FALSE)),"")</f>
        <v/>
      </c>
      <c r="G112" s="185" t="s">
        <v>1746</v>
      </c>
      <c r="H112" s="186" t="str">
        <f>IF(I112&gt;0,(TEXT(I112,"yyyymmdd")&amp;$T$3&amp;A112&amp;$T$3&amp;B112&amp;$R$3),"")</f>
        <v>-4819-五股凌雲店(定保)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IF(AND(SUMPRODUCT((IM!F2:F696=A112)*(ISNUMBER(SEARCH("EDC", IM!AC2:AC696))))&gt;0), "EDC", "")</f>
        <v/>
      </c>
      <c r="N112" s="264" t="str" cm="1">
        <f t="array" ref="N112">IF(AND(SUMPRODUCT((IM!F2:F696=A112)*(ISNUMBER(SEARCH("STAR", IM!AC2:AC696))))&gt;0), "STAR", "")</f>
        <v/>
      </c>
      <c r="O112" s="256" t="str" cm="1">
        <f t="array" ref="O112">IFERROR(INDEX(IM!$X$2:$X$650, MATCH(1, (IM!$F$2:$F$650=A112) * (ISNUMBER(SEARCH($D$1, IM!$AC$2:$AC$650))), 0)), "")</f>
        <v/>
      </c>
      <c r="P112" s="191" t="str">
        <f>(TEXT(I112,"yyyymmdd"))&amp;$T$3&amp;A112&amp;$T$3&amp;B112&amp;$R$3</f>
        <v>-4819-五股凌雲店(定保)</v>
      </c>
      <c r="Q112" s="140"/>
      <c r="R112" s="140"/>
      <c r="S112" s="140"/>
      <c r="T112" s="140"/>
      <c r="U112" s="258">
        <f>IF(AND(W112&lt;&gt;"", X112&lt;&gt;""), 2, IF(OR(W112&lt;&gt;"", X112&lt;&gt;""), 1, 0))</f>
        <v>2</v>
      </c>
      <c r="V112" s="246" t="str">
        <f>IF(I112="", "未到店",
   IF(M112&lt;&gt;"EDC", "異常",
      IF(OR(AND(Y112="STAR", N112="STAR"), AND(Y112&lt;&gt;"STAR", N112="")), "已完工", "異常")
   )
)</f>
        <v>未到店</v>
      </c>
      <c r="W112" s="3" t="s">
        <v>4216</v>
      </c>
      <c r="X112" s="5" t="s">
        <v>4217</v>
      </c>
      <c r="Y112" s="5" t="str">
        <f>IF(U112&gt;0,"STAR","")</f>
        <v>STAR</v>
      </c>
    </row>
    <row r="113" spans="1:25" ht="15.75" customHeight="1">
      <c r="A113" s="179">
        <v>4801</v>
      </c>
      <c r="B113" s="180" t="str">
        <f>VLOOKUP(A113,'0919門市清單主檔'!B:C,2,FALSE)</f>
        <v>五股成州店</v>
      </c>
      <c r="C113" s="181" t="str">
        <f>VLOOKUP($A113,'0919門市清單主檔'!B:V,20,FALSE)</f>
        <v>新北市</v>
      </c>
      <c r="D113" s="182" t="str">
        <f>VLOOKUP($A113,'0919門市清單主檔'!B:V,21,FALSE)</f>
        <v>五股區</v>
      </c>
      <c r="E113" s="183" t="str">
        <f>VLOOKUP(D113,區域表!A:B,2,FALSE)</f>
        <v>湯家瑋</v>
      </c>
      <c r="F113" s="184" t="str">
        <f>IFERROR(IF(VLOOKUP(A113,門市狀態!A:D,4,FALSE)=0,"",VLOOKUP(A113,門市狀態!A:D,4,FALSE)),"")</f>
        <v/>
      </c>
      <c r="G113" s="185" t="s">
        <v>1746</v>
      </c>
      <c r="H113" s="186" t="str">
        <f>IF(I113&gt;0,(TEXT(I113,"yyyymmdd")&amp;$T$3&amp;A113&amp;$T$3&amp;B113&amp;$R$3),"")</f>
        <v>-4801-五股成州店(定保)</v>
      </c>
      <c r="I113" s="190" t="s">
        <v>1746</v>
      </c>
      <c r="J113" s="188" t="str" cm="1">
        <f t="array" ref="J113">IFERROR(INDEX(IM!$X$2:$X$650, MATCH(1, (IM!$F$2:$F$650=A113) * (ISNUMBER(SEARCH($C$1, IM!$AC$2:$AC$650))), 0)), "")</f>
        <v/>
      </c>
      <c r="K113" s="159">
        <f>COUNTIFS(IM!F:F,A113,IM!AD:AD,"O",IM!X:X,"&gt;="&amp;$A$1,IM!X:X,"&lt;="&amp;$B$1)</f>
        <v>0</v>
      </c>
      <c r="L113" s="228" t="str" cm="1">
        <f t="array" ref="L113">IF(K113&gt;0,IFERROR(HYPERLINK("#'IM'!AC"&amp;MATCH(1,(IM!$F$1:$F$7700=A113)*(ISNUMBER(SEARCH("PMQ2",IM!$AC$1:$AC$7700))),0),"檢核"),"未登錄"),"")</f>
        <v/>
      </c>
      <c r="M113" s="230" t="str" cm="1">
        <f t="array" ref="M113">IF(AND(SUMPRODUCT((IM!F2:F697=A113)*(ISNUMBER(SEARCH("EDC", IM!AC2:AC697))))&gt;0), "EDC", "")</f>
        <v/>
      </c>
      <c r="N113" s="264" t="str" cm="1">
        <f t="array" ref="N113">IF(AND(SUMPRODUCT((IM!F2:F697=A113)*(ISNUMBER(SEARCH("STAR", IM!AC2:AC697))))&gt;0), "STAR", "")</f>
        <v/>
      </c>
      <c r="O113" s="256" t="str" cm="1">
        <f t="array" ref="O113">IFERROR(INDEX(IM!$X$2:$X$650, MATCH(1, (IM!$F$2:$F$650=A113) * (ISNUMBER(SEARCH($D$1, IM!$AC$2:$AC$650))), 0)), "")</f>
        <v/>
      </c>
      <c r="P113" s="191" t="str">
        <f>(TEXT(I113,"yyyymmdd"))&amp;$T$3&amp;A113&amp;$T$3&amp;B113&amp;$R$3</f>
        <v>-4801-五股成州店(定保)</v>
      </c>
      <c r="Q113" s="140"/>
      <c r="R113" s="140"/>
      <c r="S113" s="140"/>
      <c r="T113" s="140"/>
      <c r="U113" s="258">
        <f>IF(AND(W113&lt;&gt;"", X113&lt;&gt;""), 2, IF(OR(W113&lt;&gt;"", X113&lt;&gt;""), 1, 0))</f>
        <v>2</v>
      </c>
      <c r="V113" s="246" t="str">
        <f>IF(I113="", "未到店",
   IF(M113&lt;&gt;"EDC", "異常",
      IF(OR(AND(Y113="STAR", N113="STAR"), AND(Y113&lt;&gt;"STAR", N113="")), "已完工", "異常")
   )
)</f>
        <v>未到店</v>
      </c>
      <c r="W113" s="3" t="s">
        <v>4218</v>
      </c>
      <c r="X113" s="5" t="s">
        <v>4219</v>
      </c>
      <c r="Y113" s="5" t="str">
        <f>IF(U113&gt;0,"STAR","")</f>
        <v>STAR</v>
      </c>
    </row>
    <row r="114" spans="1:25" ht="15.75" customHeight="1">
      <c r="A114" s="179">
        <v>4397</v>
      </c>
      <c r="B114" s="180" t="str">
        <f>VLOOKUP(A114,'0919門市清單主檔'!B:C,2,FALSE)</f>
        <v>三重仁旺店</v>
      </c>
      <c r="C114" s="181" t="str">
        <f>VLOOKUP($A114,'0919門市清單主檔'!B:V,20,FALSE)</f>
        <v>新北市</v>
      </c>
      <c r="D114" s="182" t="str">
        <f>VLOOKUP($A114,'0919門市清單主檔'!B:V,21,FALSE)</f>
        <v>三重區</v>
      </c>
      <c r="E114" s="183" t="str">
        <f>VLOOKUP(D114,區域表!A:B,2,FALSE)</f>
        <v>吳宗鴻</v>
      </c>
      <c r="F114" s="184" t="str">
        <f>IFERROR(IF(VLOOKUP(A114,門市狀態!A:D,4,FALSE)=0,"",VLOOKUP(A114,門市狀態!A:D,4,FALSE)),"")</f>
        <v/>
      </c>
      <c r="G114" s="185" t="s">
        <v>1746</v>
      </c>
      <c r="H114" s="186" t="str">
        <f>IF(I114&gt;0,(TEXT(I114,"yyyymmdd")&amp;$T$3&amp;A114&amp;$T$3&amp;B114&amp;$R$3),"")</f>
        <v>-4397-三重仁旺店(定保)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IF(AND(SUMPRODUCT((IM!F2:F698=A114)*(ISNUMBER(SEARCH("EDC", IM!AC2:AC698))))&gt;0), "EDC", "")</f>
        <v/>
      </c>
      <c r="N114" s="264" t="str" cm="1">
        <f t="array" ref="N114">IF(AND(SUMPRODUCT((IM!F2:F698=A114)*(ISNUMBER(SEARCH("STAR", IM!AC2:AC698))))&gt;0), "STAR", "")</f>
        <v/>
      </c>
      <c r="O114" s="256" t="str" cm="1">
        <f t="array" ref="O114">IFERROR(INDEX(IM!$X$2:$X$650, MATCH(1, (IM!$F$2:$F$650=A114) * (ISNUMBER(SEARCH($D$1, IM!$AC$2:$AC$650))), 0)), "")</f>
        <v/>
      </c>
      <c r="P114" s="191" t="str">
        <f>(TEXT(I114,"yyyymmdd"))&amp;$T$3&amp;A114&amp;$T$3&amp;B114&amp;$R$3</f>
        <v>-4397-三重仁旺店(定保)</v>
      </c>
      <c r="Q114" s="140"/>
      <c r="R114" s="140"/>
      <c r="S114" s="140"/>
      <c r="T114" s="140"/>
      <c r="U114" s="258">
        <f>IF(AND(W114&lt;&gt;"", X114&lt;&gt;""), 2, IF(OR(W114&lt;&gt;"", X114&lt;&gt;""), 1, 0))</f>
        <v>2</v>
      </c>
      <c r="V114" s="246" t="str">
        <f>IF(I114="", "未到店",
   IF(M114&lt;&gt;"EDC", "異常",
      IF(OR(AND(Y114="STAR", N114="STAR"), AND(Y114&lt;&gt;"STAR", N114="")), "已完工", "異常")
   )
)</f>
        <v>未到店</v>
      </c>
      <c r="W114" s="3" t="s">
        <v>4220</v>
      </c>
      <c r="X114" s="5" t="s">
        <v>4221</v>
      </c>
      <c r="Y114" s="5" t="str">
        <f>IF(U114&gt;0,"STAR","")</f>
        <v>STAR</v>
      </c>
    </row>
    <row r="115" spans="1:25" ht="15.75" customHeight="1">
      <c r="A115" s="179">
        <v>3770</v>
      </c>
      <c r="B115" s="180" t="str">
        <f>VLOOKUP(A115,'0919門市清單主檔'!B:C,2,FALSE)</f>
        <v>北縣西雲店</v>
      </c>
      <c r="C115" s="181" t="str">
        <f>VLOOKUP($A115,'0919門市清單主檔'!B:V,20,FALSE)</f>
        <v>新北市</v>
      </c>
      <c r="D115" s="182" t="str">
        <f>VLOOKUP($A115,'0919門市清單主檔'!B:V,21,FALSE)</f>
        <v>五股區</v>
      </c>
      <c r="E115" s="183" t="str">
        <f>VLOOKUP(D115,區域表!A:B,2,FALSE)</f>
        <v>湯家瑋</v>
      </c>
      <c r="F115" s="184" t="str">
        <f>IFERROR(IF(VLOOKUP(A115,門市狀態!A:D,4,FALSE)=0,"",VLOOKUP(A115,門市狀態!A:D,4,FALSE)),"")</f>
        <v/>
      </c>
      <c r="G115" s="185" t="s">
        <v>1746</v>
      </c>
      <c r="H115" s="186" t="str">
        <f>IF(I115&gt;0,(TEXT(I115,"yyyymmdd")&amp;$T$3&amp;A115&amp;$T$3&amp;B115&amp;$R$3),"")</f>
        <v>-3770-北縣西雲店(定保)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IF(AND(SUMPRODUCT((IM!F2:F699=A115)*(ISNUMBER(SEARCH("EDC", IM!AC2:AC699))))&gt;0), "EDC", "")</f>
        <v/>
      </c>
      <c r="N115" s="264" t="str" cm="1">
        <f t="array" ref="N115">IF(AND(SUMPRODUCT((IM!F2:F699=A115)*(ISNUMBER(SEARCH("STAR", IM!AC2:AC699))))&gt;0), "STAR", "")</f>
        <v/>
      </c>
      <c r="O115" s="256" t="str" cm="1">
        <f t="array" ref="O115">IFERROR(INDEX(IM!$X$2:$X$650, MATCH(1, (IM!$F$2:$F$650=A115) * (ISNUMBER(SEARCH($D$1, IM!$AC$2:$AC$650))), 0)), "")</f>
        <v/>
      </c>
      <c r="P115" s="191" t="str">
        <f>(TEXT(I115,"yyyymmdd"))&amp;$T$3&amp;A115&amp;$T$3&amp;B115&amp;$R$3</f>
        <v>-3770-北縣西雲店(定保)</v>
      </c>
      <c r="Q115" s="140"/>
      <c r="R115" s="140"/>
      <c r="S115" s="140"/>
      <c r="T115" s="140"/>
      <c r="U115" s="258">
        <f>IF(AND(W115&lt;&gt;"", X115&lt;&gt;""), 2, IF(OR(W115&lt;&gt;"", X115&lt;&gt;""), 1, 0))</f>
        <v>1</v>
      </c>
      <c r="V115" s="246" t="str">
        <f>IF(I115="", "未到店",
   IF(M115&lt;&gt;"EDC", "異常",
      IF(OR(AND(Y115="STAR", N115="STAR"), AND(Y115&lt;&gt;"STAR", N115="")), "已完工", "異常")
   )
)</f>
        <v>未到店</v>
      </c>
      <c r="X115" s="5" t="s">
        <v>4222</v>
      </c>
      <c r="Y115" s="5" t="str">
        <f>IF(U115&gt;0,"STAR","")</f>
        <v>STAR</v>
      </c>
    </row>
    <row r="116" spans="1:25" ht="15.75" customHeight="1">
      <c r="A116" s="179">
        <v>2325</v>
      </c>
      <c r="B116" s="180" t="str">
        <f>VLOOKUP(A116,'0919門市清單主檔'!B:C,2,FALSE)</f>
        <v>北縣五泰店</v>
      </c>
      <c r="C116" s="181" t="str">
        <f>VLOOKUP($A116,'0919門市清單主檔'!B:V,20,FALSE)</f>
        <v>新北市</v>
      </c>
      <c r="D116" s="182" t="str">
        <f>VLOOKUP($A116,'0919門市清單主檔'!B:V,21,FALSE)</f>
        <v>五股區</v>
      </c>
      <c r="E116" s="183" t="str">
        <f>VLOOKUP(D116,區域表!A:B,2,FALSE)</f>
        <v>湯家瑋</v>
      </c>
      <c r="F116" s="184" t="str">
        <f>IFERROR(IF(VLOOKUP(A116,門市狀態!A:D,4,FALSE)=0,"",VLOOKUP(A116,門市狀態!A:D,4,FALSE)),"")</f>
        <v/>
      </c>
      <c r="G116" s="185" t="s">
        <v>1746</v>
      </c>
      <c r="H116" s="186" t="str">
        <f>IF(I116&gt;0,(TEXT(I116,"yyyymmdd")&amp;$T$3&amp;A116&amp;$T$3&amp;B116&amp;$R$3),"")</f>
        <v>-2325-北縣五泰店(定保)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IF(AND(SUMPRODUCT((IM!F2:F700=A116)*(ISNUMBER(SEARCH("EDC", IM!AC2:AC700))))&gt;0), "EDC", "")</f>
        <v/>
      </c>
      <c r="N116" s="264" t="str" cm="1">
        <f t="array" ref="N116">IF(AND(SUMPRODUCT((IM!F2:F700=A116)*(ISNUMBER(SEARCH("STAR", IM!AC2:AC700))))&gt;0), "STAR", "")</f>
        <v/>
      </c>
      <c r="O116" s="256" t="str" cm="1">
        <f t="array" ref="O116">IFERROR(INDEX(IM!$X$2:$X$650, MATCH(1, (IM!$F$2:$F$650=A116) * (ISNUMBER(SEARCH($D$1, IM!$AC$2:$AC$650))), 0)), "")</f>
        <v/>
      </c>
      <c r="P116" s="191" t="str">
        <f>(TEXT(I116,"yyyymmdd"))&amp;$T$3&amp;A116&amp;$T$3&amp;B116&amp;$R$3</f>
        <v>-2325-北縣五泰店(定保)</v>
      </c>
      <c r="Q116" s="140"/>
      <c r="R116" s="140"/>
      <c r="S116" s="140"/>
      <c r="T116" s="140"/>
      <c r="U116" s="258">
        <f>IF(AND(W116&lt;&gt;"", X116&lt;&gt;""), 2, IF(OR(W116&lt;&gt;"", X116&lt;&gt;""), 1, 0))</f>
        <v>2</v>
      </c>
      <c r="V116" s="246" t="str">
        <f>IF(I116="", "未到店",
   IF(M116&lt;&gt;"EDC", "異常",
      IF(OR(AND(Y116="STAR", N116="STAR"), AND(Y116&lt;&gt;"STAR", N116="")), "已完工", "異常")
   )
)</f>
        <v>未到店</v>
      </c>
      <c r="W116" s="3" t="s">
        <v>4223</v>
      </c>
      <c r="X116" s="5" t="s">
        <v>4224</v>
      </c>
      <c r="Y116" s="5" t="str">
        <f>IF(U116&gt;0,"STAR","")</f>
        <v>STAR</v>
      </c>
    </row>
    <row r="117" spans="1:25" ht="15.75" customHeight="1">
      <c r="A117" s="179">
        <v>4983</v>
      </c>
      <c r="B117" s="180" t="str">
        <f>VLOOKUP(A117,'0919門市清單主檔'!B:C,2,FALSE)</f>
        <v>板橋藝文店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1746</v>
      </c>
      <c r="H117" s="186" t="str">
        <f>IF(I117&gt;0,(TEXT(I117,"yyyymmdd")&amp;$T$3&amp;A117&amp;$T$3&amp;B117&amp;$R$3),"")</f>
        <v>-4983-板橋藝文店(定保)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IF(AND(SUMPRODUCT((IM!F2:F701=A117)*(ISNUMBER(SEARCH("EDC", IM!AC2:AC701))))&gt;0), "EDC", "")</f>
        <v/>
      </c>
      <c r="N117" s="264" t="str" cm="1">
        <f t="array" ref="N117">IF(AND(SUMPRODUCT((IM!F2:F701=A117)*(ISNUMBER(SEARCH("STAR", IM!AC2:AC701))))&gt;0), "STAR", "")</f>
        <v/>
      </c>
      <c r="O117" s="256" t="str" cm="1">
        <f t="array" ref="O117">IFERROR(INDEX(IM!$X$2:$X$650, MATCH(1, (IM!$F$2:$F$650=A117) * (ISNUMBER(SEARCH($D$1, IM!$AC$2:$AC$650))), 0)), "")</f>
        <v/>
      </c>
      <c r="P117" s="191" t="str">
        <f>(TEXT(I117,"yyyymmdd"))&amp;$T$3&amp;A117&amp;$T$3&amp;B117&amp;$R$3</f>
        <v>-4983-板橋藝文店(定保)</v>
      </c>
      <c r="Q117" s="140"/>
      <c r="R117" s="140"/>
      <c r="S117" s="140"/>
      <c r="T117" s="140"/>
      <c r="U117" s="258">
        <f>IF(AND(W117&lt;&gt;"", X117&lt;&gt;""), 2, IF(OR(W117&lt;&gt;"", X117&lt;&gt;""), 1, 0))</f>
        <v>0</v>
      </c>
      <c r="V117" s="246" t="str">
        <f>IF(I117="", "未到店",
   IF(M117&lt;&gt;"EDC", "異常",
      IF(OR(AND(Y117="STAR", N117="STAR"), AND(Y117&lt;&gt;"STAR", N117="")), "已完工", "異常")
   )
)</f>
        <v>未到店</v>
      </c>
      <c r="X117" s="5"/>
      <c r="Y117" s="5" t="str">
        <f>IF(U117&gt;0,"STAR","")</f>
        <v/>
      </c>
    </row>
    <row r="118" spans="1:25" ht="15.75" customHeight="1">
      <c r="A118" s="179">
        <v>4680</v>
      </c>
      <c r="B118" s="180" t="str">
        <f>VLOOKUP(A118,'0919門市清單主檔'!B:C,2,FALSE)</f>
        <v>板橋江寧店</v>
      </c>
      <c r="C118" s="181" t="str">
        <f>VLOOKUP($A118,'0919門市清單主檔'!B:V,20,FALSE)</f>
        <v>新北市</v>
      </c>
      <c r="D118" s="182" t="str">
        <f>VLOOKUP($A118,'0919門市清單主檔'!B:V,21,FALSE)</f>
        <v>板橋區</v>
      </c>
      <c r="E118" s="183" t="str">
        <f>VLOOKUP(D118,區域表!A:B,2,FALSE)</f>
        <v>狄澤洋</v>
      </c>
      <c r="F118" s="184" t="str">
        <f>IFERROR(IF(VLOOKUP(A118,門市狀態!A:D,4,FALSE)=0,"",VLOOKUP(A118,門市狀態!A:D,4,FALSE)),"")</f>
        <v/>
      </c>
      <c r="G118" s="185" t="s">
        <v>1746</v>
      </c>
      <c r="H118" s="186" t="str">
        <f>IF(I118&gt;0,(TEXT(I118,"yyyymmdd")&amp;$T$3&amp;A118&amp;$T$3&amp;B118&amp;$R$3),"")</f>
        <v>-4680-板橋江寧店(定保)</v>
      </c>
      <c r="I118" s="190" t="s">
        <v>1746</v>
      </c>
      <c r="J118" s="188" t="str" cm="1">
        <f t="array" ref="J118">IFERROR(INDEX(IM!$X$2:$X$650, MATCH(1, (IM!$F$2:$F$650=A118) * (ISNUMBER(SEARCH($C$1, IM!$AC$2:$AC$650))), 0)), "")</f>
        <v/>
      </c>
      <c r="K118" s="159">
        <f>COUNTIFS(IM!F:F,A118,IM!AD:AD,"O",IM!X:X,"&gt;="&amp;$A$1,IM!X:X,"&lt;="&amp;$B$1)</f>
        <v>0</v>
      </c>
      <c r="L118" s="228" t="str" cm="1">
        <f t="array" ref="L118">IF(K118&gt;0,IFERROR(HYPERLINK("#'IM'!AC"&amp;MATCH(1,(IM!$F$1:$F$7700=A118)*(ISNUMBER(SEARCH("PMQ2",IM!$AC$1:$AC$7700))),0),"檢核"),"未登錄"),"")</f>
        <v/>
      </c>
      <c r="M118" s="230" t="str" cm="1">
        <f t="array" ref="M118">IF(AND(SUMPRODUCT((IM!F2:F702=A118)*(ISNUMBER(SEARCH("EDC", IM!AC2:AC702))))&gt;0), "EDC", "")</f>
        <v/>
      </c>
      <c r="N118" s="264" t="str" cm="1">
        <f t="array" ref="N118">IF(AND(SUMPRODUCT((IM!F2:F702=A118)*(ISNUMBER(SEARCH("STAR", IM!AC2:AC702))))&gt;0), "STAR", "")</f>
        <v/>
      </c>
      <c r="O118" s="256" t="str" cm="1">
        <f t="array" ref="O118">IFERROR(INDEX(IM!$X$2:$X$650, MATCH(1, (IM!$F$2:$F$650=A118) * (ISNUMBER(SEARCH($D$1, IM!$AC$2:$AC$650))), 0)), "")</f>
        <v/>
      </c>
      <c r="P118" s="191" t="str">
        <f>(TEXT(I118,"yyyymmdd"))&amp;$T$3&amp;A118&amp;$T$3&amp;B118&amp;$R$3</f>
        <v>-4680-板橋江寧店(定保)</v>
      </c>
      <c r="Q118" s="140"/>
      <c r="R118" s="140"/>
      <c r="S118" s="140"/>
      <c r="T118" s="140"/>
      <c r="U118" s="258">
        <f>IF(AND(W118&lt;&gt;"", X118&lt;&gt;""), 2, IF(OR(W118&lt;&gt;"", X118&lt;&gt;""), 1, 0))</f>
        <v>0</v>
      </c>
      <c r="V118" s="246" t="str">
        <f>IF(I118="", "未到店",
   IF(M118&lt;&gt;"EDC", "異常",
      IF(OR(AND(Y118="STAR", N118="STAR"), AND(Y118&lt;&gt;"STAR", N118="")), "已完工", "異常")
   )
)</f>
        <v>未到店</v>
      </c>
      <c r="X118" s="5"/>
      <c r="Y118" s="5" t="str">
        <f>IF(U118&gt;0,"STAR","")</f>
        <v/>
      </c>
    </row>
    <row r="119" spans="1:25" ht="15.75" customHeight="1">
      <c r="A119" s="179">
        <v>4652</v>
      </c>
      <c r="B119" s="180" t="str">
        <f>VLOOKUP(A119,'0919門市清單主檔'!B:C,2,FALSE)</f>
        <v>三重天富店</v>
      </c>
      <c r="C119" s="181" t="str">
        <f>VLOOKUP($A119,'0919門市清單主檔'!B:V,20,FALSE)</f>
        <v>新北市</v>
      </c>
      <c r="D119" s="182" t="str">
        <f>VLOOKUP($A119,'0919門市清單主檔'!B:V,21,FALSE)</f>
        <v>三重區</v>
      </c>
      <c r="E119" s="183" t="str">
        <f>VLOOKUP(D119,區域表!A:B,2,FALSE)</f>
        <v>吳宗鴻</v>
      </c>
      <c r="F119" s="184" t="str">
        <f>IFERROR(IF(VLOOKUP(A119,門市狀態!A:D,4,FALSE)=0,"",VLOOKUP(A119,門市狀態!A:D,4,FALSE)),"")</f>
        <v/>
      </c>
      <c r="G119" s="185" t="s">
        <v>1746</v>
      </c>
      <c r="H119" s="186" t="str">
        <f>IF(I119&gt;0,(TEXT(I119,"yyyymmdd")&amp;$T$3&amp;A119&amp;$T$3&amp;B119&amp;$R$3),"")</f>
        <v>-4652-三重天富店(定保)</v>
      </c>
      <c r="I119" s="190" t="s">
        <v>1746</v>
      </c>
      <c r="J119" s="188" t="str" cm="1">
        <f t="array" ref="J119">IFERROR(INDEX(IM!$X$2:$X$650, MATCH(1, (IM!$F$2:$F$650=A119) * (ISNUMBER(SEARCH($C$1, IM!$AC$2:$AC$650))), 0)), "")</f>
        <v/>
      </c>
      <c r="K119" s="159">
        <f>COUNTIFS(IM!F:F,A119,IM!AD:AD,"O",IM!X:X,"&gt;="&amp;$A$1,IM!X:X,"&lt;="&amp;$B$1)</f>
        <v>0</v>
      </c>
      <c r="L119" s="228" t="str" cm="1">
        <f t="array" ref="L119">IF(K119&gt;0,IFERROR(HYPERLINK("#'IM'!AC"&amp;MATCH(1,(IM!$F$1:$F$7700=A119)*(ISNUMBER(SEARCH("PMQ2",IM!$AC$1:$AC$7700))),0),"檢核"),"未登錄"),"")</f>
        <v/>
      </c>
      <c r="M119" s="230" t="str" cm="1">
        <f t="array" ref="M119">IF(AND(SUMPRODUCT((IM!F2:F711=A119)*(ISNUMBER(SEARCH("EDC", IM!AC2:AC711))))&gt;0), "EDC", "")</f>
        <v/>
      </c>
      <c r="N119" s="264" t="str" cm="1">
        <f t="array" ref="N119">IF(AND(SUMPRODUCT((IM!F2:F711=A119)*(ISNUMBER(SEARCH("STAR", IM!AC2:AC711))))&gt;0), "STAR", "")</f>
        <v/>
      </c>
      <c r="O119" s="256" t="str" cm="1">
        <f t="array" ref="O119">IFERROR(INDEX(IM!$X$2:$X$650, MATCH(1, (IM!$F$2:$F$650=A119) * (ISNUMBER(SEARCH($D$1, IM!$AC$2:$AC$650))), 0)), "")</f>
        <v/>
      </c>
      <c r="P119" s="191" t="str">
        <f>(TEXT(I119,"yyyymmdd"))&amp;$T$3&amp;A119&amp;$T$3&amp;B119&amp;$R$3</f>
        <v>-4652-三重天富店(定保)</v>
      </c>
      <c r="Q119" s="140"/>
      <c r="R119" s="140"/>
      <c r="S119" s="140"/>
      <c r="T119" s="140"/>
      <c r="U119" s="258">
        <f>IF(AND(W119&lt;&gt;"", X119&lt;&gt;""), 2, IF(OR(W119&lt;&gt;"", X119&lt;&gt;""), 1, 0))</f>
        <v>0</v>
      </c>
      <c r="V119" s="246" t="str">
        <f>IF(I119="", "未到店",
   IF(M119&lt;&gt;"EDC", "異常",
      IF(OR(AND(Y119="STAR", N119="STAR"), AND(Y119&lt;&gt;"STAR", N119="")), "已完工", "異常")
   )
)</f>
        <v>未到店</v>
      </c>
      <c r="X119" s="5"/>
      <c r="Y119" s="5" t="str">
        <f>IF(U119&gt;0,"STAR","")</f>
        <v/>
      </c>
    </row>
    <row r="120" spans="1:25" ht="15.75" customHeight="1">
      <c r="A120" s="179">
        <v>5197</v>
      </c>
      <c r="B120" s="180" t="str">
        <f>VLOOKUP(A120,'0919門市清單主檔'!B:C,2,FALSE)</f>
        <v>蘆洲鴻悅店</v>
      </c>
      <c r="C120" s="181" t="str">
        <f>VLOOKUP($A120,'0919門市清單主檔'!B:V,20,FALSE)</f>
        <v>新北市</v>
      </c>
      <c r="D120" s="182" t="str">
        <f>VLOOKUP($A120,'0919門市清單主檔'!B:V,21,FALSE)</f>
        <v>蘆洲區</v>
      </c>
      <c r="E120" s="183" t="str">
        <f>VLOOKUP(D120,區域表!A:B,2,FALSE)</f>
        <v>吳宗鴻</v>
      </c>
      <c r="F120" s="184" t="str">
        <f>IFERROR(IF(VLOOKUP(A120,門市狀態!A:D,4,FALSE)=0,"",VLOOKUP(A120,門市狀態!A:D,4,FALSE)),"")</f>
        <v/>
      </c>
      <c r="G120" s="185" t="s">
        <v>1746</v>
      </c>
      <c r="H120" s="186" t="str">
        <f>IF(I120&gt;0,(TEXT(I120,"yyyymmdd")&amp;$T$3&amp;A120&amp;$T$3&amp;B120&amp;$R$3),"")</f>
        <v>-5197-蘆洲鴻悅店(定保)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IF(AND(SUMPRODUCT((IM!F2:F712=A120)*(ISNUMBER(SEARCH("EDC", IM!AC2:AC712))))&gt;0), "EDC", "")</f>
        <v/>
      </c>
      <c r="N120" s="264" t="str" cm="1">
        <f t="array" ref="N120">IF(AND(SUMPRODUCT((IM!F2:F712=A120)*(ISNUMBER(SEARCH("STAR", IM!AC2:AC712))))&gt;0), "STAR", "")</f>
        <v/>
      </c>
      <c r="O120" s="256" t="str" cm="1">
        <f t="array" ref="O120">IFERROR(INDEX(IM!$X$2:$X$650, MATCH(1, (IM!$F$2:$F$650=A120) * (ISNUMBER(SEARCH($D$1, IM!$AC$2:$AC$650))), 0)), "")</f>
        <v/>
      </c>
      <c r="P120" s="191" t="str">
        <f>(TEXT(I120,"yyyymmdd"))&amp;$T$3&amp;A120&amp;$T$3&amp;B120&amp;$R$3</f>
        <v>-5197-蘆洲鴻悅店(定保)</v>
      </c>
      <c r="Q120" s="140"/>
      <c r="R120" s="140"/>
      <c r="S120" s="140"/>
      <c r="T120" s="140"/>
      <c r="U120" s="258">
        <f>IF(AND(W120&lt;&gt;"", X120&lt;&gt;""), 2, IF(OR(W120&lt;&gt;"", X120&lt;&gt;""), 1, 0))</f>
        <v>0</v>
      </c>
      <c r="V120" s="246" t="str">
        <f>IF(I120="", "未到店",
   IF(M120&lt;&gt;"EDC", "異常",
      IF(OR(AND(Y120="STAR", N120="STAR"), AND(Y120&lt;&gt;"STAR", N120="")), "已完工", "異常")
   )
)</f>
        <v>未到店</v>
      </c>
      <c r="X120" s="5"/>
      <c r="Y120" s="5" t="str">
        <f>IF(U120&gt;0,"STAR","")</f>
        <v/>
      </c>
    </row>
    <row r="121" spans="1:25" ht="15.75" customHeight="1">
      <c r="A121" s="179">
        <v>2399</v>
      </c>
      <c r="B121" s="180" t="str">
        <f>VLOOKUP(A121,'0919門市清單主檔'!B:C,2,FALSE)</f>
        <v>三重三陽店</v>
      </c>
      <c r="C121" s="181" t="str">
        <f>VLOOKUP($A121,'0919門市清單主檔'!B:V,20,FALSE)</f>
        <v>新北市</v>
      </c>
      <c r="D121" s="182" t="str">
        <f>VLOOKUP($A121,'0919門市清單主檔'!B:V,21,FALSE)</f>
        <v>三重區</v>
      </c>
      <c r="E121" s="183" t="str">
        <f>VLOOKUP(D121,區域表!A:B,2,FALSE)</f>
        <v>吳宗鴻</v>
      </c>
      <c r="F121" s="184" t="str">
        <f>IFERROR(IF(VLOOKUP(A121,門市狀態!A:D,4,FALSE)=0,"",VLOOKUP(A121,門市狀態!A:D,4,FALSE)),"")</f>
        <v/>
      </c>
      <c r="G121" s="185" t="s">
        <v>1746</v>
      </c>
      <c r="H121" s="186" t="str">
        <f>IF(I121&gt;0,(TEXT(I121,"yyyymmdd")&amp;$T$3&amp;A121&amp;$T$3&amp;B121&amp;$R$3),"")</f>
        <v>-2399-三重三陽店(定保)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IF(AND(SUMPRODUCT((IM!F2:F713=A121)*(ISNUMBER(SEARCH("EDC", IM!AC2:AC713))))&gt;0), "EDC", "")</f>
        <v/>
      </c>
      <c r="N121" s="264" t="str" cm="1">
        <f t="array" ref="N121">IF(AND(SUMPRODUCT((IM!F2:F713=A121)*(ISNUMBER(SEARCH("STAR", IM!AC2:AC713))))&gt;0), "STAR", "")</f>
        <v/>
      </c>
      <c r="O121" s="256" t="str" cm="1">
        <f t="array" ref="O121">IFERROR(INDEX(IM!$X$2:$X$650, MATCH(1, (IM!$F$2:$F$650=A121) * (ISNUMBER(SEARCH($D$1, IM!$AC$2:$AC$650))), 0)), "")</f>
        <v/>
      </c>
      <c r="P121" s="191" t="str">
        <f>(TEXT(I121,"yyyymmdd"))&amp;$T$3&amp;A121&amp;$T$3&amp;B121&amp;$R$3</f>
        <v>-2399-三重三陽店(定保)</v>
      </c>
      <c r="Q121" s="140"/>
      <c r="R121" s="140"/>
      <c r="S121" s="140"/>
      <c r="T121" s="140"/>
      <c r="U121" s="258">
        <f>IF(AND(W121&lt;&gt;"", X121&lt;&gt;""), 2, IF(OR(W121&lt;&gt;"", X121&lt;&gt;""), 1, 0))</f>
        <v>0</v>
      </c>
      <c r="V121" s="246" t="str">
        <f>IF(I121="", "未到店",
   IF(M121&lt;&gt;"EDC", "異常",
      IF(OR(AND(Y121="STAR", N121="STAR"), AND(Y121&lt;&gt;"STAR", N121="")), "已完工", "異常")
   )
)</f>
        <v>未到店</v>
      </c>
      <c r="X121" s="5"/>
      <c r="Y121" s="5" t="str">
        <f>IF(U121&gt;0,"STAR","")</f>
        <v/>
      </c>
    </row>
    <row r="122" spans="1:25" ht="15.75" customHeight="1">
      <c r="A122" s="179">
        <v>3853</v>
      </c>
      <c r="B122" s="180" t="str">
        <f>VLOOKUP(A122,'0919門市清單主檔'!B:C,2,FALSE)</f>
        <v>板橋互助店</v>
      </c>
      <c r="C122" s="181" t="str">
        <f>VLOOKUP($A122,'0919門市清單主檔'!B:V,20,FALSE)</f>
        <v>新北市</v>
      </c>
      <c r="D122" s="182" t="str">
        <f>VLOOKUP($A122,'0919門市清單主檔'!B:V,21,FALSE)</f>
        <v>板橋區</v>
      </c>
      <c r="E122" s="183" t="str">
        <f>VLOOKUP(D122,區域表!A:B,2,FALSE)</f>
        <v>狄澤洋</v>
      </c>
      <c r="F122" s="184" t="str">
        <f>IFERROR(IF(VLOOKUP(A122,門市狀態!A:D,4,FALSE)=0,"",VLOOKUP(A122,門市狀態!A:D,4,FALSE)),"")</f>
        <v/>
      </c>
      <c r="G122" s="185" t="s">
        <v>1746</v>
      </c>
      <c r="H122" s="186" t="str">
        <f>IF(I122&gt;0,(TEXT(I122,"yyyymmdd")&amp;$T$3&amp;A122&amp;$T$3&amp;B122&amp;$R$3),"")</f>
        <v>-3853-板橋互助店(定保)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IF(AND(SUMPRODUCT((IM!F2:F714=A122)*(ISNUMBER(SEARCH("EDC", IM!AC2:AC714))))&gt;0), "EDC", "")</f>
        <v/>
      </c>
      <c r="N122" s="264" t="str" cm="1">
        <f t="array" ref="N122">IF(AND(SUMPRODUCT((IM!F2:F714=A122)*(ISNUMBER(SEARCH("STAR", IM!AC2:AC714))))&gt;0), "STAR", "")</f>
        <v/>
      </c>
      <c r="O122" s="256" t="str" cm="1">
        <f t="array" ref="O122">IFERROR(INDEX(IM!$X$2:$X$650, MATCH(1, (IM!$F$2:$F$650=A122) * (ISNUMBER(SEARCH($D$1, IM!$AC$2:$AC$650))), 0)), "")</f>
        <v/>
      </c>
      <c r="P122" s="191" t="str">
        <f>(TEXT(I122,"yyyymmdd"))&amp;$T$3&amp;A122&amp;$T$3&amp;B122&amp;$R$3</f>
        <v>-3853-板橋互助店(定保)</v>
      </c>
      <c r="Q122" s="140"/>
      <c r="R122" s="140"/>
      <c r="S122" s="140"/>
      <c r="T122" s="140"/>
      <c r="U122" s="258">
        <f>IF(AND(W122&lt;&gt;"", X122&lt;&gt;""), 2, IF(OR(W122&lt;&gt;"", X122&lt;&gt;""), 1, 0))</f>
        <v>0</v>
      </c>
      <c r="V122" s="246" t="str">
        <f>IF(I122="", "未到店",
   IF(M122&lt;&gt;"EDC", "異常",
      IF(OR(AND(Y122="STAR", N122="STAR"), AND(Y122&lt;&gt;"STAR", N122="")), "已完工", "異常")
   )
)</f>
        <v>未到店</v>
      </c>
      <c r="X122" s="5"/>
      <c r="Y122" s="5" t="str">
        <f>IF(U122&gt;0,"STAR","")</f>
        <v/>
      </c>
    </row>
    <row r="123" spans="1:25" ht="15.75" customHeight="1">
      <c r="A123" s="179">
        <v>4057</v>
      </c>
      <c r="B123" s="180" t="str">
        <f>VLOOKUP(A123,'0919門市清單主檔'!B:C,2,FALSE)</f>
        <v>林口香澄店</v>
      </c>
      <c r="C123" s="181" t="str">
        <f>VLOOKUP($A123,'0919門市清單主檔'!B:V,20,FALSE)</f>
        <v>新北市</v>
      </c>
      <c r="D123" s="182" t="str">
        <f>VLOOKUP($A123,'0919門市清單主檔'!B:V,21,FALSE)</f>
        <v>林口區</v>
      </c>
      <c r="E123" s="183" t="str">
        <f>VLOOKUP(D123,區域表!A:B,2,FALSE)</f>
        <v>湯家瑋</v>
      </c>
      <c r="F123" s="184" t="str">
        <f>IFERROR(IF(VLOOKUP(A123,門市狀態!A:D,4,FALSE)=0,"",VLOOKUP(A123,門市狀態!A:D,4,FALSE)),"")</f>
        <v/>
      </c>
      <c r="G123" s="185" t="s">
        <v>1746</v>
      </c>
      <c r="H123" s="186" t="str">
        <f>IF(I123&gt;0,(TEXT(I123,"yyyymmdd")&amp;$T$3&amp;A123&amp;$T$3&amp;B123&amp;$R$3),"")</f>
        <v>-4057-林口香澄店(定保)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IF(AND(SUMPRODUCT((IM!F2:F718=A123)*(ISNUMBER(SEARCH("EDC", IM!AC2:AC718))))&gt;0), "EDC", "")</f>
        <v/>
      </c>
      <c r="N123" s="264" t="str" cm="1">
        <f t="array" ref="N123">IF(AND(SUMPRODUCT((IM!F2:F718=A123)*(ISNUMBER(SEARCH("STAR", IM!AC2:AC718))))&gt;0), "STAR", "")</f>
        <v/>
      </c>
      <c r="O123" s="256" t="str" cm="1">
        <f t="array" ref="O123">IFERROR(INDEX(IM!$X$2:$X$650, MATCH(1, (IM!$F$2:$F$650=A123) * (ISNUMBER(SEARCH($D$1, IM!$AC$2:$AC$650))), 0)), "")</f>
        <v/>
      </c>
      <c r="P123" s="191" t="str">
        <f>(TEXT(I123,"yyyymmdd"))&amp;$T$3&amp;A123&amp;$T$3&amp;B123&amp;$R$3</f>
        <v>-4057-林口香澄店(定保)</v>
      </c>
      <c r="Q123" s="140"/>
      <c r="R123" s="140"/>
      <c r="S123" s="140"/>
      <c r="T123" s="140"/>
      <c r="U123" s="258">
        <f>IF(AND(W123&lt;&gt;"", X123&lt;&gt;""), 2, IF(OR(W123&lt;&gt;"", X123&lt;&gt;""), 1, 0))</f>
        <v>2</v>
      </c>
      <c r="V123" s="246" t="str">
        <f>IF(I123="", "未到店",
   IF(M123&lt;&gt;"EDC", "異常",
      IF(OR(AND(Y123="STAR", N123="STAR"), AND(Y123&lt;&gt;"STAR", N123="")), "已完工", "異常")
   )
)</f>
        <v>未到店</v>
      </c>
      <c r="W123" s="3" t="s">
        <v>4238</v>
      </c>
      <c r="X123" s="5" t="s">
        <v>4239</v>
      </c>
      <c r="Y123" s="5" t="str">
        <f>IF(U123&gt;0,"STAR","")</f>
        <v>STAR</v>
      </c>
    </row>
    <row r="124" spans="1:25" ht="15.75" customHeight="1">
      <c r="A124" s="179">
        <v>4906</v>
      </c>
      <c r="B124" s="180" t="str">
        <f>VLOOKUP(A124,'0919門市清單主檔'!B:C,2,FALSE)</f>
        <v>金山銀山店</v>
      </c>
      <c r="C124" s="181" t="str">
        <f>VLOOKUP($A124,'0919門市清單主檔'!B:V,20,FALSE)</f>
        <v>新北市</v>
      </c>
      <c r="D124" s="182" t="str">
        <f>VLOOKUP($A124,'0919門市清單主檔'!B:V,21,FALSE)</f>
        <v>金山區</v>
      </c>
      <c r="E124" s="183" t="str">
        <f>VLOOKUP(D124,區域表!A:B,2,FALSE)</f>
        <v>吳宗鴻</v>
      </c>
      <c r="F124" s="184" t="str">
        <f>IFERROR(IF(VLOOKUP(A124,門市狀態!A:D,4,FALSE)=0,"",VLOOKUP(A124,門市狀態!A:D,4,FALSE)),"")</f>
        <v/>
      </c>
      <c r="G124" s="185" t="s">
        <v>1746</v>
      </c>
      <c r="H124" s="186" t="str">
        <f>IF(I124&gt;0,(TEXT(I124,"yyyymmdd")&amp;$T$3&amp;A124&amp;$T$3&amp;B124&amp;$R$3),"")</f>
        <v>-4906-金山銀山店(定保)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IF(AND(SUMPRODUCT((IM!F2:F720=A124)*(ISNUMBER(SEARCH("EDC", IM!AC2:AC720))))&gt;0), "EDC", "")</f>
        <v/>
      </c>
      <c r="N124" s="264" t="str" cm="1">
        <f t="array" ref="N124">IF(AND(SUMPRODUCT((IM!F2:F720=A124)*(ISNUMBER(SEARCH("STAR", IM!AC2:AC720))))&gt;0), "STAR", "")</f>
        <v/>
      </c>
      <c r="O124" s="256" t="str" cm="1">
        <f t="array" ref="O124">IFERROR(INDEX(IM!$X$2:$X$650, MATCH(1, (IM!$F$2:$F$650=A124) * (ISNUMBER(SEARCH($D$1, IM!$AC$2:$AC$650))), 0)), "")</f>
        <v/>
      </c>
      <c r="P124" s="191" t="str">
        <f>(TEXT(I124,"yyyymmdd"))&amp;$T$3&amp;A124&amp;$T$3&amp;B124&amp;$R$3</f>
        <v>-4906-金山銀山店(定保)</v>
      </c>
      <c r="Q124" s="140"/>
      <c r="R124" s="140"/>
      <c r="S124" s="140"/>
      <c r="T124" s="140"/>
      <c r="U124" s="258">
        <f>IF(AND(W124&lt;&gt;"", X124&lt;&gt;""), 2, IF(OR(W124&lt;&gt;"", X124&lt;&gt;""), 1, 0))</f>
        <v>0</v>
      </c>
      <c r="V124" s="246" t="str">
        <f>IF(I124="", "未到店",
   IF(M124&lt;&gt;"EDC", "異常",
      IF(OR(AND(Y124="STAR", N124="STAR"), AND(Y124&lt;&gt;"STAR", N124="")), "已完工", "異常")
   )
)</f>
        <v>未到店</v>
      </c>
      <c r="X124" s="5"/>
      <c r="Y124" s="5" t="str">
        <f>IF(U124&gt;0,"STAR","")</f>
        <v/>
      </c>
    </row>
    <row r="125" spans="1:25" ht="15.75" customHeight="1">
      <c r="A125" s="179">
        <v>4101</v>
      </c>
      <c r="B125" s="180" t="str">
        <f>VLOOKUP(A125,'0919門市清單主檔'!B:C,2,FALSE)</f>
        <v>三重溪華店</v>
      </c>
      <c r="C125" s="181" t="str">
        <f>VLOOKUP($A125,'0919門市清單主檔'!B:V,20,FALSE)</f>
        <v>新北市</v>
      </c>
      <c r="D125" s="182" t="str">
        <f>VLOOKUP($A125,'0919門市清單主檔'!B:V,21,FALSE)</f>
        <v>三重區</v>
      </c>
      <c r="E125" s="183" t="str">
        <f>VLOOKUP(D125,區域表!A:B,2,FALSE)</f>
        <v>吳宗鴻</v>
      </c>
      <c r="F125" s="184" t="str">
        <f>IFERROR(IF(VLOOKUP(A125,門市狀態!A:D,4,FALSE)=0,"",VLOOKUP(A125,門市狀態!A:D,4,FALSE)),"")</f>
        <v/>
      </c>
      <c r="G125" s="185" t="s">
        <v>1746</v>
      </c>
      <c r="H125" s="186" t="str">
        <f>IF(I125&gt;0,(TEXT(I125,"yyyymmdd")&amp;$T$3&amp;A125&amp;$T$3&amp;B125&amp;$R$3),"")</f>
        <v>-4101-三重溪華店(定保)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IF(AND(SUMPRODUCT((IM!F2:F723=A125)*(ISNUMBER(SEARCH("EDC", IM!AC2:AC723))))&gt;0), "EDC", "")</f>
        <v/>
      </c>
      <c r="N125" s="264" t="str" cm="1">
        <f t="array" ref="N125">IF(AND(SUMPRODUCT((IM!F2:F723=A125)*(ISNUMBER(SEARCH("STAR", IM!AC2:AC723))))&gt;0), "STAR", "")</f>
        <v/>
      </c>
      <c r="O125" s="256" t="str" cm="1">
        <f t="array" ref="O125">IFERROR(INDEX(IM!$X$2:$X$650, MATCH(1, (IM!$F$2:$F$650=A125) * (ISNUMBER(SEARCH($D$1, IM!$AC$2:$AC$650))), 0)), "")</f>
        <v/>
      </c>
      <c r="P125" s="191" t="str">
        <f>(TEXT(I125,"yyyymmdd"))&amp;$T$3&amp;A125&amp;$T$3&amp;B125&amp;$R$3</f>
        <v>-4101-三重溪華店(定保)</v>
      </c>
      <c r="Q125" s="140"/>
      <c r="R125" s="140"/>
      <c r="S125" s="140"/>
      <c r="T125" s="140"/>
      <c r="U125" s="258">
        <f>IF(AND(W125&lt;&gt;"", X125&lt;&gt;""), 2, IF(OR(W125&lt;&gt;"", X125&lt;&gt;""), 1, 0))</f>
        <v>0</v>
      </c>
      <c r="V125" s="246" t="str">
        <f>IF(I125="", "未到店",
   IF(M125&lt;&gt;"EDC", "異常",
      IF(OR(AND(Y125="STAR", N125="STAR"), AND(Y125&lt;&gt;"STAR", N125="")), "已完工", "異常")
   )
)</f>
        <v>未到店</v>
      </c>
      <c r="X125" s="5"/>
      <c r="Y125" s="5" t="str">
        <f>IF(U125&gt;0,"STAR","")</f>
        <v/>
      </c>
    </row>
    <row r="126" spans="1:25" ht="15.75" customHeight="1">
      <c r="A126" s="179">
        <v>4144</v>
      </c>
      <c r="B126" s="180" t="str">
        <f>VLOOKUP(A126,'0919門市清單主檔'!B:C,2,FALSE)</f>
        <v>新莊頭前店</v>
      </c>
      <c r="C126" s="181" t="str">
        <f>VLOOKUP($A126,'0919門市清單主檔'!B:V,20,FALSE)</f>
        <v>新北市</v>
      </c>
      <c r="D126" s="182" t="str">
        <f>VLOOKUP($A126,'0919門市清單主檔'!B:V,21,FALSE)</f>
        <v>新莊區</v>
      </c>
      <c r="E126" s="183" t="str">
        <f>VLOOKUP(D126,區域表!A:B,2,FALSE)</f>
        <v>湯家瑋</v>
      </c>
      <c r="F126" s="184" t="str">
        <f>IFERROR(IF(VLOOKUP(A126,門市狀態!A:D,4,FALSE)=0,"",VLOOKUP(A126,門市狀態!A:D,4,FALSE)),"")</f>
        <v/>
      </c>
      <c r="G126" s="185" t="s">
        <v>1746</v>
      </c>
      <c r="H126" s="186" t="str">
        <f>IF(I126&gt;0,(TEXT(I126,"yyyymmdd")&amp;$T$3&amp;A126&amp;$T$3&amp;B126&amp;$R$3),"")</f>
        <v>-4144-新莊頭前店(定保)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IF(AND(SUMPRODUCT((IM!F2:F725=A126)*(ISNUMBER(SEARCH("EDC", IM!AC2:AC725))))&gt;0), "EDC", "")</f>
        <v/>
      </c>
      <c r="N126" s="264" t="str" cm="1">
        <f t="array" ref="N126">IF(AND(SUMPRODUCT((IM!F2:F725=A126)*(ISNUMBER(SEARCH("STAR", IM!AC2:AC725))))&gt;0), "STAR", "")</f>
        <v/>
      </c>
      <c r="O126" s="256" t="str" cm="1">
        <f t="array" ref="O126">IFERROR(INDEX(IM!$X$2:$X$650, MATCH(1, (IM!$F$2:$F$650=A126) * (ISNUMBER(SEARCH($D$1, IM!$AC$2:$AC$650))), 0)), "")</f>
        <v/>
      </c>
      <c r="P126" s="191" t="str">
        <f>(TEXT(I126,"yyyymmdd"))&amp;$T$3&amp;A126&amp;$T$3&amp;B126&amp;$R$3</f>
        <v>-4144-新莊頭前店(定保)</v>
      </c>
      <c r="Q126" s="140"/>
      <c r="R126" s="140"/>
      <c r="S126" s="140"/>
      <c r="T126" s="140"/>
      <c r="U126" s="258">
        <f>IF(AND(W126&lt;&gt;"", X126&lt;&gt;""), 2, IF(OR(W126&lt;&gt;"", X126&lt;&gt;""), 1, 0))</f>
        <v>2</v>
      </c>
      <c r="V126" s="246" t="str">
        <f>IF(I126="", "未到店",
   IF(M126&lt;&gt;"EDC", "異常",
      IF(OR(AND(Y126="STAR", N126="STAR"), AND(Y126&lt;&gt;"STAR", N126="")), "已完工", "異常")
   )
)</f>
        <v>未到店</v>
      </c>
      <c r="W126" s="3" t="s">
        <v>4244</v>
      </c>
      <c r="X126" s="5" t="s">
        <v>4245</v>
      </c>
      <c r="Y126" s="5" t="str">
        <f>IF(U126&gt;0,"STAR","")</f>
        <v>STAR</v>
      </c>
    </row>
    <row r="127" spans="1:25" ht="15.75" customHeight="1">
      <c r="A127" s="179">
        <v>4977</v>
      </c>
      <c r="B127" s="180" t="str">
        <f>VLOOKUP(A127,'0919門市清單主檔'!B:C,2,FALSE)</f>
        <v>三重初戀店</v>
      </c>
      <c r="C127" s="181" t="str">
        <f>VLOOKUP($A127,'0919門市清單主檔'!B:V,20,FALSE)</f>
        <v>新北市</v>
      </c>
      <c r="D127" s="182" t="str">
        <f>VLOOKUP($A127,'0919門市清單主檔'!B:V,21,FALSE)</f>
        <v>三重區</v>
      </c>
      <c r="E127" s="183" t="str">
        <f>VLOOKUP(D127,區域表!A:B,2,FALSE)</f>
        <v>吳宗鴻</v>
      </c>
      <c r="F127" s="184" t="str">
        <f>IFERROR(IF(VLOOKUP(A127,門市狀態!A:D,4,FALSE)=0,"",VLOOKUP(A127,門市狀態!A:D,4,FALSE)),"")</f>
        <v/>
      </c>
      <c r="G127" s="185" t="s">
        <v>1746</v>
      </c>
      <c r="H127" s="186" t="str">
        <f>IF(I127&gt;0,(TEXT(I127,"yyyymmdd")&amp;$T$3&amp;A127&amp;$T$3&amp;B127&amp;$R$3),"")</f>
        <v>-4977-三重初戀店(定保)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IF(AND(SUMPRODUCT((IM!F2:F728=A127)*(ISNUMBER(SEARCH("EDC", IM!AC2:AC728))))&gt;0), "EDC", "")</f>
        <v/>
      </c>
      <c r="N127" s="264" t="str" cm="1">
        <f t="array" ref="N127">IF(AND(SUMPRODUCT((IM!F2:F728=A127)*(ISNUMBER(SEARCH("STAR", IM!AC2:AC728))))&gt;0), "STAR", "")</f>
        <v>STAR</v>
      </c>
      <c r="O127" s="256" cm="1">
        <f t="array" ref="O127">IFERROR(INDEX(IM!$X$2:$X$650, MATCH(1, (IM!$F$2:$F$650=A127) * (ISNUMBER(SEARCH($D$1, IM!$AC$2:$AC$650))), 0)), "")</f>
        <v>45743.524305555555</v>
      </c>
      <c r="P127" s="191" t="str">
        <f>(TEXT(I127,"yyyymmdd"))&amp;$T$3&amp;A127&amp;$T$3&amp;B127&amp;$R$3</f>
        <v>-4977-三重初戀店(定保)</v>
      </c>
      <c r="Q127" s="140"/>
      <c r="R127" s="140"/>
      <c r="S127" s="140"/>
      <c r="T127" s="140"/>
      <c r="U127" s="258">
        <f>IF(AND(W127&lt;&gt;"", X127&lt;&gt;""), 2, IF(OR(W127&lt;&gt;"", X127&lt;&gt;""), 1, 0))</f>
        <v>2</v>
      </c>
      <c r="V127" s="246" t="str">
        <f>IF(I127="", "未到店",
   IF(M127&lt;&gt;"EDC", "異常",
      IF(OR(AND(Y127="STAR", N127="STAR"), AND(Y127&lt;&gt;"STAR", N127="")), "已完工", "異常")
   )
)</f>
        <v>未到店</v>
      </c>
      <c r="W127" s="3" t="s">
        <v>4250</v>
      </c>
      <c r="X127" s="5" t="s">
        <v>4251</v>
      </c>
      <c r="Y127" s="5" t="str">
        <f>IF(U127&gt;0,"STAR","")</f>
        <v>STAR</v>
      </c>
    </row>
    <row r="128" spans="1:25" ht="15.75" customHeight="1">
      <c r="A128" s="179">
        <v>4529</v>
      </c>
      <c r="B128" s="180" t="str">
        <f>VLOOKUP(A128,'0919門市清單主檔'!B:C,2,FALSE)</f>
        <v>淡水新洲店</v>
      </c>
      <c r="C128" s="181" t="str">
        <f>VLOOKUP($A128,'0919門市清單主檔'!B:V,20,FALSE)</f>
        <v>新北市</v>
      </c>
      <c r="D128" s="182" t="str">
        <f>VLOOKUP($A128,'0919門市清單主檔'!B:V,21,FALSE)</f>
        <v>淡水區</v>
      </c>
      <c r="E128" s="183" t="str">
        <f>VLOOKUP(D128,區域表!A:B,2,FALSE)</f>
        <v>吳宗鴻</v>
      </c>
      <c r="F128" s="184" t="str">
        <f>IFERROR(IF(VLOOKUP(A128,門市狀態!A:D,4,FALSE)=0,"",VLOOKUP(A128,門市狀態!A:D,4,FALSE)),"")</f>
        <v/>
      </c>
      <c r="G128" s="185" t="s">
        <v>1746</v>
      </c>
      <c r="H128" s="186" t="str">
        <f>IF(I128&gt;0,(TEXT(I128,"yyyymmdd")&amp;$T$3&amp;A128&amp;$T$3&amp;B128&amp;$R$3),"")</f>
        <v>-4529-淡水新洲店(定保)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IF(AND(SUMPRODUCT((IM!F2:F730=A128)*(ISNUMBER(SEARCH("EDC", IM!AC2:AC730))))&gt;0), "EDC", "")</f>
        <v/>
      </c>
      <c r="N128" s="264" t="str" cm="1">
        <f t="array" ref="N128">IF(AND(SUMPRODUCT((IM!F2:F730=A128)*(ISNUMBER(SEARCH("STAR", IM!AC2:AC730))))&gt;0), "STAR", "")</f>
        <v/>
      </c>
      <c r="O128" s="256" t="str" cm="1">
        <f t="array" ref="O128">IFERROR(INDEX(IM!$X$2:$X$650, MATCH(1, (IM!$F$2:$F$650=A128) * (ISNUMBER(SEARCH($D$1, IM!$AC$2:$AC$650))), 0)), "")</f>
        <v/>
      </c>
      <c r="P128" s="191" t="str">
        <f>(TEXT(I128,"yyyymmdd"))&amp;$T$3&amp;A128&amp;$T$3&amp;B128&amp;$R$3</f>
        <v>-4529-淡水新洲店(定保)</v>
      </c>
      <c r="Q128" s="140"/>
      <c r="R128" s="140"/>
      <c r="S128" s="140"/>
      <c r="T128" s="140"/>
      <c r="U128" s="258">
        <f>IF(AND(W128&lt;&gt;"", X128&lt;&gt;""), 2, IF(OR(W128&lt;&gt;"", X128&lt;&gt;""), 1, 0))</f>
        <v>2</v>
      </c>
      <c r="V128" s="246" t="str">
        <f>IF(I128="", "未到店",
   IF(M128&lt;&gt;"EDC", "異常",
      IF(OR(AND(Y128="STAR", N128="STAR"), AND(Y128&lt;&gt;"STAR", N128="")), "已完工", "異常")
   )
)</f>
        <v>未到店</v>
      </c>
      <c r="W128" s="3" t="s">
        <v>4253</v>
      </c>
      <c r="X128" s="5" t="s">
        <v>4254</v>
      </c>
      <c r="Y128" s="5" t="str">
        <f>IF(U128&gt;0,"STAR","")</f>
        <v>STAR</v>
      </c>
    </row>
    <row r="129" spans="1:25" ht="15.75" customHeight="1">
      <c r="A129" s="179">
        <v>2749</v>
      </c>
      <c r="B129" s="180" t="str">
        <f>VLOOKUP(A129,'0919門市清單主檔'!B:C,2,FALSE)</f>
        <v>淡水灰瑤子</v>
      </c>
      <c r="C129" s="181" t="str">
        <f>VLOOKUP($A129,'0919門市清單主檔'!B:V,20,FALSE)</f>
        <v>新北市</v>
      </c>
      <c r="D129" s="182" t="str">
        <f>VLOOKUP($A129,'0919門市清單主檔'!B:V,21,FALSE)</f>
        <v>淡水區</v>
      </c>
      <c r="E129" s="183" t="str">
        <f>VLOOKUP(D129,區域表!A:B,2,FALSE)</f>
        <v>吳宗鴻</v>
      </c>
      <c r="F129" s="184" t="str">
        <f>IFERROR(IF(VLOOKUP(A129,門市狀態!A:D,4,FALSE)=0,"",VLOOKUP(A129,門市狀態!A:D,4,FALSE)),"")</f>
        <v/>
      </c>
      <c r="G129" s="185" t="s">
        <v>1746</v>
      </c>
      <c r="H129" s="186" t="str">
        <f>IF(I129&gt;0,(TEXT(I129,"yyyymmdd")&amp;$T$3&amp;A129&amp;$T$3&amp;B129&amp;$R$3),"")</f>
        <v>-2749-淡水灰瑤子(定保)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IF(AND(SUMPRODUCT((IM!F2:F731=A129)*(ISNUMBER(SEARCH("EDC", IM!AC2:AC731))))&gt;0), "EDC", "")</f>
        <v/>
      </c>
      <c r="N129" s="264" t="str" cm="1">
        <f t="array" ref="N129">IF(AND(SUMPRODUCT((IM!F2:F731=A129)*(ISNUMBER(SEARCH("STAR", IM!AC2:AC731))))&gt;0), "STAR", "")</f>
        <v/>
      </c>
      <c r="O129" s="256" t="str" cm="1">
        <f t="array" ref="O129">IFERROR(INDEX(IM!$X$2:$X$650, MATCH(1, (IM!$F$2:$F$650=A129) * (ISNUMBER(SEARCH($D$1, IM!$AC$2:$AC$650))), 0)), "")</f>
        <v/>
      </c>
      <c r="P129" s="191" t="str">
        <f>(TEXT(I129,"yyyymmdd"))&amp;$T$3&amp;A129&amp;$T$3&amp;B129&amp;$R$3</f>
        <v>-2749-淡水灰瑤子(定保)</v>
      </c>
      <c r="Q129" s="140"/>
      <c r="R129" s="140"/>
      <c r="S129" s="140"/>
      <c r="T129" s="140"/>
      <c r="U129" s="258">
        <f>IF(AND(W129&lt;&gt;"", X129&lt;&gt;""), 2, IF(OR(W129&lt;&gt;"", X129&lt;&gt;""), 1, 0))</f>
        <v>2</v>
      </c>
      <c r="V129" s="246" t="str">
        <f>IF(I129="", "未到店",
   IF(M129&lt;&gt;"EDC", "異常",
      IF(OR(AND(Y129="STAR", N129="STAR"), AND(Y129&lt;&gt;"STAR", N129="")), "已完工", "異常")
   )
)</f>
        <v>未到店</v>
      </c>
      <c r="W129" s="3" t="s">
        <v>4255</v>
      </c>
      <c r="X129" s="5" t="s">
        <v>4256</v>
      </c>
      <c r="Y129" s="5" t="str">
        <f>IF(U129&gt;0,"STAR","")</f>
        <v>STAR</v>
      </c>
    </row>
    <row r="130" spans="1:25" ht="15.75" customHeight="1">
      <c r="A130" s="179">
        <v>4511</v>
      </c>
      <c r="B130" s="180" t="str">
        <f>VLOOKUP(A130,'0919門市清單主檔'!B:C,2,FALSE)</f>
        <v>淡水屯山店</v>
      </c>
      <c r="C130" s="181" t="str">
        <f>VLOOKUP($A130,'0919門市清單主檔'!B:V,20,FALSE)</f>
        <v>新北市</v>
      </c>
      <c r="D130" s="182" t="str">
        <f>VLOOKUP($A130,'0919門市清單主檔'!B:V,21,FALSE)</f>
        <v>淡水區</v>
      </c>
      <c r="E130" s="183" t="str">
        <f>VLOOKUP(D130,區域表!A:B,2,FALSE)</f>
        <v>吳宗鴻</v>
      </c>
      <c r="F130" s="184" t="str">
        <f>IFERROR(IF(VLOOKUP(A130,門市狀態!A:D,4,FALSE)=0,"",VLOOKUP(A130,門市狀態!A:D,4,FALSE)),"")</f>
        <v/>
      </c>
      <c r="G130" s="185" t="s">
        <v>1746</v>
      </c>
      <c r="H130" s="186" t="str">
        <f>IF(I130&gt;0,(TEXT(I130,"yyyymmdd")&amp;$T$3&amp;A130&amp;$T$3&amp;B130&amp;$R$3),"")</f>
        <v>-4511-淡水屯山店(定保)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IF(AND(SUMPRODUCT((IM!F2:F732=A130)*(ISNUMBER(SEARCH("EDC", IM!AC2:AC732))))&gt;0), "EDC", "")</f>
        <v/>
      </c>
      <c r="N130" s="264" t="str" cm="1">
        <f t="array" ref="N130">IF(AND(SUMPRODUCT((IM!F2:F732=A130)*(ISNUMBER(SEARCH("STAR", IM!AC2:AC732))))&gt;0), "STAR", "")</f>
        <v/>
      </c>
      <c r="O130" s="256" t="str" cm="1">
        <f t="array" ref="O130">IFERROR(INDEX(IM!$X$2:$X$650, MATCH(1, (IM!$F$2:$F$650=A130) * (ISNUMBER(SEARCH($D$1, IM!$AC$2:$AC$650))), 0)), "")</f>
        <v/>
      </c>
      <c r="P130" s="191" t="str">
        <f>(TEXT(I130,"yyyymmdd"))&amp;$T$3&amp;A130&amp;$T$3&amp;B130&amp;$R$3</f>
        <v>-4511-淡水屯山店(定保)</v>
      </c>
      <c r="Q130" s="140"/>
      <c r="R130" s="140"/>
      <c r="S130" s="140"/>
      <c r="T130" s="140"/>
      <c r="U130" s="258">
        <f>IF(AND(W130&lt;&gt;"", X130&lt;&gt;""), 2, IF(OR(W130&lt;&gt;"", X130&lt;&gt;""), 1, 0))</f>
        <v>0</v>
      </c>
      <c r="V130" s="246" t="str">
        <f>IF(I130="", "未到店",
   IF(M130&lt;&gt;"EDC", "異常",
      IF(OR(AND(Y130="STAR", N130="STAR"), AND(Y130&lt;&gt;"STAR", N130="")), "已完工", "異常")
   )
)</f>
        <v>未到店</v>
      </c>
      <c r="X130" s="5"/>
      <c r="Y130" s="5" t="str">
        <f>IF(U130&gt;0,"STAR","")</f>
        <v/>
      </c>
    </row>
    <row r="131" spans="1:25" ht="15.75" customHeight="1">
      <c r="A131" s="179">
        <v>2237</v>
      </c>
      <c r="B131" s="180" t="str">
        <f>VLOOKUP(A131,'0919門市清單主檔'!B:C,2,FALSE)</f>
        <v>北縣芝蘭店</v>
      </c>
      <c r="C131" s="181" t="str">
        <f>VLOOKUP($A131,'0919門市清單主檔'!B:V,20,FALSE)</f>
        <v>新北市</v>
      </c>
      <c r="D131" s="182" t="str">
        <f>VLOOKUP($A131,'0919門市清單主檔'!B:V,21,FALSE)</f>
        <v>三芝區</v>
      </c>
      <c r="E131" s="183" t="str">
        <f>VLOOKUP(D131,區域表!A:B,2,FALSE)</f>
        <v>吳宗鴻</v>
      </c>
      <c r="F131" s="184" t="str">
        <f>IFERROR(IF(VLOOKUP(A131,門市狀態!A:D,4,FALSE)=0,"",VLOOKUP(A131,門市狀態!A:D,4,FALSE)),"")</f>
        <v/>
      </c>
      <c r="G131" s="185" t="s">
        <v>1746</v>
      </c>
      <c r="H131" s="186" t="str">
        <f>IF(I131&gt;0,(TEXT(I131,"yyyymmdd")&amp;$T$3&amp;A131&amp;$T$3&amp;B131&amp;$R$3),"")</f>
        <v>-2237-北縣芝蘭店(定保)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IF(AND(SUMPRODUCT((IM!F2:F733=A131)*(ISNUMBER(SEARCH("EDC", IM!AC2:AC733))))&gt;0), "EDC", "")</f>
        <v/>
      </c>
      <c r="N131" s="264" t="str" cm="1">
        <f t="array" ref="N131">IF(AND(SUMPRODUCT((IM!F2:F733=A131)*(ISNUMBER(SEARCH("STAR", IM!AC2:AC733))))&gt;0), "STAR", "")</f>
        <v/>
      </c>
      <c r="O131" s="256" t="str" cm="1">
        <f t="array" ref="O131">IFERROR(INDEX(IM!$X$2:$X$650, MATCH(1, (IM!$F$2:$F$650=A131) * (ISNUMBER(SEARCH($D$1, IM!$AC$2:$AC$650))), 0)), "")</f>
        <v/>
      </c>
      <c r="P131" s="191" t="str">
        <f>(TEXT(I131,"yyyymmdd"))&amp;$T$3&amp;A131&amp;$T$3&amp;B131&amp;$R$3</f>
        <v>-2237-北縣芝蘭店(定保)</v>
      </c>
      <c r="Q131" s="140"/>
      <c r="R131" s="140"/>
      <c r="S131" s="140"/>
      <c r="T131" s="140"/>
      <c r="U131" s="258">
        <f>IF(AND(W131&lt;&gt;"", X131&lt;&gt;""), 2, IF(OR(W131&lt;&gt;"", X131&lt;&gt;""), 1, 0))</f>
        <v>2</v>
      </c>
      <c r="V131" s="246" t="str">
        <f>IF(I131="", "未到店",
   IF(M131&lt;&gt;"EDC", "異常",
      IF(OR(AND(Y131="STAR", N131="STAR"), AND(Y131&lt;&gt;"STAR", N131="")), "已完工", "異常")
   )
)</f>
        <v>未到店</v>
      </c>
      <c r="W131" s="3" t="s">
        <v>4257</v>
      </c>
      <c r="X131" s="5" t="s">
        <v>4258</v>
      </c>
      <c r="Y131" s="5" t="str">
        <f>IF(U131&gt;0,"STAR","")</f>
        <v>STAR</v>
      </c>
    </row>
    <row r="132" spans="1:25" ht="15.75" customHeight="1">
      <c r="A132" s="179">
        <v>3921</v>
      </c>
      <c r="B132" s="180" t="str">
        <f>VLOOKUP(A132,'0919門市清單主檔'!B:C,2,FALSE)</f>
        <v>五股福鑫店</v>
      </c>
      <c r="C132" s="181" t="str">
        <f>VLOOKUP($A132,'0919門市清單主檔'!B:V,20,FALSE)</f>
        <v>新北市</v>
      </c>
      <c r="D132" s="182" t="str">
        <f>VLOOKUP($A132,'0919門市清單主檔'!B:V,21,FALSE)</f>
        <v>五股區</v>
      </c>
      <c r="E132" s="183" t="str">
        <f>VLOOKUP(D132,區域表!A:B,2,FALSE)</f>
        <v>湯家瑋</v>
      </c>
      <c r="F132" s="184" t="str">
        <f>IFERROR(IF(VLOOKUP(A132,門市狀態!A:D,4,FALSE)=0,"",VLOOKUP(A132,門市狀態!A:D,4,FALSE)),"")</f>
        <v/>
      </c>
      <c r="G132" s="185" t="s">
        <v>1746</v>
      </c>
      <c r="H132" s="186" t="str">
        <f>IF(I132&gt;0,(TEXT(I132,"yyyymmdd")&amp;$T$3&amp;A132&amp;$T$3&amp;B132&amp;$R$3),"")</f>
        <v>-3921-五股福鑫店(定保)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IF(AND(SUMPRODUCT((IM!F2:F734=A132)*(ISNUMBER(SEARCH("EDC", IM!AC2:AC734))))&gt;0), "EDC", "")</f>
        <v/>
      </c>
      <c r="N132" s="264" t="str" cm="1">
        <f t="array" ref="N132">IF(AND(SUMPRODUCT((IM!F2:F734=A132)*(ISNUMBER(SEARCH("STAR", IM!AC2:AC734))))&gt;0), "STAR", "")</f>
        <v/>
      </c>
      <c r="O132" s="256" t="str" cm="1">
        <f t="array" ref="O132">IFERROR(INDEX(IM!$X$2:$X$650, MATCH(1, (IM!$F$2:$F$650=A132) * (ISNUMBER(SEARCH($D$1, IM!$AC$2:$AC$650))), 0)), "")</f>
        <v/>
      </c>
      <c r="P132" s="191" t="str">
        <f>(TEXT(I132,"yyyymmdd"))&amp;$T$3&amp;A132&amp;$T$3&amp;B132&amp;$R$3</f>
        <v>-3921-五股福鑫店(定保)</v>
      </c>
      <c r="Q132" s="140"/>
      <c r="R132" s="140"/>
      <c r="S132" s="140"/>
      <c r="T132" s="140"/>
      <c r="U132" s="258">
        <f>IF(AND(W132&lt;&gt;"", X132&lt;&gt;""), 2, IF(OR(W132&lt;&gt;"", X132&lt;&gt;""), 1, 0))</f>
        <v>2</v>
      </c>
      <c r="V132" s="246" t="str">
        <f>IF(I132="", "未到店",
   IF(M132&lt;&gt;"EDC", "異常",
      IF(OR(AND(Y132="STAR", N132="STAR"), AND(Y132&lt;&gt;"STAR", N132="")), "已完工", "異常")
   )
)</f>
        <v>未到店</v>
      </c>
      <c r="W132" s="3" t="s">
        <v>4259</v>
      </c>
      <c r="X132" s="5" t="s">
        <v>4260</v>
      </c>
      <c r="Y132" s="5" t="str">
        <f>IF(U132&gt;0,"STAR","")</f>
        <v>STAR</v>
      </c>
    </row>
    <row r="133" spans="1:25" ht="15.75" customHeight="1">
      <c r="A133" s="179">
        <v>4316</v>
      </c>
      <c r="B133" s="180" t="str">
        <f>VLOOKUP(A133,'0919門市清單主檔'!B:C,2,FALSE)</f>
        <v>五股工商店</v>
      </c>
      <c r="C133" s="181" t="str">
        <f>VLOOKUP($A133,'0919門市清單主檔'!B:V,20,FALSE)</f>
        <v>新北市</v>
      </c>
      <c r="D133" s="182" t="str">
        <f>VLOOKUP($A133,'0919門市清單主檔'!B:V,21,FALSE)</f>
        <v>五股區</v>
      </c>
      <c r="E133" s="183" t="str">
        <f>VLOOKUP(D133,區域表!A:B,2,FALSE)</f>
        <v>湯家瑋</v>
      </c>
      <c r="F133" s="184" t="str">
        <f>IFERROR(IF(VLOOKUP(A133,門市狀態!A:D,4,FALSE)=0,"",VLOOKUP(A133,門市狀態!A:D,4,FALSE)),"")</f>
        <v/>
      </c>
      <c r="G133" s="185" t="s">
        <v>1746</v>
      </c>
      <c r="H133" s="186" t="str">
        <f>IF(I133&gt;0,(TEXT(I133,"yyyymmdd")&amp;$T$3&amp;A133&amp;$T$3&amp;B133&amp;$R$3),"")</f>
        <v>-4316-五股工商店(定保)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IF(AND(SUMPRODUCT((IM!F2:F735=A133)*(ISNUMBER(SEARCH("EDC", IM!AC2:AC735))))&gt;0), "EDC", "")</f>
        <v/>
      </c>
      <c r="N133" s="264" t="str" cm="1">
        <f t="array" ref="N133">IF(AND(SUMPRODUCT((IM!F2:F735=A133)*(ISNUMBER(SEARCH("STAR", IM!AC2:AC735))))&gt;0), "STAR", "")</f>
        <v>STAR</v>
      </c>
      <c r="O133" s="256" cm="1">
        <f t="array" ref="O133">IFERROR(INDEX(IM!$X$2:$X$650, MATCH(1, (IM!$F$2:$F$650=A133) * (ISNUMBER(SEARCH($D$1, IM!$AC$2:$AC$650))), 0)), "")</f>
        <v>45726.465277777781</v>
      </c>
      <c r="P133" s="191" t="str">
        <f>(TEXT(I133,"yyyymmdd"))&amp;$T$3&amp;A133&amp;$T$3&amp;B133&amp;$R$3</f>
        <v>-4316-五股工商店(定保)</v>
      </c>
      <c r="Q133" s="140"/>
      <c r="R133" s="140"/>
      <c r="S133" s="140"/>
      <c r="T133" s="140"/>
      <c r="U133" s="258">
        <f>IF(AND(W133&lt;&gt;"", X133&lt;&gt;""), 2, IF(OR(W133&lt;&gt;"", X133&lt;&gt;""), 1, 0))</f>
        <v>0</v>
      </c>
      <c r="V133" s="246" t="str">
        <f>IF(I133="", "未到店",
   IF(M133&lt;&gt;"EDC", "異常",
      IF(OR(AND(Y133="STAR", N133="STAR"), AND(Y133&lt;&gt;"STAR", N133="")), "已完工", "異常")
   )
)</f>
        <v>未到店</v>
      </c>
      <c r="X133" s="5"/>
      <c r="Y133" s="286" t="s">
        <v>5036</v>
      </c>
    </row>
    <row r="134" spans="1:25" ht="15.75" customHeight="1">
      <c r="A134" s="179">
        <v>4844</v>
      </c>
      <c r="B134" s="180" t="str">
        <f>VLOOKUP(A134,'0919門市清單主檔'!B:C,2,FALSE)</f>
        <v>三芝天涯店</v>
      </c>
      <c r="C134" s="181" t="str">
        <f>VLOOKUP($A134,'0919門市清單主檔'!B:V,20,FALSE)</f>
        <v>新北市</v>
      </c>
      <c r="D134" s="182" t="str">
        <f>VLOOKUP($A134,'0919門市清單主檔'!B:V,21,FALSE)</f>
        <v>三芝區</v>
      </c>
      <c r="E134" s="183" t="str">
        <f>VLOOKUP(D134,區域表!A:B,2,FALSE)</f>
        <v>吳宗鴻</v>
      </c>
      <c r="F134" s="184" t="str">
        <f>IFERROR(IF(VLOOKUP(A134,門市狀態!A:D,4,FALSE)=0,"",VLOOKUP(A134,門市狀態!A:D,4,FALSE)),"")</f>
        <v/>
      </c>
      <c r="G134" s="185" t="s">
        <v>1746</v>
      </c>
      <c r="H134" s="186" t="str">
        <f>IF(I134&gt;0,(TEXT(I134,"yyyymmdd")&amp;$T$3&amp;A134&amp;$T$3&amp;B134&amp;$R$3),"")</f>
        <v>-4844-三芝天涯店(定保)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IF(AND(SUMPRODUCT((IM!F2:F736=A134)*(ISNUMBER(SEARCH("EDC", IM!AC2:AC736))))&gt;0), "EDC", "")</f>
        <v/>
      </c>
      <c r="N134" s="264" t="str" cm="1">
        <f t="array" ref="N134">IF(AND(SUMPRODUCT((IM!F2:F736=A134)*(ISNUMBER(SEARCH("STAR", IM!AC2:AC736))))&gt;0), "STAR", "")</f>
        <v/>
      </c>
      <c r="O134" s="256" t="str" cm="1">
        <f t="array" ref="O134">IFERROR(INDEX(IM!$X$2:$X$650, MATCH(1, (IM!$F$2:$F$650=A134) * (ISNUMBER(SEARCH($D$1, IM!$AC$2:$AC$650))), 0)), "")</f>
        <v/>
      </c>
      <c r="P134" s="191" t="str">
        <f>(TEXT(I134,"yyyymmdd"))&amp;$T$3&amp;A134&amp;$T$3&amp;B134&amp;$R$3</f>
        <v>-4844-三芝天涯店(定保)</v>
      </c>
      <c r="Q134" s="140"/>
      <c r="R134" s="140"/>
      <c r="S134" s="140"/>
      <c r="T134" s="140"/>
      <c r="U134" s="258">
        <f>IF(AND(W134&lt;&gt;"", X134&lt;&gt;""), 2, IF(OR(W134&lt;&gt;"", X134&lt;&gt;""), 1, 0))</f>
        <v>0</v>
      </c>
      <c r="V134" s="246" t="str">
        <f>IF(I134="", "未到店",
   IF(M134&lt;&gt;"EDC", "異常",
      IF(OR(AND(Y134="STAR", N134="STAR"), AND(Y134&lt;&gt;"STAR", N134="")), "已完工", "異常")
   )
)</f>
        <v>未到店</v>
      </c>
      <c r="X134" s="5"/>
      <c r="Y134" s="5" t="str">
        <f>IF(U134&gt;0,"STAR","")</f>
        <v/>
      </c>
    </row>
    <row r="135" spans="1:25" ht="15.75" customHeight="1">
      <c r="A135" s="179">
        <v>4538</v>
      </c>
      <c r="B135" s="180" t="str">
        <f>VLOOKUP(A135,'0919門市清單主檔'!B:C,2,FALSE)</f>
        <v>林口童樂店</v>
      </c>
      <c r="C135" s="181" t="str">
        <f>VLOOKUP($A135,'0919門市清單主檔'!B:V,20,FALSE)</f>
        <v>新北市</v>
      </c>
      <c r="D135" s="182" t="str">
        <f>VLOOKUP($A135,'0919門市清單主檔'!B:V,21,FALSE)</f>
        <v>林口區</v>
      </c>
      <c r="E135" s="183" t="str">
        <f>VLOOKUP(D135,區域表!A:B,2,FALSE)</f>
        <v>湯家瑋</v>
      </c>
      <c r="F135" s="184" t="str">
        <f>IFERROR(IF(VLOOKUP(A135,門市狀態!A:D,4,FALSE)=0,"",VLOOKUP(A135,門市狀態!A:D,4,FALSE)),"")</f>
        <v/>
      </c>
      <c r="G135" s="185" t="s">
        <v>1746</v>
      </c>
      <c r="H135" s="186" t="str">
        <f>IF(I135&gt;0,(TEXT(I135,"yyyymmdd")&amp;$T$3&amp;A135&amp;$T$3&amp;B135&amp;$R$3),"")</f>
        <v>-4538-林口童樂店(定保)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IF(AND(SUMPRODUCT((IM!F2:F737=A135)*(ISNUMBER(SEARCH("EDC", IM!AC2:AC737))))&gt;0), "EDC", "")</f>
        <v/>
      </c>
      <c r="N135" s="264" t="str" cm="1">
        <f t="array" ref="N135">IF(AND(SUMPRODUCT((IM!F2:F737=A135)*(ISNUMBER(SEARCH("STAR", IM!AC2:AC737))))&gt;0), "STAR", "")</f>
        <v/>
      </c>
      <c r="O135" s="256" t="str" cm="1">
        <f t="array" ref="O135">IFERROR(INDEX(IM!$X$2:$X$650, MATCH(1, (IM!$F$2:$F$650=A135) * (ISNUMBER(SEARCH($D$1, IM!$AC$2:$AC$650))), 0)), "")</f>
        <v/>
      </c>
      <c r="P135" s="191" t="str">
        <f>(TEXT(I135,"yyyymmdd"))&amp;$T$3&amp;A135&amp;$T$3&amp;B135&amp;$R$3</f>
        <v>-4538-林口童樂店(定保)</v>
      </c>
      <c r="Q135" s="140"/>
      <c r="R135" s="140"/>
      <c r="S135" s="140"/>
      <c r="T135" s="140"/>
      <c r="U135" s="258">
        <f>IF(AND(W135&lt;&gt;"", X135&lt;&gt;""), 2, IF(OR(W135&lt;&gt;"", X135&lt;&gt;""), 1, 0))</f>
        <v>0</v>
      </c>
      <c r="V135" s="246" t="str">
        <f>IF(I135="", "未到店",
   IF(M135&lt;&gt;"EDC", "異常",
      IF(OR(AND(Y135="STAR", N135="STAR"), AND(Y135&lt;&gt;"STAR", N135="")), "已完工", "異常")
   )
)</f>
        <v>未到店</v>
      </c>
      <c r="X135" s="5"/>
      <c r="Y135" s="5" t="str">
        <f>IF(U135&gt;0,"STAR","")</f>
        <v/>
      </c>
    </row>
    <row r="136" spans="1:25" ht="15.75" customHeight="1">
      <c r="A136" s="179">
        <v>4514</v>
      </c>
      <c r="B136" s="180" t="str">
        <f>VLOOKUP(A136,'0919門市清單主檔'!B:C,2,FALSE)</f>
        <v>林口老師店</v>
      </c>
      <c r="C136" s="181" t="str">
        <f>VLOOKUP($A136,'0919門市清單主檔'!B:V,20,FALSE)</f>
        <v>新北市</v>
      </c>
      <c r="D136" s="182" t="str">
        <f>VLOOKUP($A136,'0919門市清單主檔'!B:V,21,FALSE)</f>
        <v>林口區</v>
      </c>
      <c r="E136" s="183" t="str">
        <f>VLOOKUP(D136,區域表!A:B,2,FALSE)</f>
        <v>湯家瑋</v>
      </c>
      <c r="F136" s="184" t="str">
        <f>IFERROR(IF(VLOOKUP(A136,門市狀態!A:D,4,FALSE)=0,"",VLOOKUP(A136,門市狀態!A:D,4,FALSE)),"")</f>
        <v/>
      </c>
      <c r="G136" s="185" t="s">
        <v>1746</v>
      </c>
      <c r="H136" s="186" t="str">
        <f>IF(I136&gt;0,(TEXT(I136,"yyyymmdd")&amp;$T$3&amp;A136&amp;$T$3&amp;B136&amp;$R$3),"")</f>
        <v>-4514-林口老師店(定保)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IF(AND(SUMPRODUCT((IM!F2:F739=A136)*(ISNUMBER(SEARCH("EDC", IM!AC2:AC739))))&gt;0), "EDC", "")</f>
        <v/>
      </c>
      <c r="N136" s="264" t="str" cm="1">
        <f t="array" ref="N136">IF(AND(SUMPRODUCT((IM!F2:F739=A136)*(ISNUMBER(SEARCH("STAR", IM!AC2:AC739))))&gt;0), "STAR", "")</f>
        <v/>
      </c>
      <c r="O136" s="256" t="str" cm="1">
        <f t="array" ref="O136">IFERROR(INDEX(IM!$X$2:$X$650, MATCH(1, (IM!$F$2:$F$650=A136) * (ISNUMBER(SEARCH($D$1, IM!$AC$2:$AC$650))), 0)), "")</f>
        <v/>
      </c>
      <c r="P136" s="191" t="str">
        <f>(TEXT(I136,"yyyymmdd"))&amp;$T$3&amp;A136&amp;$T$3&amp;B136&amp;$R$3</f>
        <v>-4514-林口老師店(定保)</v>
      </c>
      <c r="Q136" s="140"/>
      <c r="R136" s="140"/>
      <c r="S136" s="140"/>
      <c r="T136" s="140"/>
      <c r="U136" s="258">
        <f>IF(AND(W136&lt;&gt;"", X136&lt;&gt;""), 2, IF(OR(W136&lt;&gt;"", X136&lt;&gt;""), 1, 0))</f>
        <v>0</v>
      </c>
      <c r="V136" s="246" t="str">
        <f>IF(I136="", "未到店",
   IF(M136&lt;&gt;"EDC", "異常",
      IF(OR(AND(Y136="STAR", N136="STAR"), AND(Y136&lt;&gt;"STAR", N136="")), "已完工", "異常")
   )
)</f>
        <v>未到店</v>
      </c>
      <c r="X136" s="5"/>
      <c r="Y136" s="5" t="str">
        <f>IF(U136&gt;0,"STAR","")</f>
        <v/>
      </c>
    </row>
    <row r="137" spans="1:25" ht="15.75" customHeight="1">
      <c r="A137" s="179">
        <v>2109</v>
      </c>
      <c r="B137" s="180" t="str">
        <f>VLOOKUP(A137,'0919門市清單主檔'!B:C,2,FALSE)</f>
        <v>北縣瓊林南店</v>
      </c>
      <c r="C137" s="181" t="str">
        <f>VLOOKUP($A137,'0919門市清單主檔'!B:V,20,FALSE)</f>
        <v>新北市</v>
      </c>
      <c r="D137" s="182" t="str">
        <f>VLOOKUP($A137,'0919門市清單主檔'!B:V,21,FALSE)</f>
        <v>新莊區</v>
      </c>
      <c r="E137" s="183" t="str">
        <f>VLOOKUP(D137,區域表!A:B,2,FALSE)</f>
        <v>湯家瑋</v>
      </c>
      <c r="F137" s="184" t="str">
        <f>IFERROR(IF(VLOOKUP(A137,門市狀態!A:D,4,FALSE)=0,"",VLOOKUP(A137,門市狀態!A:D,4,FALSE)),"")</f>
        <v/>
      </c>
      <c r="G137" s="185" t="s">
        <v>1746</v>
      </c>
      <c r="H137" s="186" t="str">
        <f>IF(I137&gt;0,(TEXT(I137,"yyyymmdd")&amp;$T$3&amp;A137&amp;$T$3&amp;B137&amp;$R$3),"")</f>
        <v>-2109-北縣瓊林南店(定保)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IF(AND(SUMPRODUCT((IM!F2:F742=A137)*(ISNUMBER(SEARCH("EDC", IM!AC2:AC742))))&gt;0), "EDC", "")</f>
        <v/>
      </c>
      <c r="N137" s="264" t="str" cm="1">
        <f t="array" ref="N137">IF(AND(SUMPRODUCT((IM!F2:F742=A137)*(ISNUMBER(SEARCH("STAR", IM!AC2:AC742))))&gt;0), "STAR", "")</f>
        <v/>
      </c>
      <c r="O137" s="256" t="str" cm="1">
        <f t="array" ref="O137">IFERROR(INDEX(IM!$X$2:$X$650, MATCH(1, (IM!$F$2:$F$650=A137) * (ISNUMBER(SEARCH($D$1, IM!$AC$2:$AC$650))), 0)), "")</f>
        <v/>
      </c>
      <c r="P137" s="191" t="str">
        <f>(TEXT(I137,"yyyymmdd"))&amp;$T$3&amp;A137&amp;$T$3&amp;B137&amp;$R$3</f>
        <v>-2109-北縣瓊林南店(定保)</v>
      </c>
      <c r="Q137" s="140"/>
      <c r="R137" s="140"/>
      <c r="S137" s="140"/>
      <c r="T137" s="140"/>
      <c r="U137" s="258">
        <f>IF(AND(W137&lt;&gt;"", X137&lt;&gt;""), 2, IF(OR(W137&lt;&gt;"", X137&lt;&gt;""), 1, 0))</f>
        <v>2</v>
      </c>
      <c r="V137" s="246" t="str">
        <f>IF(I137="", "未到店",
   IF(M137&lt;&gt;"EDC", "異常",
      IF(OR(AND(Y137="STAR", N137="STAR"), AND(Y137&lt;&gt;"STAR", N137="")), "已完工", "異常")
   )
)</f>
        <v>未到店</v>
      </c>
      <c r="W137" s="3" t="s">
        <v>4265</v>
      </c>
      <c r="X137" s="5" t="s">
        <v>4266</v>
      </c>
      <c r="Y137" s="5" t="str">
        <f>IF(U137&gt;0,"STAR","")</f>
        <v>STAR</v>
      </c>
    </row>
    <row r="138" spans="1:25" ht="15.75" customHeight="1">
      <c r="A138" s="179" t="s">
        <v>22</v>
      </c>
      <c r="B138" s="180" t="str">
        <f>VLOOKUP(A138,'0919門市清單主檔'!B:C,2,FALSE)</f>
        <v>三重中興北</v>
      </c>
      <c r="C138" s="181" t="str">
        <f>VLOOKUP($A138,'0919門市清單主檔'!B:V,20,FALSE)</f>
        <v>新北市</v>
      </c>
      <c r="D138" s="182" t="str">
        <f>VLOOKUP($A138,'0919門市清單主檔'!B:V,21,FALSE)</f>
        <v>三重區</v>
      </c>
      <c r="E138" s="183" t="str">
        <f>VLOOKUP(D138,區域表!A:B,2,FALSE)</f>
        <v>吳宗鴻</v>
      </c>
      <c r="F138" s="184" t="str">
        <f>IFERROR(IF(VLOOKUP(A138,門市狀態!A:D,4,FALSE)=0,"",VLOOKUP(A138,門市狀態!A:D,4,FALSE)),"")</f>
        <v/>
      </c>
      <c r="G138" s="185" t="s">
        <v>1746</v>
      </c>
      <c r="H138" s="186" t="str">
        <f>IF(I138&gt;0,(TEXT(I138,"yyyymmdd")&amp;$T$3&amp;A138&amp;$T$3&amp;B138&amp;$R$3),"")</f>
        <v>-D087-三重中興北(定保)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IF(AND(SUMPRODUCT((IM!F2:F743=A138)*(ISNUMBER(SEARCH("EDC", IM!AC2:AC743))))&gt;0), "EDC", "")</f>
        <v/>
      </c>
      <c r="N138" s="264" t="str" cm="1">
        <f t="array" ref="N138">IF(AND(SUMPRODUCT((IM!F2:F743=A138)*(ISNUMBER(SEARCH("STAR", IM!AC2:AC743))))&gt;0), "STAR", "")</f>
        <v/>
      </c>
      <c r="O138" s="256" t="str" cm="1">
        <f t="array" ref="O138">IFERROR(INDEX(IM!$X$2:$X$650, MATCH(1, (IM!$F$2:$F$650=A138) * (ISNUMBER(SEARCH($D$1, IM!$AC$2:$AC$650))), 0)), "")</f>
        <v/>
      </c>
      <c r="P138" s="191" t="str">
        <f>(TEXT(I138,"yyyymmdd"))&amp;$T$3&amp;A138&amp;$T$3&amp;B138&amp;$R$3</f>
        <v>-D087-三重中興北(定保)</v>
      </c>
      <c r="Q138" s="140"/>
      <c r="R138" s="140"/>
      <c r="S138" s="140"/>
      <c r="T138" s="140"/>
      <c r="U138" s="258">
        <f>IF(AND(W138&lt;&gt;"", X138&lt;&gt;""), 2, IF(OR(W138&lt;&gt;"", X138&lt;&gt;""), 1, 0))</f>
        <v>1</v>
      </c>
      <c r="V138" s="246" t="str">
        <f>IF(I138="", "未到店",
   IF(M138&lt;&gt;"EDC", "異常",
      IF(OR(AND(Y138="STAR", N138="STAR"), AND(Y138&lt;&gt;"STAR", N138="")), "已完工", "異常")
   )
)</f>
        <v>未到店</v>
      </c>
      <c r="X138" s="5" t="s">
        <v>4267</v>
      </c>
      <c r="Y138" s="5" t="str">
        <f>IF(U138&gt;0,"STAR","")</f>
        <v>STAR</v>
      </c>
    </row>
    <row r="139" spans="1:25" ht="15.75" customHeight="1">
      <c r="A139" s="179">
        <v>4208</v>
      </c>
      <c r="B139" s="180" t="str">
        <f>VLOOKUP(A139,'0919門市清單主檔'!B:C,2,FALSE)</f>
        <v>新莊瓊泰店</v>
      </c>
      <c r="C139" s="181" t="str">
        <f>VLOOKUP($A139,'0919門市清單主檔'!B:V,20,FALSE)</f>
        <v>新北市</v>
      </c>
      <c r="D139" s="182" t="str">
        <f>VLOOKUP($A139,'0919門市清單主檔'!B:V,21,FALSE)</f>
        <v>新莊區</v>
      </c>
      <c r="E139" s="183" t="str">
        <f>VLOOKUP(D139,區域表!A:B,2,FALSE)</f>
        <v>湯家瑋</v>
      </c>
      <c r="F139" s="184" t="str">
        <f>IFERROR(IF(VLOOKUP(A139,門市狀態!A:D,4,FALSE)=0,"",VLOOKUP(A139,門市狀態!A:D,4,FALSE)),"")</f>
        <v/>
      </c>
      <c r="G139" s="185" t="s">
        <v>1746</v>
      </c>
      <c r="H139" s="186" t="str">
        <f>IF(I139&gt;0,(TEXT(I139,"yyyymmdd")&amp;$T$3&amp;A139&amp;$T$3&amp;B139&amp;$R$3),"")</f>
        <v>-4208-新莊瓊泰店(定保)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IF(AND(SUMPRODUCT((IM!F2:F744=A139)*(ISNUMBER(SEARCH("EDC", IM!AC2:AC744))))&gt;0), "EDC", "")</f>
        <v/>
      </c>
      <c r="N139" s="264" t="str" cm="1">
        <f t="array" ref="N139">IF(AND(SUMPRODUCT((IM!F2:F744=A139)*(ISNUMBER(SEARCH("STAR", IM!AC2:AC744))))&gt;0), "STAR", "")</f>
        <v/>
      </c>
      <c r="O139" s="256" t="str" cm="1">
        <f t="array" ref="O139">IFERROR(INDEX(IM!$X$2:$X$650, MATCH(1, (IM!$F$2:$F$650=A139) * (ISNUMBER(SEARCH($D$1, IM!$AC$2:$AC$650))), 0)), "")</f>
        <v/>
      </c>
      <c r="P139" s="191" t="str">
        <f>(TEXT(I139,"yyyymmdd"))&amp;$T$3&amp;A139&amp;$T$3&amp;B139&amp;$R$3</f>
        <v>-4208-新莊瓊泰店(定保)</v>
      </c>
      <c r="Q139" s="140"/>
      <c r="R139" s="140"/>
      <c r="S139" s="140"/>
      <c r="T139" s="140"/>
      <c r="U139" s="258">
        <f>IF(AND(W139&lt;&gt;"", X139&lt;&gt;""), 2, IF(OR(W139&lt;&gt;"", X139&lt;&gt;""), 1, 0))</f>
        <v>0</v>
      </c>
      <c r="V139" s="246" t="str">
        <f>IF(I139="", "未到店",
   IF(M139&lt;&gt;"EDC", "異常",
      IF(OR(AND(Y139="STAR", N139="STAR"), AND(Y139&lt;&gt;"STAR", N139="")), "已完工", "異常")
   )
)</f>
        <v>未到店</v>
      </c>
      <c r="X139" s="5"/>
      <c r="Y139" s="5" t="str">
        <f>IF(U139&gt;0,"STAR","")</f>
        <v/>
      </c>
    </row>
    <row r="140" spans="1:25" ht="15.75" customHeight="1">
      <c r="A140" s="179" t="s">
        <v>23</v>
      </c>
      <c r="B140" s="180" t="str">
        <f>VLOOKUP(A140,'0919門市清單主檔'!B:C,2,FALSE)</f>
        <v>三重中興北二</v>
      </c>
      <c r="C140" s="181" t="str">
        <f>VLOOKUP($A140,'0919門市清單主檔'!B:V,20,FALSE)</f>
        <v>新北市</v>
      </c>
      <c r="D140" s="182" t="str">
        <f>VLOOKUP($A140,'0919門市清單主檔'!B:V,21,FALSE)</f>
        <v>三重區</v>
      </c>
      <c r="E140" s="183" t="str">
        <f>VLOOKUP(D140,區域表!A:B,2,FALSE)</f>
        <v>吳宗鴻</v>
      </c>
      <c r="F140" s="184" t="str">
        <f>IFERROR(IF(VLOOKUP(A140,門市狀態!A:D,4,FALSE)=0,"",VLOOKUP(A140,門市狀態!A:D,4,FALSE)),"")</f>
        <v/>
      </c>
      <c r="G140" s="185" t="s">
        <v>1746</v>
      </c>
      <c r="H140" s="186" t="str">
        <f>IF(I140&gt;0,(TEXT(I140,"yyyymmdd")&amp;$T$3&amp;A140&amp;$T$3&amp;B140&amp;$R$3),"")</f>
        <v>-D138-三重中興北二(定保)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IF(AND(SUMPRODUCT((IM!F2:F745=A140)*(ISNUMBER(SEARCH("EDC", IM!AC2:AC745))))&gt;0), "EDC", "")</f>
        <v/>
      </c>
      <c r="N140" s="264" t="str" cm="1">
        <f t="array" ref="N140">IF(AND(SUMPRODUCT((IM!F2:F745=A140)*(ISNUMBER(SEARCH("STAR", IM!AC2:AC745))))&gt;0), "STAR", "")</f>
        <v/>
      </c>
      <c r="O140" s="256" t="str" cm="1">
        <f t="array" ref="O140">IFERROR(INDEX(IM!$X$2:$X$650, MATCH(1, (IM!$F$2:$F$650=A140) * (ISNUMBER(SEARCH($D$1, IM!$AC$2:$AC$650))), 0)), "")</f>
        <v/>
      </c>
      <c r="P140" s="191" t="str">
        <f>(TEXT(I140,"yyyymmdd"))&amp;$T$3&amp;A140&amp;$T$3&amp;B140&amp;$R$3</f>
        <v>-D138-三重中興北二(定保)</v>
      </c>
      <c r="Q140" s="140"/>
      <c r="R140" s="140"/>
      <c r="S140" s="140"/>
      <c r="T140" s="140"/>
      <c r="U140" s="258">
        <f>IF(AND(W140&lt;&gt;"", X140&lt;&gt;""), 2, IF(OR(W140&lt;&gt;"", X140&lt;&gt;""), 1, 0))</f>
        <v>2</v>
      </c>
      <c r="V140" s="246" t="str">
        <f>IF(I140="", "未到店",
   IF(M140&lt;&gt;"EDC", "異常",
      IF(OR(AND(Y140="STAR", N140="STAR"), AND(Y140&lt;&gt;"STAR", N140="")), "已完工", "異常")
   )
)</f>
        <v>未到店</v>
      </c>
      <c r="W140" s="3" t="s">
        <v>4268</v>
      </c>
      <c r="X140" s="5" t="s">
        <v>4269</v>
      </c>
      <c r="Y140" s="5" t="str">
        <f>IF(U140&gt;0,"STAR","")</f>
        <v>STAR</v>
      </c>
    </row>
    <row r="141" spans="1:25" ht="15.75" customHeight="1">
      <c r="A141" s="179">
        <v>2743</v>
      </c>
      <c r="B141" s="180" t="str">
        <f>VLOOKUP(A141,'0919門市清單主檔'!B:C,2,FALSE)</f>
        <v>新莊豐年店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1746</v>
      </c>
      <c r="H141" s="186" t="str">
        <f>IF(I141&gt;0,(TEXT(I141,"yyyymmdd")&amp;$T$3&amp;A141&amp;$T$3&amp;B141&amp;$R$3),"")</f>
        <v>-2743-新莊豐年店(定保)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IF(AND(SUMPRODUCT((IM!F2:F746=A141)*(ISNUMBER(SEARCH("EDC", IM!AC2:AC746))))&gt;0), "EDC", "")</f>
        <v/>
      </c>
      <c r="N141" s="264" t="str" cm="1">
        <f t="array" ref="N141">IF(AND(SUMPRODUCT((IM!F2:F746=A141)*(ISNUMBER(SEARCH("STAR", IM!AC2:AC746))))&gt;0), "STAR", "")</f>
        <v/>
      </c>
      <c r="O141" s="256" t="str" cm="1">
        <f t="array" ref="O141">IFERROR(INDEX(IM!$X$2:$X$650, MATCH(1, (IM!$F$2:$F$650=A141) * (ISNUMBER(SEARCH($D$1, IM!$AC$2:$AC$650))), 0)), "")</f>
        <v/>
      </c>
      <c r="P141" s="191" t="str">
        <f>(TEXT(I141,"yyyymmdd"))&amp;$T$3&amp;A141&amp;$T$3&amp;B141&amp;$R$3</f>
        <v>-2743-新莊豐年店(定保)</v>
      </c>
      <c r="Q141" s="140"/>
      <c r="R141" s="140"/>
      <c r="S141" s="140"/>
      <c r="T141" s="140"/>
      <c r="U141" s="258">
        <f>IF(AND(W141&lt;&gt;"", X141&lt;&gt;""), 2, IF(OR(W141&lt;&gt;"", X141&lt;&gt;""), 1, 0))</f>
        <v>1</v>
      </c>
      <c r="V141" s="246" t="str">
        <f>IF(I141="", "未到店",
   IF(M141&lt;&gt;"EDC", "異常",
      IF(OR(AND(Y141="STAR", N141="STAR"), AND(Y141&lt;&gt;"STAR", N141="")), "已完工", "異常")
   )
)</f>
        <v>未到店</v>
      </c>
      <c r="X141" s="5" t="s">
        <v>4270</v>
      </c>
      <c r="Y141" s="5" t="str">
        <f>IF(U141&gt;0,"STAR","")</f>
        <v>STAR</v>
      </c>
    </row>
    <row r="142" spans="1:25" ht="15.75" customHeight="1">
      <c r="A142" s="179">
        <v>3785</v>
      </c>
      <c r="B142" s="180" t="str">
        <f>VLOOKUP(A142,'0919門市清單主檔'!B:C,2,FALSE)</f>
        <v>北縣莊榮店</v>
      </c>
      <c r="C142" s="181" t="str">
        <f>VLOOKUP($A142,'0919門市清單主檔'!B:V,20,FALSE)</f>
        <v>新北市</v>
      </c>
      <c r="D142" s="182" t="str">
        <f>VLOOKUP($A142,'0919門市清單主檔'!B:V,21,FALSE)</f>
        <v>新莊區</v>
      </c>
      <c r="E142" s="183" t="str">
        <f>VLOOKUP(D142,區域表!A:B,2,FALSE)</f>
        <v>湯家瑋</v>
      </c>
      <c r="F142" s="184" t="str">
        <f>IFERROR(IF(VLOOKUP(A142,門市狀態!A:D,4,FALSE)=0,"",VLOOKUP(A142,門市狀態!A:D,4,FALSE)),"")</f>
        <v/>
      </c>
      <c r="G142" s="185" t="s">
        <v>1746</v>
      </c>
      <c r="H142" s="186" t="str">
        <f>IF(I142&gt;0,(TEXT(I142,"yyyymmdd")&amp;$T$3&amp;A142&amp;$T$3&amp;B142&amp;$R$3),"")</f>
        <v>-3785-北縣莊榮店(定保)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IF(AND(SUMPRODUCT((IM!F2:F747=A142)*(ISNUMBER(SEARCH("EDC", IM!AC2:AC747))))&gt;0), "EDC", "")</f>
        <v/>
      </c>
      <c r="N142" s="264" t="str" cm="1">
        <f t="array" ref="N142">IF(AND(SUMPRODUCT((IM!F2:F747=A142)*(ISNUMBER(SEARCH("STAR", IM!AC2:AC747))))&gt;0), "STAR", "")</f>
        <v/>
      </c>
      <c r="O142" s="256" t="str" cm="1">
        <f t="array" ref="O142">IFERROR(INDEX(IM!$X$2:$X$650, MATCH(1, (IM!$F$2:$F$650=A142) * (ISNUMBER(SEARCH($D$1, IM!$AC$2:$AC$650))), 0)), "")</f>
        <v/>
      </c>
      <c r="P142" s="191" t="str">
        <f>(TEXT(I142,"yyyymmdd"))&amp;$T$3&amp;A142&amp;$T$3&amp;B142&amp;$R$3</f>
        <v>-3785-北縣莊榮店(定保)</v>
      </c>
      <c r="Q142" s="140"/>
      <c r="R142" s="140"/>
      <c r="S142" s="140"/>
      <c r="T142" s="140"/>
      <c r="U142" s="258">
        <f>IF(AND(W142&lt;&gt;"", X142&lt;&gt;""), 2, IF(OR(W142&lt;&gt;"", X142&lt;&gt;""), 1, 0))</f>
        <v>0</v>
      </c>
      <c r="V142" s="246" t="str">
        <f>IF(I142="", "未到店",
   IF(M142&lt;&gt;"EDC", "異常",
      IF(OR(AND(Y142="STAR", N142="STAR"), AND(Y142&lt;&gt;"STAR", N142="")), "已完工", "異常")
   )
)</f>
        <v>未到店</v>
      </c>
      <c r="X142" s="5"/>
      <c r="Y142" s="5" t="str">
        <f>IF(U142&gt;0,"STAR","")</f>
        <v/>
      </c>
    </row>
    <row r="143" spans="1:25" ht="15.75" customHeight="1">
      <c r="A143" s="179">
        <v>4698</v>
      </c>
      <c r="B143" s="180" t="str">
        <f>VLOOKUP(A143,'0919門市清單主檔'!B:C,2,FALSE)</f>
        <v>三重頂崁店</v>
      </c>
      <c r="C143" s="181" t="str">
        <f>VLOOKUP($A143,'0919門市清單主檔'!B:V,20,FALSE)</f>
        <v>新北市</v>
      </c>
      <c r="D143" s="182" t="str">
        <f>VLOOKUP($A143,'0919門市清單主檔'!B:V,21,FALSE)</f>
        <v>三重區</v>
      </c>
      <c r="E143" s="183" t="str">
        <f>VLOOKUP(D143,區域表!A:B,2,FALSE)</f>
        <v>吳宗鴻</v>
      </c>
      <c r="F143" s="184" t="str">
        <f>IFERROR(IF(VLOOKUP(A143,門市狀態!A:D,4,FALSE)=0,"",VLOOKUP(A143,門市狀態!A:D,4,FALSE)),"")</f>
        <v/>
      </c>
      <c r="G143" s="185" t="s">
        <v>1746</v>
      </c>
      <c r="H143" s="186" t="str">
        <f>IF(I143&gt;0,(TEXT(I143,"yyyymmdd")&amp;$T$3&amp;A143&amp;$T$3&amp;B143&amp;$R$3),"")</f>
        <v>-4698-三重頂崁店(定保)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IF(AND(SUMPRODUCT((IM!F2:F748=A143)*(ISNUMBER(SEARCH("EDC", IM!AC2:AC748))))&gt;0), "EDC", "")</f>
        <v/>
      </c>
      <c r="N143" s="264" t="str" cm="1">
        <f t="array" ref="N143">IF(AND(SUMPRODUCT((IM!F2:F748=A143)*(ISNUMBER(SEARCH("STAR", IM!AC2:AC748))))&gt;0), "STAR", "")</f>
        <v/>
      </c>
      <c r="O143" s="256" t="str" cm="1">
        <f t="array" ref="O143">IFERROR(INDEX(IM!$X$2:$X$650, MATCH(1, (IM!$F$2:$F$650=A143) * (ISNUMBER(SEARCH($D$1, IM!$AC$2:$AC$650))), 0)), "")</f>
        <v/>
      </c>
      <c r="P143" s="191" t="str">
        <f>(TEXT(I143,"yyyymmdd"))&amp;$T$3&amp;A143&amp;$T$3&amp;B143&amp;$R$3</f>
        <v>-4698-三重頂崁店(定保)</v>
      </c>
      <c r="Q143" s="140"/>
      <c r="R143" s="140"/>
      <c r="S143" s="140"/>
      <c r="T143" s="140"/>
      <c r="U143" s="258">
        <f>IF(AND(W143&lt;&gt;"", X143&lt;&gt;""), 2, IF(OR(W143&lt;&gt;"", X143&lt;&gt;""), 1, 0))</f>
        <v>2</v>
      </c>
      <c r="V143" s="246" t="str">
        <f>IF(I143="", "未到店",
   IF(M143&lt;&gt;"EDC", "異常",
      IF(OR(AND(Y143="STAR", N143="STAR"), AND(Y143&lt;&gt;"STAR", N143="")), "已完工", "異常")
   )
)</f>
        <v>未到店</v>
      </c>
      <c r="W143" s="3" t="s">
        <v>4271</v>
      </c>
      <c r="X143" s="5" t="s">
        <v>4272</v>
      </c>
      <c r="Y143" s="5" t="str">
        <f>IF(U143&gt;0,"STAR","")</f>
        <v>STAR</v>
      </c>
    </row>
    <row r="144" spans="1:25" ht="15.75" customHeight="1">
      <c r="A144" s="179">
        <v>3183</v>
      </c>
      <c r="B144" s="180" t="str">
        <f>VLOOKUP(A144,'0919門市清單主檔'!B:C,2,FALSE)</f>
        <v>北縣板好店</v>
      </c>
      <c r="C144" s="181" t="str">
        <f>VLOOKUP($A144,'0919門市清單主檔'!B:V,20,FALSE)</f>
        <v>新北市</v>
      </c>
      <c r="D144" s="182" t="str">
        <f>VLOOKUP($A144,'0919門市清單主檔'!B:V,21,FALSE)</f>
        <v>板橋區</v>
      </c>
      <c r="E144" s="183" t="str">
        <f>VLOOKUP(D144,區域表!A:B,2,FALSE)</f>
        <v>狄澤洋</v>
      </c>
      <c r="F144" s="184" t="str">
        <f>IFERROR(IF(VLOOKUP(A144,門市狀態!A:D,4,FALSE)=0,"",VLOOKUP(A144,門市狀態!A:D,4,FALSE)),"")</f>
        <v/>
      </c>
      <c r="G144" s="185" t="s">
        <v>1746</v>
      </c>
      <c r="H144" s="186" t="str">
        <f>IF(I144&gt;0,(TEXT(I144,"yyyymmdd")&amp;$T$3&amp;A144&amp;$T$3&amp;B144&amp;$R$3),"")</f>
        <v>-3183-北縣板好店(定保)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IF(AND(SUMPRODUCT((IM!F2:F749=A144)*(ISNUMBER(SEARCH("EDC", IM!AC2:AC749))))&gt;0), "EDC", "")</f>
        <v/>
      </c>
      <c r="N144" s="264" t="str" cm="1">
        <f t="array" ref="N144">IF(AND(SUMPRODUCT((IM!F2:F749=A144)*(ISNUMBER(SEARCH("STAR", IM!AC2:AC749))))&gt;0), "STAR", "")</f>
        <v/>
      </c>
      <c r="O144" s="256" t="str" cm="1">
        <f t="array" ref="O144">IFERROR(INDEX(IM!$X$2:$X$650, MATCH(1, (IM!$F$2:$F$650=A144) * (ISNUMBER(SEARCH($D$1, IM!$AC$2:$AC$650))), 0)), "")</f>
        <v/>
      </c>
      <c r="P144" s="191" t="str">
        <f>(TEXT(I144,"yyyymmdd"))&amp;$T$3&amp;A144&amp;$T$3&amp;B144&amp;$R$3</f>
        <v>-3183-北縣板好店(定保)</v>
      </c>
      <c r="Q144" s="140"/>
      <c r="R144" s="140"/>
      <c r="S144" s="140"/>
      <c r="T144" s="140"/>
      <c r="U144" s="258">
        <f>IF(AND(W144&lt;&gt;"", X144&lt;&gt;""), 2, IF(OR(W144&lt;&gt;"", X144&lt;&gt;""), 1, 0))</f>
        <v>2</v>
      </c>
      <c r="V144" s="246" t="str">
        <f>IF(I144="", "未到店",
   IF(M144&lt;&gt;"EDC", "異常",
      IF(OR(AND(Y144="STAR", N144="STAR"), AND(Y144&lt;&gt;"STAR", N144="")), "已完工", "異常")
   )
)</f>
        <v>未到店</v>
      </c>
      <c r="W144" s="3" t="s">
        <v>4273</v>
      </c>
      <c r="X144" s="5" t="s">
        <v>4274</v>
      </c>
      <c r="Y144" s="5" t="str">
        <f>IF(U144&gt;0,"STAR","")</f>
        <v>STAR</v>
      </c>
    </row>
    <row r="145" spans="1:25" ht="15.75" customHeight="1">
      <c r="A145" s="179">
        <v>4167</v>
      </c>
      <c r="B145" s="180" t="str">
        <f>VLOOKUP(A145,'0919門市清單主檔'!B:C,2,FALSE)</f>
        <v>板橋松翠店</v>
      </c>
      <c r="C145" s="181" t="str">
        <f>VLOOKUP($A145,'0919門市清單主檔'!B:V,20,FALSE)</f>
        <v>新北市</v>
      </c>
      <c r="D145" s="182" t="str">
        <f>VLOOKUP($A145,'0919門市清單主檔'!B:V,21,FALSE)</f>
        <v>板橋區</v>
      </c>
      <c r="E145" s="183" t="str">
        <f>VLOOKUP(D145,區域表!A:B,2,FALSE)</f>
        <v>狄澤洋</v>
      </c>
      <c r="F145" s="184" t="str">
        <f>IFERROR(IF(VLOOKUP(A145,門市狀態!A:D,4,FALSE)=0,"",VLOOKUP(A145,門市狀態!A:D,4,FALSE)),"")</f>
        <v/>
      </c>
      <c r="G145" s="185" t="s">
        <v>1746</v>
      </c>
      <c r="H145" s="186" t="str">
        <f>IF(I145&gt;0,(TEXT(I145,"yyyymmdd")&amp;$T$3&amp;A145&amp;$T$3&amp;B145&amp;$R$3),"")</f>
        <v>-4167-板橋松翠店(定保)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IF(AND(SUMPRODUCT((IM!F2:F750=A145)*(ISNUMBER(SEARCH("EDC", IM!AC2:AC750))))&gt;0), "EDC", "")</f>
        <v/>
      </c>
      <c r="N145" s="264" t="str" cm="1">
        <f t="array" ref="N145">IF(AND(SUMPRODUCT((IM!F2:F750=A145)*(ISNUMBER(SEARCH("STAR", IM!AC2:AC750))))&gt;0), "STAR", "")</f>
        <v/>
      </c>
      <c r="O145" s="256" t="str" cm="1">
        <f t="array" ref="O145">IFERROR(INDEX(IM!$X$2:$X$650, MATCH(1, (IM!$F$2:$F$650=A145) * (ISNUMBER(SEARCH($D$1, IM!$AC$2:$AC$650))), 0)), "")</f>
        <v/>
      </c>
      <c r="P145" s="191" t="str">
        <f>(TEXT(I145,"yyyymmdd"))&amp;$T$3&amp;A145&amp;$T$3&amp;B145&amp;$R$3</f>
        <v>-4167-板橋松翠店(定保)</v>
      </c>
      <c r="Q145" s="140"/>
      <c r="R145" s="140"/>
      <c r="S145" s="140"/>
      <c r="T145" s="140"/>
      <c r="U145" s="258">
        <f>IF(AND(W145&lt;&gt;"", X145&lt;&gt;""), 2, IF(OR(W145&lt;&gt;"", X145&lt;&gt;""), 1, 0))</f>
        <v>2</v>
      </c>
      <c r="V145" s="246" t="str">
        <f>IF(I145="", "未到店",
   IF(M145&lt;&gt;"EDC", "異常",
      IF(OR(AND(Y145="STAR", N145="STAR"), AND(Y145&lt;&gt;"STAR", N145="")), "已完工", "異常")
   )
)</f>
        <v>未到店</v>
      </c>
      <c r="W145" s="3" t="s">
        <v>4275</v>
      </c>
      <c r="X145" s="5" t="s">
        <v>4276</v>
      </c>
      <c r="Y145" s="5" t="str">
        <f>IF(U145&gt;0,"STAR","")</f>
        <v>STAR</v>
      </c>
    </row>
    <row r="146" spans="1:25" ht="15.75" customHeight="1">
      <c r="A146" s="179">
        <v>4194</v>
      </c>
      <c r="B146" s="180" t="str">
        <f>VLOOKUP(A146,'0919門市清單主檔'!B:C,2,FALSE)</f>
        <v>新莊鼎苑店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1746</v>
      </c>
      <c r="H146" s="186" t="str">
        <f>IF(I146&gt;0,(TEXT(I146,"yyyymmdd")&amp;$T$3&amp;A146&amp;$T$3&amp;B146&amp;$R$3),"")</f>
        <v>-4194-新莊鼎苑店(定保)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IF(AND(SUMPRODUCT((IM!F2:F754=A146)*(ISNUMBER(SEARCH("EDC", IM!AC2:AC754))))&gt;0), "EDC", "")</f>
        <v/>
      </c>
      <c r="N146" s="264" t="str" cm="1">
        <f t="array" ref="N146">IF(AND(SUMPRODUCT((IM!F2:F754=A146)*(ISNUMBER(SEARCH("STAR", IM!AC2:AC754))))&gt;0), "STAR", "")</f>
        <v/>
      </c>
      <c r="O146" s="256" t="str" cm="1">
        <f t="array" ref="O146">IFERROR(INDEX(IM!$X$2:$X$650, MATCH(1, (IM!$F$2:$F$650=A146) * (ISNUMBER(SEARCH($D$1, IM!$AC$2:$AC$650))), 0)), "")</f>
        <v/>
      </c>
      <c r="P146" s="191" t="str">
        <f>(TEXT(I146,"yyyymmdd"))&amp;$T$3&amp;A146&amp;$T$3&amp;B146&amp;$R$3</f>
        <v>-4194-新莊鼎苑店(定保)</v>
      </c>
      <c r="Q146" s="140"/>
      <c r="R146" s="140"/>
      <c r="S146" s="140"/>
      <c r="T146" s="140"/>
      <c r="U146" s="258">
        <f>IF(AND(W146&lt;&gt;"", X146&lt;&gt;""), 2, IF(OR(W146&lt;&gt;"", X146&lt;&gt;""), 1, 0))</f>
        <v>2</v>
      </c>
      <c r="V146" s="246" t="str">
        <f>IF(I146="", "未到店",
   IF(M146&lt;&gt;"EDC", "異常",
      IF(OR(AND(Y146="STAR", N146="STAR"), AND(Y146&lt;&gt;"STAR", N146="")), "已完工", "異常")
   )
)</f>
        <v>未到店</v>
      </c>
      <c r="W146" s="3" t="s">
        <v>4281</v>
      </c>
      <c r="X146" s="5" t="s">
        <v>4282</v>
      </c>
      <c r="Y146" s="5" t="str">
        <f>IF(U146&gt;0,"STAR","")</f>
        <v>STAR</v>
      </c>
    </row>
    <row r="147" spans="1:25" ht="15.75" customHeight="1">
      <c r="A147" s="179">
        <v>2042</v>
      </c>
      <c r="B147" s="180" t="str">
        <f>VLOOKUP(A147,'0919門市清單主檔'!B:C,2,FALSE)</f>
        <v>三重中央北店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IF(I147&gt;0,(TEXT(I147,"yyyymmdd")&amp;$T$3&amp;A147&amp;$T$3&amp;B147&amp;$R$3),"")</f>
        <v>-2042-三重中央北店(定保)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IF(AND(SUMPRODUCT((IM!F2:F757=A147)*(ISNUMBER(SEARCH("EDC", IM!AC2:AC757))))&gt;0), "EDC", "")</f>
        <v/>
      </c>
      <c r="N147" s="264" t="str" cm="1">
        <f t="array" ref="N147">IF(AND(SUMPRODUCT((IM!F2:F757=A147)*(ISNUMBER(SEARCH("STAR", IM!AC2:AC757))))&gt;0), "STAR", "")</f>
        <v/>
      </c>
      <c r="O147" s="256" t="str" cm="1">
        <f t="array" ref="O147">IFERROR(INDEX(IM!$X$2:$X$650, MATCH(1, (IM!$F$2:$F$650=A147) * (ISNUMBER(SEARCH($D$1, IM!$AC$2:$AC$650))), 0)), "")</f>
        <v/>
      </c>
      <c r="P147" s="191" t="str">
        <f>(TEXT(I147,"yyyymmdd"))&amp;$T$3&amp;A147&amp;$T$3&amp;B147&amp;$R$3</f>
        <v>-2042-三重中央北店(定保)</v>
      </c>
      <c r="Q147" s="140"/>
      <c r="R147" s="140"/>
      <c r="S147" s="140"/>
      <c r="T147" s="140"/>
      <c r="U147" s="258">
        <f>IF(AND(W147&lt;&gt;"", X147&lt;&gt;""), 2, IF(OR(W147&lt;&gt;"", X147&lt;&gt;""), 1, 0))</f>
        <v>2</v>
      </c>
      <c r="V147" s="246" t="str">
        <f>IF(I147="", "未到店",
   IF(M147&lt;&gt;"EDC", "異常",
      IF(OR(AND(Y147="STAR", N147="STAR"), AND(Y147&lt;&gt;"STAR", N147="")), "已完工", "異常")
   )
)</f>
        <v>未到店</v>
      </c>
      <c r="W147" s="3" t="s">
        <v>4287</v>
      </c>
      <c r="X147" s="5" t="s">
        <v>4288</v>
      </c>
      <c r="Y147" s="5" t="str">
        <f>IF(U147&gt;0,"STAR","")</f>
        <v>STAR</v>
      </c>
    </row>
    <row r="148" spans="1:25" ht="15.75" customHeight="1">
      <c r="A148" s="179" t="s">
        <v>20</v>
      </c>
      <c r="B148" s="180" t="str">
        <f>VLOOKUP(A148,'0919門市清單主檔'!B:C,2,FALSE)</f>
        <v>三重正義北店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IF(I148&gt;0,(TEXT(I148,"yyyymmdd")&amp;$T$3&amp;A148&amp;$T$3&amp;B148&amp;$R$3),"")</f>
        <v>-D028-三重正義北店(定保)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IF(AND(SUMPRODUCT((IM!F2:F758=A148)*(ISNUMBER(SEARCH("EDC", IM!AC2:AC758))))&gt;0), "EDC", "")</f>
        <v/>
      </c>
      <c r="N148" s="264" t="str" cm="1">
        <f t="array" ref="N148">IF(AND(SUMPRODUCT((IM!F2:F758=A148)*(ISNUMBER(SEARCH("STAR", IM!AC2:AC758))))&gt;0), "STAR", "")</f>
        <v/>
      </c>
      <c r="O148" s="256" t="str" cm="1">
        <f t="array" ref="O148">IFERROR(INDEX(IM!$X$2:$X$650, MATCH(1, (IM!$F$2:$F$650=A148) * (ISNUMBER(SEARCH($D$1, IM!$AC$2:$AC$650))), 0)), "")</f>
        <v/>
      </c>
      <c r="P148" s="191" t="str">
        <f>(TEXT(I148,"yyyymmdd"))&amp;$T$3&amp;A148&amp;$T$3&amp;B148&amp;$R$3</f>
        <v>-D028-三重正義北店(定保)</v>
      </c>
      <c r="Q148" s="140"/>
      <c r="R148" s="140"/>
      <c r="S148" s="140"/>
      <c r="T148" s="140"/>
      <c r="U148" s="258">
        <f>IF(AND(W148&lt;&gt;"", X148&lt;&gt;""), 2, IF(OR(W148&lt;&gt;"", X148&lt;&gt;""), 1, 0))</f>
        <v>1</v>
      </c>
      <c r="V148" s="246" t="str">
        <f>IF(I148="", "未到店",
   IF(M148&lt;&gt;"EDC", "異常",
      IF(OR(AND(Y148="STAR", N148="STAR"), AND(Y148&lt;&gt;"STAR", N148="")), "已完工", "異常")
   )
)</f>
        <v>未到店</v>
      </c>
      <c r="W148" s="3" t="s">
        <v>4289</v>
      </c>
      <c r="X148" s="5"/>
      <c r="Y148" s="5" t="str">
        <f>IF(U148&gt;0,"STAR","")</f>
        <v>STAR</v>
      </c>
    </row>
    <row r="149" spans="1:25" ht="15.75" customHeight="1">
      <c r="A149" s="179">
        <v>4029</v>
      </c>
      <c r="B149" s="180" t="str">
        <f>VLOOKUP(A149,'0919門市清單主檔'!B:C,2,FALSE)</f>
        <v>三重龍濱店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IF(I149&gt;0,(TEXT(I149,"yyyymmdd")&amp;$T$3&amp;A149&amp;$T$3&amp;B149&amp;$R$3),"")</f>
        <v>-4029-三重龍濱店(定保)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IF(AND(SUMPRODUCT((IM!F2:F759=A149)*(ISNUMBER(SEARCH("EDC", IM!AC2:AC759))))&gt;0), "EDC", "")</f>
        <v/>
      </c>
      <c r="N149" s="264" t="str" cm="1">
        <f t="array" ref="N149">IF(AND(SUMPRODUCT((IM!F2:F759=A149)*(ISNUMBER(SEARCH("STAR", IM!AC2:AC759))))&gt;0), "STAR", "")</f>
        <v/>
      </c>
      <c r="O149" s="256" t="str" cm="1">
        <f t="array" ref="O149">IFERROR(INDEX(IM!$X$2:$X$650, MATCH(1, (IM!$F$2:$F$650=A149) * (ISNUMBER(SEARCH($D$1, IM!$AC$2:$AC$650))), 0)), "")</f>
        <v/>
      </c>
      <c r="P149" s="191" t="str">
        <f>(TEXT(I149,"yyyymmdd"))&amp;$T$3&amp;A149&amp;$T$3&amp;B149&amp;$R$3</f>
        <v>-4029-三重龍濱店(定保)</v>
      </c>
      <c r="Q149" s="140"/>
      <c r="R149" s="140"/>
      <c r="S149" s="140"/>
      <c r="T149" s="140"/>
      <c r="U149" s="258">
        <f>IF(AND(W149&lt;&gt;"", X149&lt;&gt;""), 2, IF(OR(W149&lt;&gt;"", X149&lt;&gt;""), 1, 0))</f>
        <v>2</v>
      </c>
      <c r="V149" s="246" t="str">
        <f>IF(I149="", "未到店",
   IF(M149&lt;&gt;"EDC", "異常",
      IF(OR(AND(Y149="STAR", N149="STAR"), AND(Y149&lt;&gt;"STAR", N149="")), "已完工", "異常")
   )
)</f>
        <v>未到店</v>
      </c>
      <c r="W149" s="3" t="s">
        <v>4290</v>
      </c>
      <c r="X149" s="5" t="s">
        <v>4291</v>
      </c>
      <c r="Y149" s="5" t="str">
        <f>IF(U149&gt;0,"STAR","")</f>
        <v>STAR</v>
      </c>
    </row>
    <row r="150" spans="1:25" ht="15.75" customHeight="1">
      <c r="A150" s="179">
        <v>4560</v>
      </c>
      <c r="B150" s="180" t="str">
        <f>VLOOKUP(A150,'0919門市清單主檔'!B:C,2,FALSE)</f>
        <v>三重大院店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IF(I150&gt;0,(TEXT(I150,"yyyymmdd")&amp;$T$3&amp;A150&amp;$T$3&amp;B150&amp;$R$3),"")</f>
        <v>-4560-三重大院店(定保)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IF(AND(SUMPRODUCT((IM!F2:F760=A150)*(ISNUMBER(SEARCH("EDC", IM!AC2:AC760))))&gt;0), "EDC", "")</f>
        <v/>
      </c>
      <c r="N150" s="264" t="str" cm="1">
        <f t="array" ref="N150">IF(AND(SUMPRODUCT((IM!F2:F760=A150)*(ISNUMBER(SEARCH("STAR", IM!AC2:AC760))))&gt;0), "STAR", "")</f>
        <v/>
      </c>
      <c r="O150" s="256" t="str" cm="1">
        <f t="array" ref="O150">IFERROR(INDEX(IM!$X$2:$X$650, MATCH(1, (IM!$F$2:$F$650=A150) * (ISNUMBER(SEARCH($D$1, IM!$AC$2:$AC$650))), 0)), "")</f>
        <v/>
      </c>
      <c r="P150" s="191" t="str">
        <f>(TEXT(I150,"yyyymmdd"))&amp;$T$3&amp;A150&amp;$T$3&amp;B150&amp;$R$3</f>
        <v>-4560-三重大院店(定保)</v>
      </c>
      <c r="Q150" s="140"/>
      <c r="R150" s="140"/>
      <c r="S150" s="140"/>
      <c r="T150" s="140"/>
      <c r="U150" s="258">
        <f>IF(AND(W150&lt;&gt;"", X150&lt;&gt;""), 2, IF(OR(W150&lt;&gt;"", X150&lt;&gt;""), 1, 0))</f>
        <v>2</v>
      </c>
      <c r="V150" s="246" t="str">
        <f>IF(I150="", "未到店",
   IF(M150&lt;&gt;"EDC", "異常",
      IF(OR(AND(Y150="STAR", N150="STAR"), AND(Y150&lt;&gt;"STAR", N150="")), "已完工", "異常")
   )
)</f>
        <v>未到店</v>
      </c>
      <c r="W150" s="3" t="s">
        <v>4292</v>
      </c>
      <c r="X150" s="5" t="s">
        <v>4293</v>
      </c>
      <c r="Y150" s="5" t="str">
        <f>IF(U150&gt;0,"STAR","")</f>
        <v>STAR</v>
      </c>
    </row>
    <row r="151" spans="1:25" ht="15.75" customHeight="1">
      <c r="A151" s="179">
        <v>4388</v>
      </c>
      <c r="B151" s="180" t="str">
        <f>VLOOKUP(A151,'0919門市清單主檔'!B:C,2,FALSE)</f>
        <v>三重薔薇店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-4388-三重薔薇店(定保)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IF(AND(SUMPRODUCT((IM!F2:F762=A151)*(ISNUMBER(SEARCH("EDC", IM!AC2:AC762))))&gt;0), "EDC", "")</f>
        <v/>
      </c>
      <c r="N151" s="264" t="str" cm="1">
        <f t="array" ref="N151">IF(AND(SUMPRODUCT((IM!F2:F762=A151)*(ISNUMBER(SEARCH("STAR", IM!AC2:AC762))))&gt;0), "STAR", "")</f>
        <v/>
      </c>
      <c r="O151" s="256" t="str" cm="1">
        <f t="array" ref="O151">IFERROR(INDEX(IM!$X$2:$X$650, MATCH(1, (IM!$F$2:$F$650=A151) * (ISNUMBER(SEARCH($D$1, IM!$AC$2:$AC$650))), 0)), "")</f>
        <v/>
      </c>
      <c r="P151" s="191" t="str">
        <f>(TEXT(I151,"yyyymmdd"))&amp;$T$3&amp;A151&amp;$T$3&amp;B151&amp;$R$3</f>
        <v>-4388-三重薔薇店(定保)</v>
      </c>
      <c r="Q151" s="140"/>
      <c r="R151" s="140"/>
      <c r="S151" s="140"/>
      <c r="T151" s="140"/>
      <c r="U151" s="258">
        <f>IF(AND(W151&lt;&gt;"", X151&lt;&gt;""), 2, IF(OR(W151&lt;&gt;"", X151&lt;&gt;""), 1, 0))</f>
        <v>2</v>
      </c>
      <c r="V151" s="246" t="str">
        <f>IF(I151="", "未到店",
   IF(M151&lt;&gt;"EDC", "異常",
      IF(OR(AND(Y151="STAR", N151="STAR"), AND(Y151&lt;&gt;"STAR", N151="")), "已完工", "異常")
   )
)</f>
        <v>未到店</v>
      </c>
      <c r="W151" s="3" t="s">
        <v>4296</v>
      </c>
      <c r="X151" s="5" t="s">
        <v>4297</v>
      </c>
      <c r="Y151" s="5" t="str">
        <f>IF(U151&gt;0,"STAR","")</f>
        <v>STAR</v>
      </c>
    </row>
    <row r="152" spans="1:25" ht="15.75" customHeight="1">
      <c r="A152" s="179">
        <v>4715</v>
      </c>
      <c r="B152" s="180" t="str">
        <f>VLOOKUP(A152,'0919門市清單主檔'!B:C,2,FALSE)</f>
        <v>林口捷韻店</v>
      </c>
      <c r="C152" s="181" t="str">
        <f>VLOOKUP($A152,'0919門市清單主檔'!B:V,20,FALSE)</f>
        <v>新北市</v>
      </c>
      <c r="D152" s="182" t="str">
        <f>VLOOKUP($A152,'0919門市清單主檔'!B:V,21,FALSE)</f>
        <v>林口區</v>
      </c>
      <c r="E152" s="183" t="str">
        <f>VLOOKUP(D152,區域表!A:B,2,FALSE)</f>
        <v>湯家瑋</v>
      </c>
      <c r="F152" s="184" t="str">
        <f>IFERROR(IF(VLOOKUP(A152,門市狀態!A:D,4,FALSE)=0,"",VLOOKUP(A152,門市狀態!A:D,4,FALSE)),"")</f>
        <v/>
      </c>
      <c r="G152" s="185" t="s">
        <v>1746</v>
      </c>
      <c r="H152" s="186" t="str">
        <f>IF(I152&gt;0,(TEXT(I152,"yyyymmdd")&amp;$T$3&amp;A152&amp;$T$3&amp;B152&amp;$R$3),"")</f>
        <v>-4715-林口捷韻店(定保)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IF(AND(SUMPRODUCT((IM!F2:F763=A152)*(ISNUMBER(SEARCH("EDC", IM!AC2:AC763))))&gt;0), "EDC", "")</f>
        <v/>
      </c>
      <c r="N152" s="264" t="str" cm="1">
        <f t="array" ref="N152">IF(AND(SUMPRODUCT((IM!F2:F763=A152)*(ISNUMBER(SEARCH("STAR", IM!AC2:AC763))))&gt;0), "STAR", "")</f>
        <v/>
      </c>
      <c r="O152" s="256" t="str" cm="1">
        <f t="array" ref="O152">IFERROR(INDEX(IM!$X$2:$X$650, MATCH(1, (IM!$F$2:$F$650=A152) * (ISNUMBER(SEARCH($D$1, IM!$AC$2:$AC$650))), 0)), "")</f>
        <v/>
      </c>
      <c r="P152" s="191" t="str">
        <f>(TEXT(I152,"yyyymmdd"))&amp;$T$3&amp;A152&amp;$T$3&amp;B152&amp;$R$3</f>
        <v>-4715-林口捷韻店(定保)</v>
      </c>
      <c r="Q152" s="140"/>
      <c r="R152" s="140"/>
      <c r="S152" s="140"/>
      <c r="T152" s="140"/>
      <c r="U152" s="258">
        <f>IF(AND(W152&lt;&gt;"", X152&lt;&gt;""), 2, IF(OR(W152&lt;&gt;"", X152&lt;&gt;""), 1, 0))</f>
        <v>2</v>
      </c>
      <c r="V152" s="246" t="str">
        <f>IF(I152="", "未到店",
   IF(M152&lt;&gt;"EDC", "異常",
      IF(OR(AND(Y152="STAR", N152="STAR"), AND(Y152&lt;&gt;"STAR", N152="")), "已完工", "異常")
   )
)</f>
        <v>未到店</v>
      </c>
      <c r="W152" s="3" t="s">
        <v>4402</v>
      </c>
      <c r="X152" s="5" t="s">
        <v>4403</v>
      </c>
      <c r="Y152" s="5" t="str">
        <f>IF(U152&gt;0,"STAR","")</f>
        <v>STAR</v>
      </c>
    </row>
    <row r="153" spans="1:25" ht="15.75" customHeight="1">
      <c r="A153" s="179">
        <v>4834</v>
      </c>
      <c r="B153" s="180" t="str">
        <f>VLOOKUP(A153,'0919門市清單主檔'!B:C,2,FALSE)</f>
        <v>林口大千苑店</v>
      </c>
      <c r="C153" s="181" t="str">
        <f>VLOOKUP($A153,'0919門市清單主檔'!B:V,20,FALSE)</f>
        <v>新北市</v>
      </c>
      <c r="D153" s="182" t="str">
        <f>VLOOKUP($A153,'0919門市清單主檔'!B:V,21,FALSE)</f>
        <v>林口區</v>
      </c>
      <c r="E153" s="183" t="str">
        <f>VLOOKUP(D153,區域表!A:B,2,FALSE)</f>
        <v>湯家瑋</v>
      </c>
      <c r="F153" s="184" t="str">
        <f>IFERROR(IF(VLOOKUP(A153,門市狀態!A:D,4,FALSE)=0,"",VLOOKUP(A153,門市狀態!A:D,4,FALSE)),"")</f>
        <v/>
      </c>
      <c r="G153" s="185" t="s">
        <v>1746</v>
      </c>
      <c r="H153" s="186" t="str">
        <f>IF(I153&gt;0,(TEXT(I153,"yyyymmdd")&amp;$T$3&amp;A153&amp;$T$3&amp;B153&amp;$R$3),"")</f>
        <v>-4834-林口大千苑店(定保)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IF(AND(SUMPRODUCT((IM!F2:F765=A153)*(ISNUMBER(SEARCH("EDC", IM!AC2:AC765))))&gt;0), "EDC", "")</f>
        <v/>
      </c>
      <c r="N153" s="264" t="str" cm="1">
        <f t="array" ref="N153">IF(AND(SUMPRODUCT((IM!F2:F765=A153)*(ISNUMBER(SEARCH("STAR", IM!AC2:AC765))))&gt;0), "STAR", "")</f>
        <v/>
      </c>
      <c r="O153" s="256" t="str" cm="1">
        <f t="array" ref="O153">IFERROR(INDEX(IM!$X$2:$X$650, MATCH(1, (IM!$F$2:$F$650=A153) * (ISNUMBER(SEARCH($D$1, IM!$AC$2:$AC$650))), 0)), "")</f>
        <v/>
      </c>
      <c r="P153" s="191" t="str">
        <f>(TEXT(I153,"yyyymmdd"))&amp;$T$3&amp;A153&amp;$T$3&amp;B153&amp;$R$3</f>
        <v>-4834-林口大千苑店(定保)</v>
      </c>
      <c r="Q153" s="140"/>
      <c r="R153" s="140"/>
      <c r="S153" s="140"/>
      <c r="T153" s="140"/>
      <c r="U153" s="258">
        <f>IF(AND(W153&lt;&gt;"", X153&lt;&gt;""), 2, IF(OR(W153&lt;&gt;"", X153&lt;&gt;""), 1, 0))</f>
        <v>1</v>
      </c>
      <c r="V153" s="246" t="str">
        <f>IF(I153="", "未到店",
   IF(M153&lt;&gt;"EDC", "異常",
      IF(OR(AND(Y153="STAR", N153="STAR"), AND(Y153&lt;&gt;"STAR", N153="")), "已完工", "異常")
   )
)</f>
        <v>未到店</v>
      </c>
      <c r="W153" s="3" t="s">
        <v>4404</v>
      </c>
      <c r="X153" s="5"/>
      <c r="Y153" s="5" t="str">
        <f>IF(U153&gt;0,"STAR","")</f>
        <v>STAR</v>
      </c>
    </row>
    <row r="154" spans="1:25" ht="15.75" customHeight="1">
      <c r="A154" s="179">
        <v>2890</v>
      </c>
      <c r="B154" s="180" t="str">
        <f>VLOOKUP(A154,'0919門市清單主檔'!B:C,2,FALSE)</f>
        <v>蘆洲鷺江店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IF(I154&gt;0,(TEXT(I154,"yyyymmdd")&amp;$T$3&amp;A154&amp;$T$3&amp;B154&amp;$R$3),"")</f>
        <v>-2890-蘆洲鷺江店(定保)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IF(AND(SUMPRODUCT((IM!F2:F766=A154)*(ISNUMBER(SEARCH("EDC", IM!AC2:AC766))))&gt;0), "EDC", "")</f>
        <v/>
      </c>
      <c r="N154" s="264" t="str" cm="1">
        <f t="array" ref="N154">IF(AND(SUMPRODUCT((IM!F2:F766=A154)*(ISNUMBER(SEARCH("STAR", IM!AC2:AC766))))&gt;0), "STAR", "")</f>
        <v/>
      </c>
      <c r="O154" s="256" t="str" cm="1">
        <f t="array" ref="O154">IFERROR(INDEX(IM!$X$2:$X$650, MATCH(1, (IM!$F$2:$F$650=A154) * (ISNUMBER(SEARCH($D$1, IM!$AC$2:$AC$650))), 0)), "")</f>
        <v/>
      </c>
      <c r="P154" s="191" t="str">
        <f>(TEXT(I154,"yyyymmdd"))&amp;$T$3&amp;A154&amp;$T$3&amp;B154&amp;$R$3</f>
        <v>-2890-蘆洲鷺江店(定保)</v>
      </c>
      <c r="Q154" s="140"/>
      <c r="R154" s="140"/>
      <c r="S154" s="140"/>
      <c r="T154" s="140"/>
      <c r="U154" s="258">
        <f>IF(AND(W154&lt;&gt;"", X154&lt;&gt;""), 2, IF(OR(W154&lt;&gt;"", X154&lt;&gt;""), 1, 0))</f>
        <v>2</v>
      </c>
      <c r="V154" s="246" t="str">
        <f>IF(I154="", "未到店",
   IF(M154&lt;&gt;"EDC", "異常",
      IF(OR(AND(Y154="STAR", N154="STAR"), AND(Y154&lt;&gt;"STAR", N154="")), "已完工", "異常")
   )
)</f>
        <v>未到店</v>
      </c>
      <c r="W154" s="3" t="s">
        <v>4351</v>
      </c>
      <c r="X154" s="5" t="s">
        <v>4352</v>
      </c>
      <c r="Y154" s="5" t="str">
        <f>IF(U154&gt;0,"STAR","")</f>
        <v>STAR</v>
      </c>
    </row>
    <row r="155" spans="1:25" ht="15.75" customHeight="1">
      <c r="A155" s="179">
        <v>4923</v>
      </c>
      <c r="B155" s="180" t="str">
        <f>VLOOKUP(A155,'0919門市清單主檔'!B:C,2,FALSE)</f>
        <v>蘆洲永平店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1746</v>
      </c>
      <c r="H155" s="186" t="str">
        <f>IF(I155&gt;0,(TEXT(I155,"yyyymmdd")&amp;$T$3&amp;A155&amp;$T$3&amp;B155&amp;$R$3),"")</f>
        <v>-4923-蘆洲永平店(定保)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IF(AND(SUMPRODUCT((IM!F2:F768=A155)*(ISNUMBER(SEARCH("EDC", IM!AC2:AC768))))&gt;0), "EDC", "")</f>
        <v/>
      </c>
      <c r="N155" s="264" t="str" cm="1">
        <f t="array" ref="N155">IF(AND(SUMPRODUCT((IM!F2:F768=A155)*(ISNUMBER(SEARCH("STAR", IM!AC2:AC768))))&gt;0), "STAR", "")</f>
        <v/>
      </c>
      <c r="O155" s="256" t="str" cm="1">
        <f t="array" ref="O155">IFERROR(INDEX(IM!$X$2:$X$650, MATCH(1, (IM!$F$2:$F$650=A155) * (ISNUMBER(SEARCH($D$1, IM!$AC$2:$AC$650))), 0)), "")</f>
        <v/>
      </c>
      <c r="P155" s="191" t="str">
        <f>(TEXT(I155,"yyyymmdd"))&amp;$T$3&amp;A155&amp;$T$3&amp;B155&amp;$R$3</f>
        <v>-4923-蘆洲永平店(定保)</v>
      </c>
      <c r="Q155" s="140"/>
      <c r="R155" s="140"/>
      <c r="S155" s="140"/>
      <c r="T155" s="140"/>
      <c r="U155" s="258">
        <f>IF(AND(W155&lt;&gt;"", X155&lt;&gt;""), 2, IF(OR(W155&lt;&gt;"", X155&lt;&gt;""), 1, 0))</f>
        <v>1</v>
      </c>
      <c r="V155" s="246" t="str">
        <f>IF(I155="", "未到店",
   IF(M155&lt;&gt;"EDC", "異常",
      IF(OR(AND(Y155="STAR", N155="STAR"), AND(Y155&lt;&gt;"STAR", N155="")), "已完工", "異常")
   )
)</f>
        <v>未到店</v>
      </c>
      <c r="X155" s="5" t="s">
        <v>4353</v>
      </c>
      <c r="Y155" s="5" t="str">
        <f>IF(U155&gt;0,"STAR","")</f>
        <v>STAR</v>
      </c>
    </row>
    <row r="156" spans="1:25" ht="15.75" customHeight="1">
      <c r="A156" s="179" t="s">
        <v>21</v>
      </c>
      <c r="B156" s="180" t="str">
        <f>VLOOKUP(A156,'0919門市清單主檔'!B:C,2,FALSE)</f>
        <v>北縣溪尾二店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1746</v>
      </c>
      <c r="H156" s="186" t="str">
        <f>IF(I156&gt;0,(TEXT(I156,"yyyymmdd")&amp;$T$3&amp;A156&amp;$T$3&amp;B156&amp;$R$3),"")</f>
        <v>-D057-北縣溪尾二店(定保)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IF(AND(SUMPRODUCT((IM!F2:F770=A156)*(ISNUMBER(SEARCH("EDC", IM!AC2:AC770))))&gt;0), "EDC", "")</f>
        <v/>
      </c>
      <c r="N156" s="264" t="str" cm="1">
        <f t="array" ref="N156">IF(AND(SUMPRODUCT((IM!F2:F770=A156)*(ISNUMBER(SEARCH("STAR", IM!AC2:AC770))))&gt;0), "STAR", "")</f>
        <v/>
      </c>
      <c r="O156" s="256" t="str" cm="1">
        <f t="array" ref="O156">IFERROR(INDEX(IM!$X$2:$X$650, MATCH(1, (IM!$F$2:$F$650=A156) * (ISNUMBER(SEARCH($D$1, IM!$AC$2:$AC$650))), 0)), "")</f>
        <v/>
      </c>
      <c r="P156" s="191" t="str">
        <f>(TEXT(I156,"yyyymmdd"))&amp;$T$3&amp;A156&amp;$T$3&amp;B156&amp;$R$3</f>
        <v>-D057-北縣溪尾二店(定保)</v>
      </c>
      <c r="Q156" s="140"/>
      <c r="R156" s="140"/>
      <c r="S156" s="140"/>
      <c r="T156" s="140"/>
      <c r="U156" s="258">
        <f>IF(AND(W156&lt;&gt;"", X156&lt;&gt;""), 2, IF(OR(W156&lt;&gt;"", X156&lt;&gt;""), 1, 0))</f>
        <v>2</v>
      </c>
      <c r="V156" s="246" t="str">
        <f>IF(I156="", "未到店",
   IF(M156&lt;&gt;"EDC", "異常",
      IF(OR(AND(Y156="STAR", N156="STAR"), AND(Y156&lt;&gt;"STAR", N156="")), "已完工", "異常")
   )
)</f>
        <v>未到店</v>
      </c>
      <c r="W156" s="3" t="s">
        <v>4324</v>
      </c>
      <c r="X156" s="5" t="s">
        <v>4325</v>
      </c>
      <c r="Y156" s="5" t="str">
        <f>IF(U156&gt;0,"STAR","")</f>
        <v>STAR</v>
      </c>
    </row>
    <row r="157" spans="1:25" ht="15.75" customHeight="1">
      <c r="A157" s="179">
        <v>4196</v>
      </c>
      <c r="B157" s="180" t="str">
        <f>VLOOKUP(A157,'0919門市清單主檔'!B:C,2,FALSE)</f>
        <v>三重蝶愛店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IF(I157&gt;0,(TEXT(I157,"yyyymmdd")&amp;$T$3&amp;A157&amp;$T$3&amp;B157&amp;$R$3),"")</f>
        <v>-4196-三重蝶愛店(定保)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IF(AND(SUMPRODUCT((IM!F2:F771=A157)*(ISNUMBER(SEARCH("EDC", IM!AC2:AC771))))&gt;0), "EDC", "")</f>
        <v/>
      </c>
      <c r="N157" s="264" t="str" cm="1">
        <f t="array" ref="N157">IF(AND(SUMPRODUCT((IM!F2:F771=A157)*(ISNUMBER(SEARCH("STAR", IM!AC2:AC771))))&gt;0), "STAR", "")</f>
        <v/>
      </c>
      <c r="O157" s="256" t="str" cm="1">
        <f t="array" ref="O157">IFERROR(INDEX(IM!$X$2:$X$650, MATCH(1, (IM!$F$2:$F$650=A157) * (ISNUMBER(SEARCH($D$1, IM!$AC$2:$AC$650))), 0)), "")</f>
        <v/>
      </c>
      <c r="P157" s="191" t="str">
        <f>(TEXT(I157,"yyyymmdd"))&amp;$T$3&amp;A157&amp;$T$3&amp;B157&amp;$R$3</f>
        <v>-4196-三重蝶愛店(定保)</v>
      </c>
      <c r="Q157" s="140"/>
      <c r="R157" s="140"/>
      <c r="S157" s="140"/>
      <c r="T157" s="140"/>
      <c r="U157" s="258">
        <f>IF(AND(W157&lt;&gt;"", X157&lt;&gt;""), 2, IF(OR(W157&lt;&gt;"", X157&lt;&gt;""), 1, 0))</f>
        <v>2</v>
      </c>
      <c r="V157" s="246" t="str">
        <f>IF(I157="", "未到店",
   IF(M157&lt;&gt;"EDC", "異常",
      IF(OR(AND(Y157="STAR", N157="STAR"), AND(Y157&lt;&gt;"STAR", N157="")), "已完工", "異常")
   )
)</f>
        <v>未到店</v>
      </c>
      <c r="W157" s="3" t="s">
        <v>4305</v>
      </c>
      <c r="X157" s="5" t="s">
        <v>4306</v>
      </c>
      <c r="Y157" s="5" t="str">
        <f>IF(U157&gt;0,"STAR","")</f>
        <v>STAR</v>
      </c>
    </row>
    <row r="158" spans="1:25" ht="15.75" customHeight="1">
      <c r="A158" s="179">
        <v>4210</v>
      </c>
      <c r="B158" s="180" t="str">
        <f>VLOOKUP(A158,'0919門市清單主檔'!B:C,2,FALSE)</f>
        <v>三重福華店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IF(I158&gt;0,(TEXT(I158,"yyyymmdd")&amp;$T$3&amp;A158&amp;$T$3&amp;B158&amp;$R$3),"")</f>
        <v>-4210-三重福華店(定保)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IF(AND(SUMPRODUCT((IM!F2:F772=A158)*(ISNUMBER(SEARCH("EDC", IM!AC2:AC772))))&gt;0), "EDC", "")</f>
        <v/>
      </c>
      <c r="N158" s="264" t="str" cm="1">
        <f t="array" ref="N158">IF(AND(SUMPRODUCT((IM!F2:F772=A158)*(ISNUMBER(SEARCH("STAR", IM!AC2:AC772))))&gt;0), "STAR", "")</f>
        <v/>
      </c>
      <c r="O158" s="256" t="str" cm="1">
        <f t="array" ref="O158">IFERROR(INDEX(IM!$X$2:$X$650, MATCH(1, (IM!$F$2:$F$650=A158) * (ISNUMBER(SEARCH($D$1, IM!$AC$2:$AC$650))), 0)), "")</f>
        <v/>
      </c>
      <c r="P158" s="191" t="str">
        <f>(TEXT(I158,"yyyymmdd"))&amp;$T$3&amp;A158&amp;$T$3&amp;B158&amp;$R$3</f>
        <v>-4210-三重福華店(定保)</v>
      </c>
      <c r="Q158" s="140"/>
      <c r="R158" s="140"/>
      <c r="S158" s="140"/>
      <c r="T158" s="140"/>
      <c r="U158" s="258">
        <f>IF(AND(W158&lt;&gt;"", X158&lt;&gt;""), 2, IF(OR(W158&lt;&gt;"", X158&lt;&gt;""), 1, 0))</f>
        <v>2</v>
      </c>
      <c r="V158" s="246" t="str">
        <f>IF(I158="", "未到店",
   IF(M158&lt;&gt;"EDC", "異常",
      IF(OR(AND(Y158="STAR", N158="STAR"), AND(Y158&lt;&gt;"STAR", N158="")), "已完工", "異常")
   )
)</f>
        <v>未到店</v>
      </c>
      <c r="W158" s="3" t="s">
        <v>4307</v>
      </c>
      <c r="X158" s="5" t="s">
        <v>4308</v>
      </c>
      <c r="Y158" s="5" t="str">
        <f>IF(U158&gt;0,"STAR","")</f>
        <v>STAR</v>
      </c>
    </row>
    <row r="159" spans="1:25" ht="15.75" customHeight="1">
      <c r="A159" s="179" t="s">
        <v>26</v>
      </c>
      <c r="B159" s="180" t="str">
        <f>VLOOKUP(A159,'0919門市清單主檔'!B:C,2,FALSE)</f>
        <v>北縣五華三店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IF(I159&gt;0,(TEXT(I159,"yyyymmdd")&amp;$T$3&amp;A159&amp;$T$3&amp;B159&amp;$R$3),"")</f>
        <v>-D194-北縣五華三店(定保)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IF(AND(SUMPRODUCT((IM!F2:F773=A159)*(ISNUMBER(SEARCH("EDC", IM!AC2:AC773))))&gt;0), "EDC", "")</f>
        <v/>
      </c>
      <c r="N159" s="264" t="str" cm="1">
        <f t="array" ref="N159">IF(AND(SUMPRODUCT((IM!F2:F773=A159)*(ISNUMBER(SEARCH("STAR", IM!AC2:AC773))))&gt;0), "STAR", "")</f>
        <v/>
      </c>
      <c r="O159" s="256" t="str" cm="1">
        <f t="array" ref="O159">IFERROR(INDEX(IM!$X$2:$X$650, MATCH(1, (IM!$F$2:$F$650=A159) * (ISNUMBER(SEARCH($D$1, IM!$AC$2:$AC$650))), 0)), "")</f>
        <v/>
      </c>
      <c r="P159" s="191" t="str">
        <f>(TEXT(I159,"yyyymmdd"))&amp;$T$3&amp;A159&amp;$T$3&amp;B159&amp;$R$3</f>
        <v>-D194-北縣五華三店(定保)</v>
      </c>
      <c r="Q159" s="140"/>
      <c r="R159" s="140"/>
      <c r="S159" s="140"/>
      <c r="T159" s="140"/>
      <c r="U159" s="258">
        <f>IF(AND(W159&lt;&gt;"", X159&lt;&gt;""), 2, IF(OR(W159&lt;&gt;"", X159&lt;&gt;""), 1, 0))</f>
        <v>2</v>
      </c>
      <c r="V159" s="246" t="str">
        <f>IF(I159="", "未到店",
   IF(M159&lt;&gt;"EDC", "異常",
      IF(OR(AND(Y159="STAR", N159="STAR"), AND(Y159&lt;&gt;"STAR", N159="")), "已完工", "異常")
   )
)</f>
        <v>未到店</v>
      </c>
      <c r="W159" s="3" t="s">
        <v>4322</v>
      </c>
      <c r="X159" s="5" t="s">
        <v>4323</v>
      </c>
      <c r="Y159" s="5" t="str">
        <f>IF(U159&gt;0,"STAR","")</f>
        <v>STAR</v>
      </c>
    </row>
    <row r="160" spans="1:25" ht="15.75" customHeight="1">
      <c r="A160" s="179">
        <v>3892</v>
      </c>
      <c r="B160" s="180" t="str">
        <f>VLOOKUP(A160,'0919門市清單主檔'!B:C,2,FALSE)</f>
        <v>蘆洲光榮店</v>
      </c>
      <c r="C160" s="181" t="str">
        <f>VLOOKUP($A160,'0919門市清單主檔'!B:V,20,FALSE)</f>
        <v>新北市</v>
      </c>
      <c r="D160" s="182" t="str">
        <f>VLOOKUP($A160,'0919門市清單主檔'!B:V,21,FALSE)</f>
        <v>蘆洲區</v>
      </c>
      <c r="E160" s="183" t="str">
        <f>VLOOKUP(D160,區域表!A:B,2,FALSE)</f>
        <v>吳宗鴻</v>
      </c>
      <c r="F160" s="184" t="str">
        <f>IFERROR(IF(VLOOKUP(A160,門市狀態!A:D,4,FALSE)=0,"",VLOOKUP(A160,門市狀態!A:D,4,FALSE)),"")</f>
        <v/>
      </c>
      <c r="G160" s="185" t="s">
        <v>1746</v>
      </c>
      <c r="H160" s="186" t="str">
        <f>IF(I160&gt;0,(TEXT(I160,"yyyymmdd")&amp;$T$3&amp;A160&amp;$T$3&amp;B160&amp;$R$3),"")</f>
        <v>-3892-蘆洲光榮店(定保)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IF(AND(SUMPRODUCT((IM!F2:F774=A160)*(ISNUMBER(SEARCH("EDC", IM!AC2:AC774))))&gt;0), "EDC", "")</f>
        <v/>
      </c>
      <c r="N160" s="264" t="str" cm="1">
        <f t="array" ref="N160">IF(AND(SUMPRODUCT((IM!F2:F774=A160)*(ISNUMBER(SEARCH("STAR", IM!AC2:AC774))))&gt;0), "STAR", "")</f>
        <v/>
      </c>
      <c r="O160" s="256" t="str" cm="1">
        <f t="array" ref="O160">IFERROR(INDEX(IM!$X$2:$X$650, MATCH(1, (IM!$F$2:$F$650=A160) * (ISNUMBER(SEARCH($D$1, IM!$AC$2:$AC$650))), 0)), "")</f>
        <v/>
      </c>
      <c r="P160" s="191" t="str">
        <f>(TEXT(I160,"yyyymmdd"))&amp;$T$3&amp;A160&amp;$T$3&amp;B160&amp;$R$3</f>
        <v>-3892-蘆洲光榮店(定保)</v>
      </c>
      <c r="Q160" s="140"/>
      <c r="R160" s="140"/>
      <c r="S160" s="140"/>
      <c r="T160" s="140"/>
      <c r="U160" s="258">
        <f>IF(AND(W160&lt;&gt;"", X160&lt;&gt;""), 2, IF(OR(W160&lt;&gt;"", X160&lt;&gt;""), 1, 0))</f>
        <v>0</v>
      </c>
      <c r="V160" s="246" t="str">
        <f>IF(I160="", "未到店",
   IF(M160&lt;&gt;"EDC", "異常",
      IF(OR(AND(Y160="STAR", N160="STAR"), AND(Y160&lt;&gt;"STAR", N160="")), "已完工", "異常")
   )
)</f>
        <v>未到店</v>
      </c>
      <c r="X160" s="5"/>
      <c r="Y160" s="5" t="str">
        <f>IF(U160&gt;0,"STAR","")</f>
        <v/>
      </c>
    </row>
    <row r="161" spans="1:25" ht="15.75" customHeight="1">
      <c r="A161" s="179">
        <v>4125</v>
      </c>
      <c r="B161" s="180" t="str">
        <f>VLOOKUP(A161,'0919門市清單主檔'!B:C,2,FALSE)</f>
        <v>蘆洲長樂店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1746</v>
      </c>
      <c r="H161" s="186" t="str">
        <f>IF(I161&gt;0,(TEXT(I161,"yyyymmdd")&amp;$T$3&amp;A161&amp;$T$3&amp;B161&amp;$R$3),"")</f>
        <v>-4125-蘆洲長樂店(定保)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IF(AND(SUMPRODUCT((IM!F2:F775=A161)*(ISNUMBER(SEARCH("EDC", IM!AC2:AC775))))&gt;0), "EDC", "")</f>
        <v/>
      </c>
      <c r="N161" s="264" t="str" cm="1">
        <f t="array" ref="N161">IF(AND(SUMPRODUCT((IM!F2:F775=A161)*(ISNUMBER(SEARCH("STAR", IM!AC2:AC775))))&gt;0), "STAR", "")</f>
        <v/>
      </c>
      <c r="O161" s="256" t="str" cm="1">
        <f t="array" ref="O161">IFERROR(INDEX(IM!$X$2:$X$650, MATCH(1, (IM!$F$2:$F$650=A161) * (ISNUMBER(SEARCH($D$1, IM!$AC$2:$AC$650))), 0)), "")</f>
        <v/>
      </c>
      <c r="P161" s="191" t="str">
        <f>(TEXT(I161,"yyyymmdd"))&amp;$T$3&amp;A161&amp;$T$3&amp;B161&amp;$R$3</f>
        <v>-4125-蘆洲長樂店(定保)</v>
      </c>
      <c r="Q161" s="140"/>
      <c r="R161" s="140"/>
      <c r="S161" s="140"/>
      <c r="T161" s="140"/>
      <c r="U161" s="258">
        <f>IF(AND(W161&lt;&gt;"", X161&lt;&gt;""), 2, IF(OR(W161&lt;&gt;"", X161&lt;&gt;""), 1, 0))</f>
        <v>2</v>
      </c>
      <c r="V161" s="246" t="str">
        <f>IF(I161="", "未到店",
   IF(M161&lt;&gt;"EDC", "異常",
      IF(OR(AND(Y161="STAR", N161="STAR"), AND(Y161&lt;&gt;"STAR", N161="")), "已完工", "異常")
   )
)</f>
        <v>未到店</v>
      </c>
      <c r="W161" s="3" t="s">
        <v>4354</v>
      </c>
      <c r="X161" s="5" t="s">
        <v>4355</v>
      </c>
      <c r="Y161" s="5" t="str">
        <f>IF(U161&gt;0,"STAR","")</f>
        <v>STAR</v>
      </c>
    </row>
    <row r="162" spans="1:25" ht="15.75" customHeight="1">
      <c r="A162" s="179">
        <v>4609</v>
      </c>
      <c r="B162" s="180" t="str">
        <f>VLOOKUP(A162,'0919門市清單主檔'!B:C,2,FALSE)</f>
        <v>蘆洲洲正店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1746</v>
      </c>
      <c r="H162" s="186" t="str">
        <f>IF(I162&gt;0,(TEXT(I162,"yyyymmdd")&amp;$T$3&amp;A162&amp;$T$3&amp;B162&amp;$R$3),"")</f>
        <v>-4609-蘆洲洲正店(定保)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IF(AND(SUMPRODUCT((IM!F2:F776=A162)*(ISNUMBER(SEARCH("EDC", IM!AC2:AC776))))&gt;0), "EDC", "")</f>
        <v/>
      </c>
      <c r="N162" s="264" t="str" cm="1">
        <f t="array" ref="N162">IF(AND(SUMPRODUCT((IM!F2:F776=A162)*(ISNUMBER(SEARCH("STAR", IM!AC2:AC776))))&gt;0), "STAR", "")</f>
        <v/>
      </c>
      <c r="O162" s="256" t="str" cm="1">
        <f t="array" ref="O162">IFERROR(INDEX(IM!$X$2:$X$650, MATCH(1, (IM!$F$2:$F$650=A162) * (ISNUMBER(SEARCH($D$1, IM!$AC$2:$AC$650))), 0)), "")</f>
        <v/>
      </c>
      <c r="P162" s="191" t="str">
        <f>(TEXT(I162,"yyyymmdd"))&amp;$T$3&amp;A162&amp;$T$3&amp;B162&amp;$R$3</f>
        <v>-4609-蘆洲洲正店(定保)</v>
      </c>
      <c r="Q162" s="140"/>
      <c r="R162" s="140"/>
      <c r="S162" s="140"/>
      <c r="T162" s="140"/>
      <c r="U162" s="258">
        <f>IF(AND(W162&lt;&gt;"", X162&lt;&gt;""), 2, IF(OR(W162&lt;&gt;"", X162&lt;&gt;""), 1, 0))</f>
        <v>2</v>
      </c>
      <c r="V162" s="246" t="str">
        <f>IF(I162="", "未到店",
   IF(M162&lt;&gt;"EDC", "異常",
      IF(OR(AND(Y162="STAR", N162="STAR"), AND(Y162&lt;&gt;"STAR", N162="")), "已完工", "異常")
   )
)</f>
        <v>未到店</v>
      </c>
      <c r="W162" s="3" t="s">
        <v>4356</v>
      </c>
      <c r="X162" s="5" t="s">
        <v>4357</v>
      </c>
      <c r="Y162" s="5" t="str">
        <f>IF(U162&gt;0,"STAR","")</f>
        <v>STAR</v>
      </c>
    </row>
    <row r="163" spans="1:25" ht="15.75" customHeight="1">
      <c r="A163" s="179">
        <v>2958</v>
      </c>
      <c r="B163" s="180" t="str">
        <f>VLOOKUP(A163,'0919門市清單主檔'!B:C,2,FALSE)</f>
        <v>北縣蘆旺店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1746</v>
      </c>
      <c r="H163" s="186" t="str">
        <f>IF(I163&gt;0,(TEXT(I163,"yyyymmdd")&amp;$T$3&amp;A163&amp;$T$3&amp;B163&amp;$R$3),"")</f>
        <v>-2958-北縣蘆旺店(定保)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IF(AND(SUMPRODUCT((IM!F2:F777=A163)*(ISNUMBER(SEARCH("EDC", IM!AC2:AC777))))&gt;0), "EDC", "")</f>
        <v/>
      </c>
      <c r="N163" s="264" t="str" cm="1">
        <f t="array" ref="N163">IF(AND(SUMPRODUCT((IM!F2:F777=A163)*(ISNUMBER(SEARCH("STAR", IM!AC2:AC777))))&gt;0), "STAR", "")</f>
        <v/>
      </c>
      <c r="O163" s="256" t="str" cm="1">
        <f t="array" ref="O163">IFERROR(INDEX(IM!$X$2:$X$650, MATCH(1, (IM!$F$2:$F$650=A163) * (ISNUMBER(SEARCH($D$1, IM!$AC$2:$AC$650))), 0)), "")</f>
        <v/>
      </c>
      <c r="P163" s="191" t="str">
        <f>(TEXT(I163,"yyyymmdd"))&amp;$T$3&amp;A163&amp;$T$3&amp;B163&amp;$R$3</f>
        <v>-2958-北縣蘆旺店(定保)</v>
      </c>
      <c r="Q163" s="140"/>
      <c r="R163" s="140"/>
      <c r="S163" s="140"/>
      <c r="T163" s="140"/>
      <c r="U163" s="258">
        <f>IF(AND(W163&lt;&gt;"", X163&lt;&gt;""), 2, IF(OR(W163&lt;&gt;"", X163&lt;&gt;""), 1, 0))</f>
        <v>2</v>
      </c>
      <c r="V163" s="246" t="str">
        <f>IF(I163="", "未到店",
   IF(M163&lt;&gt;"EDC", "異常",
      IF(OR(AND(Y163="STAR", N163="STAR"), AND(Y163&lt;&gt;"STAR", N163="")), "已完工", "異常")
   )
)</f>
        <v>未到店</v>
      </c>
      <c r="W163" s="3" t="s">
        <v>4349</v>
      </c>
      <c r="X163" s="5" t="s">
        <v>4350</v>
      </c>
      <c r="Y163" s="5" t="str">
        <f>IF(U163&gt;0,"STAR","")</f>
        <v>STAR</v>
      </c>
    </row>
    <row r="164" spans="1:25" ht="15.75" customHeight="1">
      <c r="A164" s="179">
        <v>4701</v>
      </c>
      <c r="B164" s="180" t="str">
        <f>VLOOKUP(A164,'0919門市清單主檔'!B:C,2,FALSE)</f>
        <v>新莊昌平店</v>
      </c>
      <c r="C164" s="181" t="str">
        <f>VLOOKUP($A164,'0919門市清單主檔'!B:V,20,FALSE)</f>
        <v>新北市</v>
      </c>
      <c r="D164" s="182" t="str">
        <f>VLOOKUP($A164,'0919門市清單主檔'!B:V,21,FALSE)</f>
        <v>新莊區</v>
      </c>
      <c r="E164" s="183" t="str">
        <f>VLOOKUP(D164,區域表!A:B,2,FALSE)</f>
        <v>湯家瑋</v>
      </c>
      <c r="F164" s="184" t="str">
        <f>IFERROR(IF(VLOOKUP(A164,門市狀態!A:D,4,FALSE)=0,"",VLOOKUP(A164,門市狀態!A:D,4,FALSE)),"")</f>
        <v/>
      </c>
      <c r="G164" s="185" t="s">
        <v>1746</v>
      </c>
      <c r="H164" s="186" t="str">
        <f>IF(I164&gt;0,(TEXT(I164,"yyyymmdd")&amp;$T$3&amp;A164&amp;$T$3&amp;B164&amp;$R$3),"")</f>
        <v>-4701-新莊昌平店(定保)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IF(AND(SUMPRODUCT((IM!F2:F778=A164)*(ISNUMBER(SEARCH("EDC", IM!AC2:AC778))))&gt;0), "EDC", "")</f>
        <v/>
      </c>
      <c r="N164" s="264" t="str" cm="1">
        <f t="array" ref="N164">IF(AND(SUMPRODUCT((IM!F2:F778=A164)*(ISNUMBER(SEARCH("STAR", IM!AC2:AC778))))&gt;0), "STAR", "")</f>
        <v/>
      </c>
      <c r="O164" s="256" t="str" cm="1">
        <f t="array" ref="O164">IFERROR(INDEX(IM!$X$2:$X$650, MATCH(1, (IM!$F$2:$F$650=A164) * (ISNUMBER(SEARCH($D$1, IM!$AC$2:$AC$650))), 0)), "")</f>
        <v/>
      </c>
      <c r="P164" s="191" t="str">
        <f>(TEXT(I164,"yyyymmdd"))&amp;$T$3&amp;A164&amp;$T$3&amp;B164&amp;$R$3</f>
        <v>-4701-新莊昌平店(定保)</v>
      </c>
      <c r="Q164" s="140"/>
      <c r="R164" s="140"/>
      <c r="S164" s="140"/>
      <c r="T164" s="140"/>
      <c r="U164" s="258">
        <f>IF(AND(W164&lt;&gt;"", X164&lt;&gt;""), 2, IF(OR(W164&lt;&gt;"", X164&lt;&gt;""), 1, 0))</f>
        <v>0</v>
      </c>
      <c r="V164" s="246" t="str">
        <f>IF(I164="", "未到店",
   IF(M164&lt;&gt;"EDC", "異常",
      IF(OR(AND(Y164="STAR", N164="STAR"), AND(Y164&lt;&gt;"STAR", N164="")), "已完工", "異常")
   )
)</f>
        <v>未到店</v>
      </c>
      <c r="X164" s="5"/>
      <c r="Y164" s="5" t="str">
        <f>IF(U164&gt;0,"STAR","")</f>
        <v/>
      </c>
    </row>
    <row r="165" spans="1:25" ht="15.75" customHeight="1">
      <c r="A165" s="179">
        <v>3999</v>
      </c>
      <c r="B165" s="180" t="str">
        <f>VLOOKUP(A165,'0919門市清單主檔'!B:C,2,FALSE)</f>
        <v>新莊福祐店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1746</v>
      </c>
      <c r="H165" s="186" t="str">
        <f>IF(I165&gt;0,(TEXT(I165,"yyyymmdd")&amp;$T$3&amp;A165&amp;$T$3&amp;B165&amp;$R$3),"")</f>
        <v>-3999-新莊福祐店(定保)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IF(AND(SUMPRODUCT((IM!F2:F779=A165)*(ISNUMBER(SEARCH("EDC", IM!AC2:AC779))))&gt;0), "EDC", "")</f>
        <v/>
      </c>
      <c r="N165" s="264" t="str" cm="1">
        <f t="array" ref="N165">IF(AND(SUMPRODUCT((IM!F2:F779=A165)*(ISNUMBER(SEARCH("STAR", IM!AC2:AC779))))&gt;0), "STAR", "")</f>
        <v/>
      </c>
      <c r="O165" s="256" t="str" cm="1">
        <f t="array" ref="O165">IFERROR(INDEX(IM!$X$2:$X$650, MATCH(1, (IM!$F$2:$F$650=A165) * (ISNUMBER(SEARCH($D$1, IM!$AC$2:$AC$650))), 0)), "")</f>
        <v/>
      </c>
      <c r="P165" s="191" t="str">
        <f>(TEXT(I165,"yyyymmdd"))&amp;$T$3&amp;A165&amp;$T$3&amp;B165&amp;$R$3</f>
        <v>-3999-新莊福祐店(定保)</v>
      </c>
      <c r="Q165" s="140"/>
      <c r="R165" s="140"/>
      <c r="S165" s="140"/>
      <c r="T165" s="140"/>
      <c r="U165" s="258">
        <f>IF(AND(W165&lt;&gt;"", X165&lt;&gt;""), 2, IF(OR(W165&lt;&gt;"", X165&lt;&gt;""), 1, 0))</f>
        <v>1</v>
      </c>
      <c r="V165" s="246" t="str">
        <f>IF(I165="", "未到店",
   IF(M165&lt;&gt;"EDC", "異常",
      IF(OR(AND(Y165="STAR", N165="STAR"), AND(Y165&lt;&gt;"STAR", N165="")), "已完工", "異常")
   )
)</f>
        <v>未到店</v>
      </c>
      <c r="X165" s="5" t="s">
        <v>4413</v>
      </c>
      <c r="Y165" s="5" t="str">
        <f>IF(U165&gt;0,"STAR","")</f>
        <v>STAR</v>
      </c>
    </row>
    <row r="166" spans="1:25" ht="15.75" customHeight="1">
      <c r="A166" s="179">
        <v>2069</v>
      </c>
      <c r="B166" s="180" t="str">
        <f>VLOOKUP(A166,'0919門市清單主檔'!B:C,2,FALSE)</f>
        <v>板橋江子翠站</v>
      </c>
      <c r="C166" s="181" t="str">
        <f>VLOOKUP($A166,'0919門市清單主檔'!B:V,20,FALSE)</f>
        <v>新北市</v>
      </c>
      <c r="D166" s="182" t="str">
        <f>VLOOKUP($A166,'0919門市清單主檔'!B:V,21,FALSE)</f>
        <v>板橋區</v>
      </c>
      <c r="E166" s="183" t="str">
        <f>VLOOKUP(D166,區域表!A:B,2,FALSE)</f>
        <v>狄澤洋</v>
      </c>
      <c r="F166" s="184" t="str">
        <f>IFERROR(IF(VLOOKUP(A166,門市狀態!A:D,4,FALSE)=0,"",VLOOKUP(A166,門市狀態!A:D,4,FALSE)),"")</f>
        <v/>
      </c>
      <c r="G166" s="185"/>
      <c r="H166" s="186" t="str">
        <f>IF(I166&gt;0,(TEXT(I166,"yyyymmdd")&amp;$T$3&amp;A166&amp;$T$3&amp;B166&amp;$R$3),"")</f>
        <v>-2069-板橋江子翠站(定保)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IF(AND(SUMPRODUCT((IM!F2:F781=A166)*(ISNUMBER(SEARCH("EDC", IM!AC2:AC781))))&gt;0), "EDC", "")</f>
        <v/>
      </c>
      <c r="N166" s="264" t="str" cm="1">
        <f t="array" ref="N166">IF(AND(SUMPRODUCT((IM!F2:F781=A166)*(ISNUMBER(SEARCH("STAR", IM!AC2:AC781))))&gt;0), "STAR", "")</f>
        <v/>
      </c>
      <c r="O166" s="256" t="str" cm="1">
        <f t="array" ref="O166">IFERROR(INDEX(IM!$X$2:$X$650, MATCH(1, (IM!$F$2:$F$650=A166) * (ISNUMBER(SEARCH($D$1, IM!$AC$2:$AC$650))), 0)), "")</f>
        <v/>
      </c>
      <c r="P166" s="191" t="str">
        <f>(TEXT(I166,"yyyymmdd"))&amp;$T$3&amp;A166&amp;$T$3&amp;B166&amp;$R$3</f>
        <v>-2069-板橋江子翠站(定保)</v>
      </c>
      <c r="Q166" s="140"/>
      <c r="R166" s="140"/>
      <c r="S166" s="140"/>
      <c r="T166" s="140"/>
      <c r="U166" s="258">
        <f>IF(AND(W166&lt;&gt;"", X166&lt;&gt;""), 2, IF(OR(W166&lt;&gt;"", X166&lt;&gt;""), 1, 0))</f>
        <v>2</v>
      </c>
      <c r="V166" s="246" t="str">
        <f>IF(I166="", "未到店",
   IF(M166&lt;&gt;"EDC", "異常",
      IF(OR(AND(Y166="STAR", N166="STAR"), AND(Y166&lt;&gt;"STAR", N166="")), "已完工", "異常")
   )
)</f>
        <v>未到店</v>
      </c>
      <c r="W166" s="3" t="s">
        <v>4380</v>
      </c>
      <c r="X166" s="5" t="s">
        <v>4381</v>
      </c>
      <c r="Y166" s="5" t="str">
        <f>IF(U166&gt;0,"STAR","")</f>
        <v>STAR</v>
      </c>
    </row>
    <row r="167" spans="1:25" ht="15.75" customHeight="1">
      <c r="A167" s="179" t="s">
        <v>27</v>
      </c>
      <c r="B167" s="180" t="str">
        <f>VLOOKUP(A167,'0919門市清單主檔'!B:C,2,FALSE)</f>
        <v>三重車路頭</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-D195-三重車路頭(定保)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IF(AND(SUMPRODUCT((IM!F2:F782=A167)*(ISNUMBER(SEARCH("EDC", IM!AC2:AC782))))&gt;0), "EDC", "")</f>
        <v/>
      </c>
      <c r="N167" s="264" t="str" cm="1">
        <f t="array" ref="N167">IF(AND(SUMPRODUCT((IM!F2:F782=A167)*(ISNUMBER(SEARCH("STAR", IM!AC2:AC782))))&gt;0), "STAR", "")</f>
        <v/>
      </c>
      <c r="O167" s="256" t="str" cm="1">
        <f t="array" ref="O167">IFERROR(INDEX(IM!$X$2:$X$650, MATCH(1, (IM!$F$2:$F$650=A167) * (ISNUMBER(SEARCH($D$1, IM!$AC$2:$AC$650))), 0)), "")</f>
        <v/>
      </c>
      <c r="P167" s="191" t="str">
        <f>(TEXT(I167,"yyyymmdd"))&amp;$T$3&amp;A167&amp;$T$3&amp;B167&amp;$R$3</f>
        <v>-D195-三重車路頭(定保)</v>
      </c>
      <c r="Q167" s="140"/>
      <c r="R167" s="140"/>
      <c r="S167" s="140"/>
      <c r="T167" s="140"/>
      <c r="U167" s="258">
        <f>IF(AND(W167&lt;&gt;"", X167&lt;&gt;""), 2, IF(OR(W167&lt;&gt;"", X167&lt;&gt;""), 1, 0))</f>
        <v>1</v>
      </c>
      <c r="V167" s="246" t="str">
        <f>IF(I167="", "未到店",
   IF(M167&lt;&gt;"EDC", "異常",
      IF(OR(AND(Y167="STAR", N167="STAR"), AND(Y167&lt;&gt;"STAR", N167="")), "已完工", "異常")
   )
)</f>
        <v>未到店</v>
      </c>
      <c r="W167" s="3">
        <v>8155002442</v>
      </c>
      <c r="X167" s="5"/>
      <c r="Y167" s="5" t="str">
        <f>IF(U167&gt;0,"STAR","")</f>
        <v>STAR</v>
      </c>
    </row>
    <row r="168" spans="1:25" ht="15.75" customHeight="1">
      <c r="A168" s="179">
        <v>2222</v>
      </c>
      <c r="B168" s="180" t="str">
        <f>VLOOKUP(A168,'0919門市清單主檔'!B:C,2,FALSE)</f>
        <v>三重義天店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-2222-三重義天店(定保)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IF(AND(SUMPRODUCT((IM!F2:F783=A168)*(ISNUMBER(SEARCH("EDC", IM!AC2:AC783))))&gt;0), "EDC", "")</f>
        <v/>
      </c>
      <c r="N168" s="264" t="str" cm="1">
        <f t="array" ref="N168">IF(AND(SUMPRODUCT((IM!F2:F783=A168)*(ISNUMBER(SEARCH("STAR", IM!AC2:AC783))))&gt;0), "STAR", "")</f>
        <v/>
      </c>
      <c r="O168" s="256" t="str" cm="1">
        <f t="array" ref="O168">IFERROR(INDEX(IM!$X$2:$X$650, MATCH(1, (IM!$F$2:$F$650=A168) * (ISNUMBER(SEARCH($D$1, IM!$AC$2:$AC$650))), 0)), "")</f>
        <v/>
      </c>
      <c r="P168" s="191" t="str">
        <f>(TEXT(I168,"yyyymmdd"))&amp;$T$3&amp;A168&amp;$T$3&amp;B168&amp;$R$3</f>
        <v>-2222-三重義天店(定保)</v>
      </c>
      <c r="Q168" s="140"/>
      <c r="R168" s="140"/>
      <c r="S168" s="140"/>
      <c r="T168" s="140"/>
      <c r="U168" s="258">
        <f>IF(AND(W168&lt;&gt;"", X168&lt;&gt;""), 2, IF(OR(W168&lt;&gt;"", X168&lt;&gt;""), 1, 0))</f>
        <v>2</v>
      </c>
      <c r="V168" s="246" t="str">
        <f>IF(I168="", "未到店",
   IF(M168&lt;&gt;"EDC", "異常",
      IF(OR(AND(Y168="STAR", N168="STAR"), AND(Y168&lt;&gt;"STAR", N168="")), "已完工", "異常")
   )
)</f>
        <v>未到店</v>
      </c>
      <c r="W168" s="3" t="s">
        <v>4313</v>
      </c>
      <c r="X168" s="5" t="s">
        <v>4314</v>
      </c>
      <c r="Y168" s="5" t="str">
        <f>IF(U168&gt;0,"STAR","")</f>
        <v>STAR</v>
      </c>
    </row>
    <row r="169" spans="1:25" ht="15.75" customHeight="1">
      <c r="A169" s="179">
        <v>3601</v>
      </c>
      <c r="B169" s="180" t="str">
        <f>VLOOKUP(A169,'0919門市清單主檔'!B:C,2,FALSE)</f>
        <v>北縣重富店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-3601-北縣重富店(定保)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IF(AND(SUMPRODUCT((IM!F2:F785=A169)*(ISNUMBER(SEARCH("EDC", IM!AC2:AC785))))&gt;0), "EDC", "")</f>
        <v/>
      </c>
      <c r="N169" s="264" t="str" cm="1">
        <f t="array" ref="N169">IF(AND(SUMPRODUCT((IM!F2:F785=A169)*(ISNUMBER(SEARCH("STAR", IM!AC2:AC785))))&gt;0), "STAR", "")</f>
        <v/>
      </c>
      <c r="O169" s="256" t="str" cm="1">
        <f t="array" ref="O169">IFERROR(INDEX(IM!$X$2:$X$650, MATCH(1, (IM!$F$2:$F$650=A169) * (ISNUMBER(SEARCH($D$1, IM!$AC$2:$AC$650))), 0)), "")</f>
        <v/>
      </c>
      <c r="P169" s="191" t="str">
        <f>(TEXT(I169,"yyyymmdd"))&amp;$T$3&amp;A169&amp;$T$3&amp;B169&amp;$R$3</f>
        <v>-3601-北縣重富店(定保)</v>
      </c>
      <c r="Q169" s="140"/>
      <c r="R169" s="140"/>
      <c r="S169" s="140"/>
      <c r="T169" s="140"/>
      <c r="U169" s="258">
        <f>IF(AND(W169&lt;&gt;"", X169&lt;&gt;""), 2, IF(OR(W169&lt;&gt;"", X169&lt;&gt;""), 1, 0))</f>
        <v>2</v>
      </c>
      <c r="V169" s="246" t="str">
        <f>IF(I169="", "未到店",
   IF(M169&lt;&gt;"EDC", "異常",
      IF(OR(AND(Y169="STAR", N169="STAR"), AND(Y169&lt;&gt;"STAR", N169="")), "已完工", "異常")
   )
)</f>
        <v>未到店</v>
      </c>
      <c r="W169" s="3" t="s">
        <v>4332</v>
      </c>
      <c r="X169" s="5" t="s">
        <v>4333</v>
      </c>
      <c r="Y169" s="5" t="str">
        <f>IF(U169&gt;0,"STAR","")</f>
        <v>STAR</v>
      </c>
    </row>
    <row r="170" spans="1:25" ht="15.75" customHeight="1">
      <c r="A170" s="179">
        <v>3840</v>
      </c>
      <c r="B170" s="180" t="str">
        <f>VLOOKUP(A170,'0919門市清單主檔'!B:C,2,FALSE)</f>
        <v>北縣天龍店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IF(I170&gt;0,(TEXT(I170,"yyyymmdd")&amp;$T$3&amp;A170&amp;$T$3&amp;B170&amp;$R$3),"")</f>
        <v>-3840-北縣天龍店(定保)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IF(AND(SUMPRODUCT((IM!F2:F786=A170)*(ISNUMBER(SEARCH("EDC", IM!AC2:AC786))))&gt;0), "EDC", "")</f>
        <v/>
      </c>
      <c r="N170" s="264" t="str" cm="1">
        <f t="array" ref="N170">IF(AND(SUMPRODUCT((IM!F2:F786=A170)*(ISNUMBER(SEARCH("STAR", IM!AC2:AC786))))&gt;0), "STAR", "")</f>
        <v/>
      </c>
      <c r="O170" s="256" t="str" cm="1">
        <f t="array" ref="O170">IFERROR(INDEX(IM!$X$2:$X$650, MATCH(1, (IM!$F$2:$F$650=A170) * (ISNUMBER(SEARCH($D$1, IM!$AC$2:$AC$650))), 0)), "")</f>
        <v/>
      </c>
      <c r="P170" s="191" t="str">
        <f>(TEXT(I170,"yyyymmdd"))&amp;$T$3&amp;A170&amp;$T$3&amp;B170&amp;$R$3</f>
        <v>-3840-北縣天龍店(定保)</v>
      </c>
      <c r="Q170" s="140"/>
      <c r="R170" s="140"/>
      <c r="S170" s="140"/>
      <c r="T170" s="140"/>
      <c r="U170" s="258">
        <f>IF(AND(W170&lt;&gt;"", X170&lt;&gt;""), 2, IF(OR(W170&lt;&gt;"", X170&lt;&gt;""), 1, 0))</f>
        <v>2</v>
      </c>
      <c r="V170" s="246" t="str">
        <f>IF(I170="", "未到店",
   IF(M170&lt;&gt;"EDC", "異常",
      IF(OR(AND(Y170="STAR", N170="STAR"), AND(Y170&lt;&gt;"STAR", N170="")), "已完工", "異常")
   )
)</f>
        <v>未到店</v>
      </c>
      <c r="W170" s="3" t="s">
        <v>4330</v>
      </c>
      <c r="X170" s="5" t="s">
        <v>4331</v>
      </c>
      <c r="Y170" s="5" t="str">
        <f>IF(U170&gt;0,"STAR","")</f>
        <v>STAR</v>
      </c>
    </row>
    <row r="171" spans="1:25" ht="15.75" customHeight="1">
      <c r="A171" s="179">
        <v>4352</v>
      </c>
      <c r="B171" s="180" t="str">
        <f>VLOOKUP(A171,'0919門市清單主檔'!B:C,2,FALSE)</f>
        <v>三重公園店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-4352-三重公園店(定保)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IF(AND(SUMPRODUCT((IM!F2:F787=A171)*(ISNUMBER(SEARCH("EDC", IM!AC2:AC787))))&gt;0), "EDC", "")</f>
        <v/>
      </c>
      <c r="N171" s="264" t="str" cm="1">
        <f t="array" ref="N171">IF(AND(SUMPRODUCT((IM!F2:F787=A171)*(ISNUMBER(SEARCH("STAR", IM!AC2:AC787))))&gt;0), "STAR", "")</f>
        <v/>
      </c>
      <c r="O171" s="256" t="str" cm="1">
        <f t="array" ref="O171">IFERROR(INDEX(IM!$X$2:$X$650, MATCH(1, (IM!$F$2:$F$650=A171) * (ISNUMBER(SEARCH($D$1, IM!$AC$2:$AC$650))), 0)), "")</f>
        <v/>
      </c>
      <c r="P171" s="191" t="str">
        <f>(TEXT(I171,"yyyymmdd"))&amp;$T$3&amp;A171&amp;$T$3&amp;B171&amp;$R$3</f>
        <v>-4352-三重公園店(定保)</v>
      </c>
      <c r="Q171" s="140"/>
      <c r="R171" s="140"/>
      <c r="S171" s="140"/>
      <c r="T171" s="140"/>
      <c r="U171" s="258">
        <f>IF(AND(W171&lt;&gt;"", X171&lt;&gt;""), 2, IF(OR(W171&lt;&gt;"", X171&lt;&gt;""), 1, 0))</f>
        <v>2</v>
      </c>
      <c r="V171" s="246" t="str">
        <f>IF(I171="", "未到店",
   IF(M171&lt;&gt;"EDC", "異常",
      IF(OR(AND(Y171="STAR", N171="STAR"), AND(Y171&lt;&gt;"STAR", N171="")), "已完工", "異常")
   )
)</f>
        <v>未到店</v>
      </c>
      <c r="W171" s="3" t="s">
        <v>4328</v>
      </c>
      <c r="X171" s="5" t="s">
        <v>4329</v>
      </c>
      <c r="Y171" s="5" t="str">
        <f>IF(U171&gt;0,"STAR","")</f>
        <v>STAR</v>
      </c>
    </row>
    <row r="172" spans="1:25" ht="15.75" customHeight="1">
      <c r="A172" s="179">
        <v>3796</v>
      </c>
      <c r="B172" s="180" t="str">
        <f>VLOOKUP(A172,'0919門市清單主檔'!B:C,2,FALSE)</f>
        <v>三重進安店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-3796-三重進安店(定保)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IF(AND(SUMPRODUCT((IM!F2:F789=A172)*(ISNUMBER(SEARCH("EDC", IM!AC2:AC789))))&gt;0), "EDC", "")</f>
        <v/>
      </c>
      <c r="N172" s="264" t="str" cm="1">
        <f t="array" ref="N172">IF(AND(SUMPRODUCT((IM!F2:F789=A172)*(ISNUMBER(SEARCH("STAR", IM!AC2:AC789))))&gt;0), "STAR", "")</f>
        <v/>
      </c>
      <c r="O172" s="256" t="str" cm="1">
        <f t="array" ref="O172">IFERROR(INDEX(IM!$X$2:$X$650, MATCH(1, (IM!$F$2:$F$650=A172) * (ISNUMBER(SEARCH($D$1, IM!$AC$2:$AC$650))), 0)), "")</f>
        <v/>
      </c>
      <c r="P172" s="191" t="str">
        <f>(TEXT(I172,"yyyymmdd"))&amp;$T$3&amp;A172&amp;$T$3&amp;B172&amp;$R$3</f>
        <v>-3796-三重進安店(定保)</v>
      </c>
      <c r="Q172" s="140"/>
      <c r="R172" s="140"/>
      <c r="S172" s="140"/>
      <c r="T172" s="140"/>
      <c r="U172" s="258">
        <f>IF(AND(W172&lt;&gt;"", X172&lt;&gt;""), 2, IF(OR(W172&lt;&gt;"", X172&lt;&gt;""), 1, 0))</f>
        <v>2</v>
      </c>
      <c r="V172" s="246" t="str">
        <f>IF(I172="", "未到店",
   IF(M172&lt;&gt;"EDC", "異常",
      IF(OR(AND(Y172="STAR", N172="STAR"), AND(Y172&lt;&gt;"STAR", N172="")), "已完工", "異常")
   )
)</f>
        <v>未到店</v>
      </c>
      <c r="W172" s="3" t="s">
        <v>4320</v>
      </c>
      <c r="X172" s="5" t="s">
        <v>4321</v>
      </c>
      <c r="Y172" s="5" t="str">
        <f>IF(U172&gt;0,"STAR","")</f>
        <v>STAR</v>
      </c>
    </row>
    <row r="173" spans="1:25" ht="15.75" customHeight="1">
      <c r="A173" s="179" t="s">
        <v>39</v>
      </c>
      <c r="B173" s="180" t="str">
        <f>VLOOKUP(A173,'0919門市清單主檔'!B:C,2,FALSE)</f>
        <v>北縣三愛三店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IF(I173&gt;0,(TEXT(I173,"yyyymmdd")&amp;$T$3&amp;A173&amp;$T$3&amp;B173&amp;$R$3),"")</f>
        <v>-D620-北縣三愛三店(定保)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IF(AND(SUMPRODUCT((IM!F2:F790=A173)*(ISNUMBER(SEARCH("EDC", IM!AC2:AC790))))&gt;0), "EDC", "")</f>
        <v/>
      </c>
      <c r="N173" s="264" t="str" cm="1">
        <f t="array" ref="N173">IF(AND(SUMPRODUCT((IM!F2:F790=A173)*(ISNUMBER(SEARCH("STAR", IM!AC2:AC790))))&gt;0), "STAR", "")</f>
        <v/>
      </c>
      <c r="O173" s="256" t="str" cm="1">
        <f t="array" ref="O173">IFERROR(INDEX(IM!$X$2:$X$650, MATCH(1, (IM!$F$2:$F$650=A173) * (ISNUMBER(SEARCH($D$1, IM!$AC$2:$AC$650))), 0)), "")</f>
        <v/>
      </c>
      <c r="P173" s="191" t="str">
        <f>(TEXT(I173,"yyyymmdd"))&amp;$T$3&amp;A173&amp;$T$3&amp;B173&amp;$R$3</f>
        <v>-D620-北縣三愛三店(定保)</v>
      </c>
      <c r="Q173" s="140"/>
      <c r="R173" s="140"/>
      <c r="S173" s="140"/>
      <c r="T173" s="140"/>
      <c r="U173" s="258">
        <f>IF(AND(W173&lt;&gt;"", X173&lt;&gt;""), 2, IF(OR(W173&lt;&gt;"", X173&lt;&gt;""), 1, 0))</f>
        <v>2</v>
      </c>
      <c r="V173" s="246" t="str">
        <f>IF(I173="", "未到店",
   IF(M173&lt;&gt;"EDC", "異常",
      IF(OR(AND(Y173="STAR", N173="STAR"), AND(Y173&lt;&gt;"STAR", N173="")), "已完工", "異常")
   )
)</f>
        <v>未到店</v>
      </c>
      <c r="W173" s="3" t="s">
        <v>4303</v>
      </c>
      <c r="X173" s="5" t="s">
        <v>4304</v>
      </c>
      <c r="Y173" s="5" t="str">
        <f>IF(U173&gt;0,"STAR","")</f>
        <v>STAR</v>
      </c>
    </row>
    <row r="174" spans="1:25" ht="15.75" customHeight="1">
      <c r="A174" s="179" t="s">
        <v>28</v>
      </c>
      <c r="B174" s="180" t="str">
        <f>VLOOKUP(A174,'0919門市清單主檔'!B:C,2,FALSE)</f>
        <v>三重維德店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IF(I174&gt;0,(TEXT(I174,"yyyymmdd")&amp;$T$3&amp;A174&amp;$T$3&amp;B174&amp;$R$3),"")</f>
        <v>-D346-三重維德店(定保)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IF(AND(SUMPRODUCT((IM!F2:F791=A174)*(ISNUMBER(SEARCH("EDC", IM!AC2:AC791))))&gt;0), "EDC", "")</f>
        <v/>
      </c>
      <c r="N174" s="264" t="str" cm="1">
        <f t="array" ref="N174">IF(AND(SUMPRODUCT((IM!F2:F791=A174)*(ISNUMBER(SEARCH("STAR", IM!AC2:AC791))))&gt;0), "STAR", "")</f>
        <v/>
      </c>
      <c r="O174" s="256" t="str" cm="1">
        <f t="array" ref="O174">IFERROR(INDEX(IM!$X$2:$X$650, MATCH(1, (IM!$F$2:$F$650=A174) * (ISNUMBER(SEARCH($D$1, IM!$AC$2:$AC$650))), 0)), "")</f>
        <v/>
      </c>
      <c r="P174" s="191" t="str">
        <f>(TEXT(I174,"yyyymmdd"))&amp;$T$3&amp;A174&amp;$T$3&amp;B174&amp;$R$3</f>
        <v>-D346-三重維德店(定保)</v>
      </c>
      <c r="Q174" s="140"/>
      <c r="R174" s="140"/>
      <c r="S174" s="140"/>
      <c r="T174" s="140"/>
      <c r="U174" s="258">
        <f>IF(AND(W174&lt;&gt;"", X174&lt;&gt;""), 2, IF(OR(W174&lt;&gt;"", X174&lt;&gt;""), 1, 0))</f>
        <v>1</v>
      </c>
      <c r="V174" s="246" t="str">
        <f>IF(I174="", "未到店",
   IF(M174&lt;&gt;"EDC", "異常",
      IF(OR(AND(Y174="STAR", N174="STAR"), AND(Y174&lt;&gt;"STAR", N174="")), "已完工", "異常")
   )
)</f>
        <v>未到店</v>
      </c>
      <c r="X174" s="5" t="s">
        <v>4300</v>
      </c>
      <c r="Y174" s="5" t="str">
        <f>IF(U174&gt;0,"STAR","")</f>
        <v>STAR</v>
      </c>
    </row>
    <row r="175" spans="1:25" ht="15.75" customHeight="1">
      <c r="A175" s="179">
        <v>2303</v>
      </c>
      <c r="B175" s="180" t="str">
        <f>VLOOKUP(A175,'0919門市清單主檔'!B:C,2,FALSE)</f>
        <v>三重三和夜市</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IF(I175&gt;0,(TEXT(I175,"yyyymmdd")&amp;$T$3&amp;A175&amp;$T$3&amp;B175&amp;$R$3),"")</f>
        <v>-2303-三重三和夜市(定保)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IF(AND(SUMPRODUCT((IM!F2:F792=A175)*(ISNUMBER(SEARCH("EDC", IM!AC2:AC792))))&gt;0), "EDC", "")</f>
        <v/>
      </c>
      <c r="N175" s="264" t="str" cm="1">
        <f t="array" ref="N175">IF(AND(SUMPRODUCT((IM!F2:F792=A175)*(ISNUMBER(SEARCH("STAR", IM!AC2:AC792))))&gt;0), "STAR", "")</f>
        <v/>
      </c>
      <c r="O175" s="256" t="str" cm="1">
        <f t="array" ref="O175">IFERROR(INDEX(IM!$X$2:$X$650, MATCH(1, (IM!$F$2:$F$650=A175) * (ISNUMBER(SEARCH($D$1, IM!$AC$2:$AC$650))), 0)), "")</f>
        <v/>
      </c>
      <c r="P175" s="191" t="str">
        <f>(TEXT(I175,"yyyymmdd"))&amp;$T$3&amp;A175&amp;$T$3&amp;B175&amp;$R$3</f>
        <v>-2303-三重三和夜市(定保)</v>
      </c>
      <c r="Q175" s="140"/>
      <c r="R175" s="140"/>
      <c r="S175" s="140"/>
      <c r="T175" s="140"/>
      <c r="U175" s="258">
        <f>IF(AND(W175&lt;&gt;"", X175&lt;&gt;""), 2, IF(OR(W175&lt;&gt;"", X175&lt;&gt;""), 1, 0))</f>
        <v>2</v>
      </c>
      <c r="V175" s="246" t="str">
        <f>IF(I175="", "未到店",
   IF(M175&lt;&gt;"EDC", "異常",
      IF(OR(AND(Y175="STAR", N175="STAR"), AND(Y175&lt;&gt;"STAR", N175="")), "已完工", "異常")
   )
)</f>
        <v>未到店</v>
      </c>
      <c r="W175" s="3" t="s">
        <v>4311</v>
      </c>
      <c r="X175" s="5" t="s">
        <v>4312</v>
      </c>
      <c r="Y175" s="5" t="str">
        <f>IF(U175&gt;0,"STAR","")</f>
        <v>STAR</v>
      </c>
    </row>
    <row r="176" spans="1:25" ht="15.75" customHeight="1">
      <c r="A176" s="179">
        <v>4098</v>
      </c>
      <c r="B176" s="180" t="str">
        <f>VLOOKUP(A176,'0919門市清單主檔'!B:C,2,FALSE)</f>
        <v>三重仁美店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IF(I176&gt;0,(TEXT(I176,"yyyymmdd")&amp;$T$3&amp;A176&amp;$T$3&amp;B176&amp;$R$3),"")</f>
        <v>-4098-三重仁美店(定保)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IF(AND(SUMPRODUCT((IM!F2:F793=A176)*(ISNUMBER(SEARCH("EDC", IM!AC2:AC793))))&gt;0), "EDC", "")</f>
        <v/>
      </c>
      <c r="N176" s="264" t="str" cm="1">
        <f t="array" ref="N176">IF(AND(SUMPRODUCT((IM!F2:F793=A176)*(ISNUMBER(SEARCH("STAR", IM!AC2:AC793))))&gt;0), "STAR", "")</f>
        <v/>
      </c>
      <c r="O176" s="256" t="str" cm="1">
        <f t="array" ref="O176">IFERROR(INDEX(IM!$X$2:$X$650, MATCH(1, (IM!$F$2:$F$650=A176) * (ISNUMBER(SEARCH($D$1, IM!$AC$2:$AC$650))), 0)), "")</f>
        <v/>
      </c>
      <c r="P176" s="191" t="str">
        <f>(TEXT(I176,"yyyymmdd"))&amp;$T$3&amp;A176&amp;$T$3&amp;B176&amp;$R$3</f>
        <v>-4098-三重仁美店(定保)</v>
      </c>
      <c r="Q176" s="140"/>
      <c r="R176" s="140"/>
      <c r="S176" s="140"/>
      <c r="T176" s="140"/>
      <c r="U176" s="258">
        <f>IF(AND(W176&lt;&gt;"", X176&lt;&gt;""), 2, IF(OR(W176&lt;&gt;"", X176&lt;&gt;""), 1, 0))</f>
        <v>1</v>
      </c>
      <c r="V176" s="246" t="str">
        <f>IF(I176="", "未到店",
   IF(M176&lt;&gt;"EDC", "異常",
      IF(OR(AND(Y176="STAR", N176="STAR"), AND(Y176&lt;&gt;"STAR", N176="")), "已完工", "異常")
   )
)</f>
        <v>未到店</v>
      </c>
      <c r="W176" s="3" t="s">
        <v>4317</v>
      </c>
      <c r="X176" s="5"/>
      <c r="Y176" s="5" t="str">
        <f>IF(U176&gt;0,"STAR","")</f>
        <v>STAR</v>
      </c>
    </row>
    <row r="177" spans="1:25" ht="15.75" customHeight="1">
      <c r="A177" s="179">
        <v>3811</v>
      </c>
      <c r="B177" s="180" t="str">
        <f>VLOOKUP(A177,'0919門市清單主檔'!B:C,2,FALSE)</f>
        <v>三重碧華公園</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1746</v>
      </c>
      <c r="H177" s="186" t="str">
        <f>IF(I177&gt;0,(TEXT(I177,"yyyymmdd")&amp;$T$3&amp;A177&amp;$T$3&amp;B177&amp;$R$3),"")</f>
        <v>-3811-三重碧華公園(定保)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IF(AND(SUMPRODUCT((IM!F2:F794=A177)*(ISNUMBER(SEARCH("EDC", IM!AC2:AC794))))&gt;0), "EDC", "")</f>
        <v/>
      </c>
      <c r="N177" s="264" t="str" cm="1">
        <f t="array" ref="N177">IF(AND(SUMPRODUCT((IM!F2:F794=A177)*(ISNUMBER(SEARCH("STAR", IM!AC2:AC794))))&gt;0), "STAR", "")</f>
        <v/>
      </c>
      <c r="O177" s="256" t="str" cm="1">
        <f t="array" ref="O177">IFERROR(INDEX(IM!$X$2:$X$650, MATCH(1, (IM!$F$2:$F$650=A177) * (ISNUMBER(SEARCH($D$1, IM!$AC$2:$AC$650))), 0)), "")</f>
        <v/>
      </c>
      <c r="P177" s="191" t="str">
        <f>(TEXT(I177,"yyyymmdd"))&amp;$T$3&amp;A177&amp;$T$3&amp;B177&amp;$R$3</f>
        <v>-3811-三重碧華公園(定保)</v>
      </c>
      <c r="Q177" s="140"/>
      <c r="R177" s="140"/>
      <c r="S177" s="140"/>
      <c r="T177" s="140"/>
      <c r="U177" s="258">
        <f>IF(AND(W177&lt;&gt;"", X177&lt;&gt;""), 2, IF(OR(W177&lt;&gt;"", X177&lt;&gt;""), 1, 0))</f>
        <v>2</v>
      </c>
      <c r="V177" s="246" t="str">
        <f>IF(I177="", "未到店",
   IF(M177&lt;&gt;"EDC", "異常",
      IF(OR(AND(Y177="STAR", N177="STAR"), AND(Y177&lt;&gt;"STAR", N177="")), "已完工", "異常")
   )
)</f>
        <v>未到店</v>
      </c>
      <c r="W177" s="3" t="s">
        <v>4318</v>
      </c>
      <c r="X177" s="5" t="s">
        <v>4319</v>
      </c>
      <c r="Y177" s="5" t="str">
        <f>IF(U177&gt;0,"STAR","")</f>
        <v>STAR</v>
      </c>
    </row>
    <row r="178" spans="1:25" ht="15.75" customHeight="1">
      <c r="A178" s="179" t="s">
        <v>43</v>
      </c>
      <c r="B178" s="180" t="str">
        <f>VLOOKUP(A178,'0919門市清單主檔'!B:C,2,FALSE)</f>
        <v>車麗屋蘆洲店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1747</v>
      </c>
      <c r="H178" s="186" t="str">
        <f>IF(I178&gt;0,(TEXT(I178,"yyyymmdd")&amp;$T$3&amp;A178&amp;$T$3&amp;B178&amp;$R$3),"")</f>
        <v>-L517-車麗屋蘆洲店(定保)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IF(AND(SUMPRODUCT((IM!F2:F795=A178)*(ISNUMBER(SEARCH("EDC", IM!AC2:AC795))))&gt;0), "EDC", "")</f>
        <v/>
      </c>
      <c r="N178" s="264" t="str" cm="1">
        <f t="array" ref="N178">IF(AND(SUMPRODUCT((IM!F2:F795=A178)*(ISNUMBER(SEARCH("STAR", IM!AC2:AC795))))&gt;0), "STAR", "")</f>
        <v/>
      </c>
      <c r="O178" s="256" t="str" cm="1">
        <f t="array" ref="O178">IFERROR(INDEX(IM!$X$2:$X$650, MATCH(1, (IM!$F$2:$F$650=A178) * (ISNUMBER(SEARCH($D$1, IM!$AC$2:$AC$650))), 0)), "")</f>
        <v/>
      </c>
      <c r="P178" s="191" t="str">
        <f>(TEXT(I178,"yyyymmdd"))&amp;$T$3&amp;A178&amp;$T$3&amp;B178&amp;$R$3</f>
        <v>-L517-車麗屋蘆洲店(定保)</v>
      </c>
      <c r="Q178" s="140"/>
      <c r="R178" s="140"/>
      <c r="S178" s="140"/>
      <c r="T178" s="140"/>
      <c r="U178" s="258">
        <f>IF(AND(W178&lt;&gt;"", X178&lt;&gt;""), 2, IF(OR(W178&lt;&gt;"", X178&lt;&gt;""), 1, 0))</f>
        <v>0</v>
      </c>
      <c r="V178" s="246" t="str">
        <f>IF(I178="", "未到店",
   IF(M178&lt;&gt;"EDC", "異常",
      IF(OR(AND(Y178="STAR", N178="STAR"), AND(Y178&lt;&gt;"STAR", N178="")), "已完工", "異常")
   )
)</f>
        <v>未到店</v>
      </c>
      <c r="X178" s="5"/>
      <c r="Y178" s="5" t="str">
        <f>IF(U178&gt;0,"STAR","")</f>
        <v/>
      </c>
    </row>
    <row r="179" spans="1:25" ht="15.75" customHeight="1">
      <c r="A179" s="179" t="s">
        <v>37</v>
      </c>
      <c r="B179" s="180" t="str">
        <f>VLOOKUP(A179,'0919門市清單主檔'!B:C,2,FALSE)</f>
        <v>北縣仁和店</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1746</v>
      </c>
      <c r="H179" s="186" t="str">
        <f>IF(I179&gt;0,(TEXT(I179,"yyyymmdd")&amp;$T$3&amp;A179&amp;$T$3&amp;B179&amp;$R$3),"")</f>
        <v>-D350-北縣仁和店(定保)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IF(AND(SUMPRODUCT((IM!F2:F796=A179)*(ISNUMBER(SEARCH("EDC", IM!AC2:AC796))))&gt;0), "EDC", "")</f>
        <v/>
      </c>
      <c r="N179" s="264" t="str" cm="1">
        <f t="array" ref="N179">IF(AND(SUMPRODUCT((IM!F2:F796=A179)*(ISNUMBER(SEARCH("STAR", IM!AC2:AC796))))&gt;0), "STAR", "")</f>
        <v/>
      </c>
      <c r="O179" s="256" t="str" cm="1">
        <f t="array" ref="O179">IFERROR(INDEX(IM!$X$2:$X$650, MATCH(1, (IM!$F$2:$F$650=A179) * (ISNUMBER(SEARCH($D$1, IM!$AC$2:$AC$650))), 0)), "")</f>
        <v/>
      </c>
      <c r="P179" s="191" t="str">
        <f>(TEXT(I179,"yyyymmdd"))&amp;$T$3&amp;A179&amp;$T$3&amp;B179&amp;$R$3</f>
        <v>-D350-北縣仁和店(定保)</v>
      </c>
      <c r="Q179" s="140"/>
      <c r="R179" s="140"/>
      <c r="S179" s="140"/>
      <c r="T179" s="140"/>
      <c r="U179" s="258">
        <f>IF(AND(W179&lt;&gt;"", X179&lt;&gt;""), 2, IF(OR(W179&lt;&gt;"", X179&lt;&gt;""), 1, 0))</f>
        <v>2</v>
      </c>
      <c r="V179" s="246" t="str">
        <f>IF(I179="", "未到店",
   IF(M179&lt;&gt;"EDC", "異常",
      IF(OR(AND(Y179="STAR", N179="STAR"), AND(Y179&lt;&gt;"STAR", N179="")), "已完工", "異常")
   )
)</f>
        <v>未到店</v>
      </c>
      <c r="W179" s="3" t="s">
        <v>4315</v>
      </c>
      <c r="X179" s="5" t="s">
        <v>4316</v>
      </c>
      <c r="Y179" s="5" t="str">
        <f>IF(U179&gt;0,"STAR","")</f>
        <v>STAR</v>
      </c>
    </row>
    <row r="180" spans="1:25" ht="15.75" customHeight="1">
      <c r="A180" s="179">
        <v>3957</v>
      </c>
      <c r="B180" s="180" t="str">
        <f>VLOOKUP(A180,'0919門市清單主檔'!B:C,2,FALSE)</f>
        <v>三重福仁店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1746</v>
      </c>
      <c r="H180" s="186" t="str">
        <f>IF(I180&gt;0,(TEXT(I180,"yyyymmdd")&amp;$T$3&amp;A180&amp;$T$3&amp;B180&amp;$R$3),"")</f>
        <v>-3957-三重福仁店(定保)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IF(AND(SUMPRODUCT((IM!F2:F797=A180)*(ISNUMBER(SEARCH("EDC", IM!AC2:AC797))))&gt;0), "EDC", "")</f>
        <v/>
      </c>
      <c r="N180" s="264" t="str" cm="1">
        <f t="array" ref="N180">IF(AND(SUMPRODUCT((IM!F2:F797=A180)*(ISNUMBER(SEARCH("STAR", IM!AC2:AC797))))&gt;0), "STAR", "")</f>
        <v/>
      </c>
      <c r="O180" s="256" t="str" cm="1">
        <f t="array" ref="O180">IFERROR(INDEX(IM!$X$2:$X$650, MATCH(1, (IM!$F$2:$F$650=A180) * (ISNUMBER(SEARCH($D$1, IM!$AC$2:$AC$650))), 0)), "")</f>
        <v/>
      </c>
      <c r="P180" s="191" t="str">
        <f>(TEXT(I180,"yyyymmdd"))&amp;$T$3&amp;A180&amp;$T$3&amp;B180&amp;$R$3</f>
        <v>-3957-三重福仁店(定保)</v>
      </c>
      <c r="Q180" s="140"/>
      <c r="R180" s="140"/>
      <c r="S180" s="140"/>
      <c r="T180" s="140"/>
      <c r="U180" s="258">
        <f>IF(AND(W180&lt;&gt;"", X180&lt;&gt;""), 2, IF(OR(W180&lt;&gt;"", X180&lt;&gt;""), 1, 0))</f>
        <v>2</v>
      </c>
      <c r="V180" s="246" t="str">
        <f>IF(I180="", "未到店",
   IF(M180&lt;&gt;"EDC", "異常",
      IF(OR(AND(Y180="STAR", N180="STAR"), AND(Y180&lt;&gt;"STAR", N180="")), "已完工", "異常")
   )
)</f>
        <v>未到店</v>
      </c>
      <c r="W180" s="3" t="s">
        <v>4298</v>
      </c>
      <c r="X180" s="5" t="s">
        <v>4299</v>
      </c>
      <c r="Y180" s="5" t="str">
        <f>IF(U180&gt;0,"STAR","")</f>
        <v>STAR</v>
      </c>
    </row>
    <row r="181" spans="1:25" ht="15.75" customHeight="1">
      <c r="A181" s="179">
        <v>3452</v>
      </c>
      <c r="B181" s="180" t="str">
        <f>VLOOKUP(A181,'0919門市清單主檔'!B:C,2,FALSE)</f>
        <v>北縣蘆信店</v>
      </c>
      <c r="C181" s="181" t="str">
        <f>VLOOKUP($A181,'0919門市清單主檔'!B:V,20,FALSE)</f>
        <v>新北市</v>
      </c>
      <c r="D181" s="182" t="str">
        <f>VLOOKUP($A181,'0919門市清單主檔'!B:V,21,FALSE)</f>
        <v>蘆洲區</v>
      </c>
      <c r="E181" s="183" t="str">
        <f>VLOOKUP(D181,區域表!A:B,2,FALSE)</f>
        <v>吳宗鴻</v>
      </c>
      <c r="F181" s="184" t="str">
        <f>IFERROR(IF(VLOOKUP(A181,門市狀態!A:D,4,FALSE)=0,"",VLOOKUP(A181,門市狀態!A:D,4,FALSE)),"")</f>
        <v/>
      </c>
      <c r="G181" s="185" t="s">
        <v>1746</v>
      </c>
      <c r="H181" s="186" t="str">
        <f>IF(I181&gt;0,(TEXT(I181,"yyyymmdd")&amp;$T$3&amp;A181&amp;$T$3&amp;B181&amp;$R$3),"")</f>
        <v>-3452-北縣蘆信店(定保)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IF(AND(SUMPRODUCT((IM!F2:F798=A181)*(ISNUMBER(SEARCH("EDC", IM!AC2:AC798))))&gt;0), "EDC", "")</f>
        <v/>
      </c>
      <c r="N181" s="264" t="str" cm="1">
        <f t="array" ref="N181">IF(AND(SUMPRODUCT((IM!F2:F798=A181)*(ISNUMBER(SEARCH("STAR", IM!AC2:AC798))))&gt;0), "STAR", "")</f>
        <v/>
      </c>
      <c r="O181" s="256" t="str" cm="1">
        <f t="array" ref="O181">IFERROR(INDEX(IM!$X$2:$X$650, MATCH(1, (IM!$F$2:$F$650=A181) * (ISNUMBER(SEARCH($D$1, IM!$AC$2:$AC$650))), 0)), "")</f>
        <v/>
      </c>
      <c r="P181" s="191" t="str">
        <f>(TEXT(I181,"yyyymmdd"))&amp;$T$3&amp;A181&amp;$T$3&amp;B181&amp;$R$3</f>
        <v>-3452-北縣蘆信店(定保)</v>
      </c>
      <c r="Q181" s="140"/>
      <c r="R181" s="140"/>
      <c r="S181" s="140"/>
      <c r="T181" s="140"/>
      <c r="U181" s="258">
        <f>IF(AND(W181&lt;&gt;"", X181&lt;&gt;""), 2, IF(OR(W181&lt;&gt;"", X181&lt;&gt;""), 1, 0))</f>
        <v>2</v>
      </c>
      <c r="V181" s="246" t="str">
        <f>IF(I181="", "未到店",
   IF(M181&lt;&gt;"EDC", "異常",
      IF(OR(AND(Y181="STAR", N181="STAR"), AND(Y181&lt;&gt;"STAR", N181="")), "已完工", "異常")
   )
)</f>
        <v>未到店</v>
      </c>
      <c r="W181" s="3" t="s">
        <v>4346</v>
      </c>
      <c r="X181" s="5" t="s">
        <v>4347</v>
      </c>
      <c r="Y181" s="5" t="str">
        <f>IF(U181&gt;0,"STAR","")</f>
        <v>STAR</v>
      </c>
    </row>
    <row r="182" spans="1:25" ht="15.75" customHeight="1">
      <c r="A182" s="179">
        <v>4218</v>
      </c>
      <c r="B182" s="180" t="str">
        <f>VLOOKUP(A182,'0919門市清單主檔'!B:C,2,FALSE)</f>
        <v>蘆洲湧蓮店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1746</v>
      </c>
      <c r="H182" s="186" t="str">
        <f>IF(I182&gt;0,(TEXT(I182,"yyyymmdd")&amp;$T$3&amp;A182&amp;$T$3&amp;B182&amp;$R$3),"")</f>
        <v>-4218-蘆洲湧蓮店(定保)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IF(AND(SUMPRODUCT((IM!F2:F800=A182)*(ISNUMBER(SEARCH("EDC", IM!AC2:AC800))))&gt;0), "EDC", "")</f>
        <v/>
      </c>
      <c r="N182" s="264" t="str" cm="1">
        <f t="array" ref="N182">IF(AND(SUMPRODUCT((IM!F2:F800=A182)*(ISNUMBER(SEARCH("STAR", IM!AC2:AC800))))&gt;0), "STAR", "")</f>
        <v/>
      </c>
      <c r="O182" s="256" t="str" cm="1">
        <f t="array" ref="O182">IFERROR(INDEX(IM!$X$2:$X$650, MATCH(1, (IM!$F$2:$F$650=A182) * (ISNUMBER(SEARCH($D$1, IM!$AC$2:$AC$650))), 0)), "")</f>
        <v/>
      </c>
      <c r="P182" s="191" t="str">
        <f>(TEXT(I182,"yyyymmdd"))&amp;$T$3&amp;A182&amp;$T$3&amp;B182&amp;$R$3</f>
        <v>-4218-蘆洲湧蓮店(定保)</v>
      </c>
      <c r="Q182" s="140"/>
      <c r="R182" s="140"/>
      <c r="S182" s="140"/>
      <c r="T182" s="140"/>
      <c r="U182" s="258">
        <f>IF(AND(W182&lt;&gt;"", X182&lt;&gt;""), 2, IF(OR(W182&lt;&gt;"", X182&lt;&gt;""), 1, 0))</f>
        <v>1</v>
      </c>
      <c r="V182" s="246" t="str">
        <f>IF(I182="", "未到店",
   IF(M182&lt;&gt;"EDC", "異常",
      IF(OR(AND(Y182="STAR", N182="STAR"), AND(Y182&lt;&gt;"STAR", N182="")), "已完工", "異常")
   )
)</f>
        <v>未到店</v>
      </c>
      <c r="X182" s="5" t="s">
        <v>4358</v>
      </c>
      <c r="Y182" s="5" t="str">
        <f>IF(U182&gt;0,"STAR","")</f>
        <v>STAR</v>
      </c>
    </row>
    <row r="183" spans="1:25" ht="15.75" customHeight="1">
      <c r="A183" s="179">
        <v>3929</v>
      </c>
      <c r="B183" s="180" t="str">
        <f>VLOOKUP(A183,'0919門市清單主檔'!B:C,2,FALSE)</f>
        <v>蘆洲中山一</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1746</v>
      </c>
      <c r="H183" s="186" t="str">
        <f>IF(I183&gt;0,(TEXT(I183,"yyyymmdd")&amp;$T$3&amp;A183&amp;$T$3&amp;B183&amp;$R$3),"")</f>
        <v>-3929-蘆洲中山一(定保)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IF(AND(SUMPRODUCT((IM!F2:F801=A183)*(ISNUMBER(SEARCH("EDC", IM!AC2:AC801))))&gt;0), "EDC", "")</f>
        <v/>
      </c>
      <c r="N183" s="264" t="str" cm="1">
        <f t="array" ref="N183">IF(AND(SUMPRODUCT((IM!F2:F801=A183)*(ISNUMBER(SEARCH("STAR", IM!AC2:AC801))))&gt;0), "STAR", "")</f>
        <v/>
      </c>
      <c r="O183" s="256" t="str" cm="1">
        <f t="array" ref="O183">IFERROR(INDEX(IM!$X$2:$X$650, MATCH(1, (IM!$F$2:$F$650=A183) * (ISNUMBER(SEARCH($D$1, IM!$AC$2:$AC$650))), 0)), "")</f>
        <v/>
      </c>
      <c r="P183" s="191" t="str">
        <f>(TEXT(I183,"yyyymmdd"))&amp;$T$3&amp;A183&amp;$T$3&amp;B183&amp;$R$3</f>
        <v>-3929-蘆洲中山一(定保)</v>
      </c>
      <c r="Q183" s="140"/>
      <c r="R183" s="140"/>
      <c r="S183" s="140"/>
      <c r="T183" s="140"/>
      <c r="U183" s="258">
        <f>IF(AND(W183&lt;&gt;"", X183&lt;&gt;""), 2, IF(OR(W183&lt;&gt;"", X183&lt;&gt;""), 1, 0))</f>
        <v>1</v>
      </c>
      <c r="V183" s="246" t="str">
        <f>IF(I183="", "未到店",
   IF(M183&lt;&gt;"EDC", "異常",
      IF(OR(AND(Y183="STAR", N183="STAR"), AND(Y183&lt;&gt;"STAR", N183="")), "已完工", "異常")
   )
)</f>
        <v>未到店</v>
      </c>
      <c r="W183" s="3" t="s">
        <v>4348</v>
      </c>
      <c r="X183" s="5"/>
      <c r="Y183" s="5" t="str">
        <f>IF(U183&gt;0,"STAR","")</f>
        <v>STAR</v>
      </c>
    </row>
    <row r="184" spans="1:25" ht="15.75" customHeight="1">
      <c r="A184" s="179">
        <v>4658</v>
      </c>
      <c r="B184" s="180" t="str">
        <f>VLOOKUP(A184,'0919門市清單主檔'!B:C,2,FALSE)</f>
        <v>淡水英才店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IF(I184&gt;0,(TEXT(I184,"yyyymmdd")&amp;$T$3&amp;A184&amp;$T$3&amp;B184&amp;$R$3),"")</f>
        <v>-4658-淡水英才店(定保)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IF(AND(SUMPRODUCT((IM!F2:F802=A184)*(ISNUMBER(SEARCH("EDC", IM!AC2:AC802))))&gt;0), "EDC", "")</f>
        <v/>
      </c>
      <c r="N184" s="264" t="str" cm="1">
        <f t="array" ref="N184">IF(AND(SUMPRODUCT((IM!F2:F802=A184)*(ISNUMBER(SEARCH("STAR", IM!AC2:AC802))))&gt;0), "STAR", "")</f>
        <v/>
      </c>
      <c r="O184" s="256" t="str" cm="1">
        <f t="array" ref="O184">IFERROR(INDEX(IM!$X$2:$X$650, MATCH(1, (IM!$F$2:$F$650=A184) * (ISNUMBER(SEARCH($D$1, IM!$AC$2:$AC$650))), 0)), "")</f>
        <v/>
      </c>
      <c r="P184" s="191" t="str">
        <f>(TEXT(I184,"yyyymmdd"))&amp;$T$3&amp;A184&amp;$T$3&amp;B184&amp;$R$3</f>
        <v>-4658-淡水英才店(定保)</v>
      </c>
      <c r="Q184" s="140"/>
      <c r="R184" s="140"/>
      <c r="S184" s="140"/>
      <c r="T184" s="140"/>
      <c r="U184" s="258">
        <f>IF(AND(W184&lt;&gt;"", X184&lt;&gt;""), 2, IF(OR(W184&lt;&gt;"", X184&lt;&gt;""), 1, 0))</f>
        <v>0</v>
      </c>
      <c r="V184" s="246" t="str">
        <f>IF(I184="", "未到店",
   IF(M184&lt;&gt;"EDC", "異常",
      IF(OR(AND(Y184="STAR", N184="STAR"), AND(Y184&lt;&gt;"STAR", N184="")), "已完工", "異常")
   )
)</f>
        <v>未到店</v>
      </c>
      <c r="X184" s="5"/>
      <c r="Y184" s="5" t="str">
        <f>IF(U184&gt;0,"STAR","")</f>
        <v/>
      </c>
    </row>
    <row r="185" spans="1:25" ht="15.75" customHeight="1">
      <c r="A185" s="179">
        <v>3751</v>
      </c>
      <c r="B185" s="180" t="str">
        <f>VLOOKUP(A185,'0919門市清單主檔'!B:C,2,FALSE)</f>
        <v>淡水真理大</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4086</v>
      </c>
      <c r="H185" s="186" t="str">
        <f>IF(I185&gt;0,(TEXT(I185,"yyyymmdd")&amp;$T$3&amp;A185&amp;$T$3&amp;B185&amp;$R$3),"")</f>
        <v>-3751-淡水真理大(定保)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IF(AND(SUMPRODUCT((IM!F2:F804=A185)*(ISNUMBER(SEARCH("EDC", IM!AC2:AC804))))&gt;0), "EDC", "")</f>
        <v/>
      </c>
      <c r="N185" s="264" t="str" cm="1">
        <f t="array" ref="N185">IF(AND(SUMPRODUCT((IM!F2:F804=A185)*(ISNUMBER(SEARCH("STAR", IM!AC2:AC804))))&gt;0), "STAR", "")</f>
        <v/>
      </c>
      <c r="O185" s="256" t="str" cm="1">
        <f t="array" ref="O185">IFERROR(INDEX(IM!$X$2:$X$650, MATCH(1, (IM!$F$2:$F$650=A185) * (ISNUMBER(SEARCH($D$1, IM!$AC$2:$AC$650))), 0)), "")</f>
        <v/>
      </c>
      <c r="P185" s="191" t="str">
        <f>(TEXT(I185,"yyyymmdd"))&amp;$T$3&amp;A185&amp;$T$3&amp;B185&amp;$R$3</f>
        <v>-3751-淡水真理大(定保)</v>
      </c>
      <c r="Q185" s="140"/>
      <c r="R185" s="140"/>
      <c r="S185" s="140"/>
      <c r="T185" s="140"/>
      <c r="U185" s="258">
        <f>IF(AND(W185&lt;&gt;"", X185&lt;&gt;""), 2, IF(OR(W185&lt;&gt;"", X185&lt;&gt;""), 1, 0))</f>
        <v>2</v>
      </c>
      <c r="V185" s="246" t="str">
        <f>IF(I185="", "未到店",
   IF(M185&lt;&gt;"EDC", "異常",
      IF(OR(AND(Y185="STAR", N185="STAR"), AND(Y185&lt;&gt;"STAR", N185="")), "已完工", "異常")
   )
)</f>
        <v>未到店</v>
      </c>
      <c r="W185" s="3" t="s">
        <v>4334</v>
      </c>
      <c r="X185" s="5" t="s">
        <v>4335</v>
      </c>
      <c r="Y185" s="5" t="str">
        <f>IF(U185&gt;0,"STAR","")</f>
        <v>STAR</v>
      </c>
    </row>
    <row r="186" spans="1:25" ht="15.75" customHeight="1">
      <c r="A186" s="179">
        <v>3965</v>
      </c>
      <c r="B186" s="180" t="str">
        <f>VLOOKUP(A186,'0919門市清單主檔'!B:C,2,FALSE)</f>
        <v>板橋民治店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IF(I186&gt;0,(TEXT(I186,"yyyymmdd")&amp;$T$3&amp;A186&amp;$T$3&amp;B186&amp;$R$3),"")</f>
        <v>-3965-板橋民治店(定保)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IF(AND(SUMPRODUCT((IM!F2:F805=A186)*(ISNUMBER(SEARCH("EDC", IM!AC2:AC805))))&gt;0), "EDC", "")</f>
        <v/>
      </c>
      <c r="N186" s="264" t="str" cm="1">
        <f t="array" ref="N186">IF(AND(SUMPRODUCT((IM!F2:F805=A186)*(ISNUMBER(SEARCH("STAR", IM!AC2:AC805))))&gt;0), "STAR", "")</f>
        <v/>
      </c>
      <c r="O186" s="256" t="str" cm="1">
        <f t="array" ref="O186">IFERROR(INDEX(IM!$X$2:$X$650, MATCH(1, (IM!$F$2:$F$650=A186) * (ISNUMBER(SEARCH($D$1, IM!$AC$2:$AC$650))), 0)), "")</f>
        <v/>
      </c>
      <c r="P186" s="191" t="str">
        <f>(TEXT(I186,"yyyymmdd"))&amp;$T$3&amp;A186&amp;$T$3&amp;B186&amp;$R$3</f>
        <v>-3965-板橋民治店(定保)</v>
      </c>
      <c r="Q186" s="140"/>
      <c r="R186" s="140"/>
      <c r="S186" s="140"/>
      <c r="T186" s="140"/>
      <c r="U186" s="258">
        <f>IF(AND(W186&lt;&gt;"", X186&lt;&gt;""), 2, IF(OR(W186&lt;&gt;"", X186&lt;&gt;""), 1, 0))</f>
        <v>2</v>
      </c>
      <c r="V186" s="246" t="str">
        <f>IF(I186="", "未到店",
   IF(M186&lt;&gt;"EDC", "異常",
      IF(OR(AND(Y186="STAR", N186="STAR"), AND(Y186&lt;&gt;"STAR", N186="")), "已完工", "異常")
   )
)</f>
        <v>未到店</v>
      </c>
      <c r="W186" s="3" t="s">
        <v>4361</v>
      </c>
      <c r="X186" s="5" t="s">
        <v>4362</v>
      </c>
      <c r="Y186" s="5" t="str">
        <f>IF(U186&gt;0,"STAR","")</f>
        <v>STAR</v>
      </c>
    </row>
    <row r="187" spans="1:25" ht="15.75" customHeight="1">
      <c r="A187" s="179">
        <v>5101</v>
      </c>
      <c r="B187" s="180" t="str">
        <f>VLOOKUP(A187,'0919門市清單主檔'!B:C,2,FALSE)</f>
        <v>淡水小坪頂</v>
      </c>
      <c r="C187" s="181" t="str">
        <f>VLOOKUP($A187,'0919門市清單主檔'!B:V,20,FALSE)</f>
        <v>新北市</v>
      </c>
      <c r="D187" s="182" t="str">
        <f>VLOOKUP($A187,'0919門市清單主檔'!B:V,21,FALSE)</f>
        <v>淡水區</v>
      </c>
      <c r="E187" s="183" t="str">
        <f>VLOOKUP(D187,區域表!A:B,2,FALSE)</f>
        <v>吳宗鴻</v>
      </c>
      <c r="F187" s="184" t="str">
        <f>IFERROR(IF(VLOOKUP(A187,門市狀態!A:D,4,FALSE)=0,"",VLOOKUP(A187,門市狀態!A:D,4,FALSE)),"")</f>
        <v/>
      </c>
      <c r="G187" s="185" t="s">
        <v>1746</v>
      </c>
      <c r="H187" s="186" t="str">
        <f>IF(I187&gt;0,(TEXT(I187,"yyyymmdd")&amp;$T$3&amp;A187&amp;$T$3&amp;B187&amp;$R$3),"")</f>
        <v>-5101-淡水小坪頂(定保)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IF(AND(SUMPRODUCT((IM!F2:F806=A187)*(ISNUMBER(SEARCH("EDC", IM!AC2:AC806))))&gt;0), "EDC", "")</f>
        <v/>
      </c>
      <c r="N187" s="264" t="str" cm="1">
        <f t="array" ref="N187">IF(AND(SUMPRODUCT((IM!F2:F806=A187)*(ISNUMBER(SEARCH("STAR", IM!AC2:AC806))))&gt;0), "STAR", "")</f>
        <v/>
      </c>
      <c r="O187" s="256" t="str" cm="1">
        <f t="array" ref="O187">IFERROR(INDEX(IM!$X$2:$X$650, MATCH(1, (IM!$F$2:$F$650=A187) * (ISNUMBER(SEARCH($D$1, IM!$AC$2:$AC$650))), 0)), "")</f>
        <v/>
      </c>
      <c r="P187" s="191" t="str">
        <f>(TEXT(I187,"yyyymmdd"))&amp;$T$3&amp;A187&amp;$T$3&amp;B187&amp;$R$3</f>
        <v>-5101-淡水小坪頂(定保)</v>
      </c>
      <c r="Q187" s="140"/>
      <c r="R187" s="140"/>
      <c r="S187" s="140"/>
      <c r="T187" s="140"/>
      <c r="U187" s="258">
        <f>IF(AND(W187&lt;&gt;"", X187&lt;&gt;""), 2, IF(OR(W187&lt;&gt;"", X187&lt;&gt;""), 1, 0))</f>
        <v>0</v>
      </c>
      <c r="V187" s="246" t="str">
        <f>IF(I187="", "未到店",
   IF(M187&lt;&gt;"EDC", "異常",
      IF(OR(AND(Y187="STAR", N187="STAR"), AND(Y187&lt;&gt;"STAR", N187="")), "已完工", "異常")
   )
)</f>
        <v>未到店</v>
      </c>
      <c r="X187" s="5"/>
      <c r="Y187" s="5" t="str">
        <f>IF(U187&gt;0,"STAR","")</f>
        <v/>
      </c>
    </row>
    <row r="188" spans="1:25" ht="15.75" customHeight="1">
      <c r="A188" s="179">
        <v>4739</v>
      </c>
      <c r="B188" s="180" t="str">
        <f>VLOOKUP(A188,'0919門市清單主檔'!B:C,2,FALSE)</f>
        <v>淡水櫻花店</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IF(I188&gt;0,(TEXT(I188,"yyyymmdd")&amp;$T$3&amp;A188&amp;$T$3&amp;B188&amp;$R$3),"")</f>
        <v>-4739-淡水櫻花店(定保)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IF(AND(SUMPRODUCT((IM!F2:F807=A188)*(ISNUMBER(SEARCH("EDC", IM!AC2:AC807))))&gt;0), "EDC", "")</f>
        <v/>
      </c>
      <c r="N188" s="264" t="str" cm="1">
        <f t="array" ref="N188">IF(AND(SUMPRODUCT((IM!F2:F807=A188)*(ISNUMBER(SEARCH("STAR", IM!AC2:AC807))))&gt;0), "STAR", "")</f>
        <v/>
      </c>
      <c r="O188" s="256" t="str" cm="1">
        <f t="array" ref="O188">IFERROR(INDEX(IM!$X$2:$X$650, MATCH(1, (IM!$F$2:$F$650=A188) * (ISNUMBER(SEARCH($D$1, IM!$AC$2:$AC$650))), 0)), "")</f>
        <v/>
      </c>
      <c r="P188" s="191" t="str">
        <f>(TEXT(I188,"yyyymmdd"))&amp;$T$3&amp;A188&amp;$T$3&amp;B188&amp;$R$3</f>
        <v>-4739-淡水櫻花店(定保)</v>
      </c>
      <c r="Q188" s="140"/>
      <c r="R188" s="140"/>
      <c r="S188" s="140"/>
      <c r="T188" s="140"/>
      <c r="U188" s="258">
        <f>IF(AND(W188&lt;&gt;"", X188&lt;&gt;""), 2, IF(OR(W188&lt;&gt;"", X188&lt;&gt;""), 1, 0))</f>
        <v>1</v>
      </c>
      <c r="V188" s="246" t="str">
        <f>IF(I188="", "未到店",
   IF(M188&lt;&gt;"EDC", "異常",
      IF(OR(AND(Y188="STAR", N188="STAR"), AND(Y188&lt;&gt;"STAR", N188="")), "已完工", "異常")
   )
)</f>
        <v>未到店</v>
      </c>
      <c r="X188" s="5" t="s">
        <v>4339</v>
      </c>
      <c r="Y188" s="5" t="str">
        <f>IF(U188&gt;0,"STAR","")</f>
        <v>STAR</v>
      </c>
    </row>
    <row r="189" spans="1:25" ht="15.75" customHeight="1">
      <c r="A189" s="179">
        <v>5080</v>
      </c>
      <c r="B189" s="180" t="str">
        <f>VLOOKUP(A189,'0919門市清單主檔'!B:C,2,FALSE)</f>
        <v>三芝楓愛林</v>
      </c>
      <c r="C189" s="181" t="str">
        <f>VLOOKUP($A189,'0919門市清單主檔'!B:V,20,FALSE)</f>
        <v>新北市</v>
      </c>
      <c r="D189" s="182" t="str">
        <f>VLOOKUP($A189,'0919門市清單主檔'!B:V,21,FALSE)</f>
        <v>三芝區</v>
      </c>
      <c r="E189" s="183" t="str">
        <f>VLOOKUP(D189,區域表!A:B,2,FALSE)</f>
        <v>吳宗鴻</v>
      </c>
      <c r="F189" s="184" t="str">
        <f>IFERROR(IF(VLOOKUP(A189,門市狀態!A:D,4,FALSE)=0,"",VLOOKUP(A189,門市狀態!A:D,4,FALSE)),"")</f>
        <v/>
      </c>
      <c r="G189" s="185" t="s">
        <v>1746</v>
      </c>
      <c r="H189" s="186" t="str">
        <f>IF(I189&gt;0,(TEXT(I189,"yyyymmdd")&amp;$T$3&amp;A189&amp;$T$3&amp;B189&amp;$R$3),"")</f>
        <v>-5080-三芝楓愛林(定保)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IF(AND(SUMPRODUCT((IM!F2:F808=A189)*(ISNUMBER(SEARCH("EDC", IM!AC2:AC808))))&gt;0), "EDC", "")</f>
        <v/>
      </c>
      <c r="N189" s="264" t="str" cm="1">
        <f t="array" ref="N189">IF(AND(SUMPRODUCT((IM!F2:F808=A189)*(ISNUMBER(SEARCH("STAR", IM!AC2:AC808))))&gt;0), "STAR", "")</f>
        <v/>
      </c>
      <c r="O189" s="256" t="str" cm="1">
        <f t="array" ref="O189">IFERROR(INDEX(IM!$X$2:$X$650, MATCH(1, (IM!$F$2:$F$650=A189) * (ISNUMBER(SEARCH($D$1, IM!$AC$2:$AC$650))), 0)), "")</f>
        <v/>
      </c>
      <c r="P189" s="191" t="str">
        <f>(TEXT(I189,"yyyymmdd"))&amp;$T$3&amp;A189&amp;$T$3&amp;B189&amp;$R$3</f>
        <v>-5080-三芝楓愛林(定保)</v>
      </c>
      <c r="Q189" s="140"/>
      <c r="R189" s="140"/>
      <c r="S189" s="140"/>
      <c r="T189" s="140"/>
      <c r="U189" s="258">
        <f>IF(AND(W189&lt;&gt;"", X189&lt;&gt;""), 2, IF(OR(W189&lt;&gt;"", X189&lt;&gt;""), 1, 0))</f>
        <v>0</v>
      </c>
      <c r="V189" s="246" t="str">
        <f>IF(I189="", "未到店",
   IF(M189&lt;&gt;"EDC", "異常",
      IF(OR(AND(Y189="STAR", N189="STAR"), AND(Y189&lt;&gt;"STAR", N189="")), "已完工", "異常")
   )
)</f>
        <v>未到店</v>
      </c>
      <c r="X189" s="5"/>
      <c r="Y189" s="5" t="str">
        <f>IF(U189&gt;0,"STAR","")</f>
        <v/>
      </c>
    </row>
    <row r="190" spans="1:25" ht="15.75" customHeight="1">
      <c r="A190" s="179">
        <v>4154</v>
      </c>
      <c r="B190" s="180" t="str">
        <f>VLOOKUP(A190,'0919門市清單主檔'!B:C,2,FALSE)</f>
        <v>林口麗園店</v>
      </c>
      <c r="C190" s="181" t="str">
        <f>VLOOKUP($A190,'0919門市清單主檔'!B:V,20,FALSE)</f>
        <v>新北市</v>
      </c>
      <c r="D190" s="182" t="str">
        <f>VLOOKUP($A190,'0919門市清單主檔'!B:V,21,FALSE)</f>
        <v>林口區</v>
      </c>
      <c r="E190" s="183" t="str">
        <f>VLOOKUP(D190,區域表!A:B,2,FALSE)</f>
        <v>湯家瑋</v>
      </c>
      <c r="F190" s="184" t="str">
        <f>IFERROR(IF(VLOOKUP(A190,門市狀態!A:D,4,FALSE)=0,"",VLOOKUP(A190,門市狀態!A:D,4,FALSE)),"")</f>
        <v/>
      </c>
      <c r="G190" s="185" t="s">
        <v>1746</v>
      </c>
      <c r="H190" s="186" t="str">
        <f>IF(I190&gt;0,(TEXT(I190,"yyyymmdd")&amp;$T$3&amp;A190&amp;$T$3&amp;B190&amp;$R$3),"")</f>
        <v>-4154-林口麗園店(定保)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IF(AND(SUMPRODUCT((IM!F2:F809=A190)*(ISNUMBER(SEARCH("EDC", IM!AC2:AC809))))&gt;0), "EDC", "")</f>
        <v/>
      </c>
      <c r="N190" s="264" t="str" cm="1">
        <f t="array" ref="N190">IF(AND(SUMPRODUCT((IM!F2:F809=A190)*(ISNUMBER(SEARCH("STAR", IM!AC2:AC809))))&gt;0), "STAR", "")</f>
        <v/>
      </c>
      <c r="O190" s="256" t="str" cm="1">
        <f t="array" ref="O190">IFERROR(INDEX(IM!$X$2:$X$650, MATCH(1, (IM!$F$2:$F$650=A190) * (ISNUMBER(SEARCH($D$1, IM!$AC$2:$AC$650))), 0)), "")</f>
        <v/>
      </c>
      <c r="P190" s="191" t="str">
        <f>(TEXT(I190,"yyyymmdd"))&amp;$T$3&amp;A190&amp;$T$3&amp;B190&amp;$R$3</f>
        <v>-4154-林口麗園店(定保)</v>
      </c>
      <c r="Q190" s="140"/>
      <c r="R190" s="140"/>
      <c r="S190" s="140"/>
      <c r="T190" s="140"/>
      <c r="U190" s="258">
        <f>IF(AND(W190&lt;&gt;"", X190&lt;&gt;""), 2, IF(OR(W190&lt;&gt;"", X190&lt;&gt;""), 1, 0))</f>
        <v>2</v>
      </c>
      <c r="V190" s="246" t="str">
        <f>IF(I190="", "未到店",
   IF(M190&lt;&gt;"EDC", "異常",
      IF(OR(AND(Y190="STAR", N190="STAR"), AND(Y190&lt;&gt;"STAR", N190="")), "已完工", "異常")
   )
)</f>
        <v>未到店</v>
      </c>
      <c r="W190" s="3" t="s">
        <v>4405</v>
      </c>
      <c r="X190" s="5" t="s">
        <v>4406</v>
      </c>
      <c r="Y190" s="5" t="str">
        <f>IF(U190&gt;0,"STAR","")</f>
        <v>STAR</v>
      </c>
    </row>
    <row r="191" spans="1:25" ht="15.75" customHeight="1">
      <c r="A191" s="179" t="s">
        <v>41</v>
      </c>
      <c r="B191" s="180" t="str">
        <f>VLOOKUP(A191,'0919門市清單主檔'!B:C,2,FALSE)</f>
        <v>車麗屋林口店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1747</v>
      </c>
      <c r="H191" s="186" t="str">
        <f>IF(I191&gt;0,(TEXT(I191,"yyyymmdd")&amp;$T$3&amp;A191&amp;$T$3&amp;B191&amp;$R$3),"")</f>
        <v>-L519-車麗屋林口店(定保)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IF(AND(SUMPRODUCT((IM!F2:F810=A191)*(ISNUMBER(SEARCH("EDC", IM!AC2:AC810))))&gt;0), "EDC", "")</f>
        <v/>
      </c>
      <c r="N191" s="264" t="str" cm="1">
        <f t="array" ref="N191">IF(AND(SUMPRODUCT((IM!F2:F810=A191)*(ISNUMBER(SEARCH("STAR", IM!AC2:AC810))))&gt;0), "STAR", "")</f>
        <v/>
      </c>
      <c r="O191" s="256" t="str" cm="1">
        <f t="array" ref="O191">IFERROR(INDEX(IM!$X$2:$X$650, MATCH(1, (IM!$F$2:$F$650=A191) * (ISNUMBER(SEARCH($D$1, IM!$AC$2:$AC$650))), 0)), "")</f>
        <v/>
      </c>
      <c r="P191" s="191" t="str">
        <f>(TEXT(I191,"yyyymmdd"))&amp;$T$3&amp;A191&amp;$T$3&amp;B191&amp;$R$3</f>
        <v>-L519-車麗屋林口店(定保)</v>
      </c>
      <c r="Q191" s="140"/>
      <c r="R191" s="140"/>
      <c r="S191" s="140"/>
      <c r="T191" s="140"/>
      <c r="U191" s="258">
        <f>IF(AND(W191&lt;&gt;"", X191&lt;&gt;""), 2, IF(OR(W191&lt;&gt;"", X191&lt;&gt;""), 1, 0))</f>
        <v>0</v>
      </c>
      <c r="V191" s="246" t="str">
        <f>IF(I191="", "未到店",
   IF(M191&lt;&gt;"EDC", "異常",
      IF(OR(AND(Y191="STAR", N191="STAR"), AND(Y191&lt;&gt;"STAR", N191="")), "已完工", "異常")
   )
)</f>
        <v>未到店</v>
      </c>
      <c r="X191" s="5"/>
      <c r="Y191" s="5" t="str">
        <f>IF(U191&gt;0,"STAR","")</f>
        <v/>
      </c>
    </row>
    <row r="192" spans="1:25" ht="15.75" customHeight="1">
      <c r="A192" s="179" t="s">
        <v>1453</v>
      </c>
      <c r="B192" s="180" t="str">
        <f>VLOOKUP(A192,'0919門市清單主檔'!B:C,2,FALSE)</f>
        <v>林口顧家店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1747</v>
      </c>
      <c r="H192" s="186" t="str">
        <f>IF(I192&gt;0,(TEXT(I192,"yyyymmdd")&amp;$T$3&amp;A192&amp;$T$3&amp;B192&amp;$R$3),"")</f>
        <v>-L551-林口顧家店(定保)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IF(AND(SUMPRODUCT((IM!F2:F811=A192)*(ISNUMBER(SEARCH("EDC", IM!AC2:AC811))))&gt;0), "EDC", "")</f>
        <v/>
      </c>
      <c r="N192" s="264" t="str" cm="1">
        <f t="array" ref="N192">IF(AND(SUMPRODUCT((IM!F2:F811=A192)*(ISNUMBER(SEARCH("STAR", IM!AC2:AC811))))&gt;0), "STAR", "")</f>
        <v/>
      </c>
      <c r="O192" s="256" t="str" cm="1">
        <f t="array" ref="O192">IFERROR(INDEX(IM!$X$2:$X$650, MATCH(1, (IM!$F$2:$F$650=A192) * (ISNUMBER(SEARCH($D$1, IM!$AC$2:$AC$650))), 0)), "")</f>
        <v/>
      </c>
      <c r="P192" s="191" t="str">
        <f>(TEXT(I192,"yyyymmdd"))&amp;$T$3&amp;A192&amp;$T$3&amp;B192&amp;$R$3</f>
        <v>-L551-林口顧家店(定保)</v>
      </c>
      <c r="Q192" s="140"/>
      <c r="R192" s="140"/>
      <c r="S192" s="140"/>
      <c r="T192" s="140"/>
      <c r="U192" s="258">
        <f>IF(AND(W192&lt;&gt;"", X192&lt;&gt;""), 2, IF(OR(W192&lt;&gt;"", X192&lt;&gt;""), 1, 0))</f>
        <v>0</v>
      </c>
      <c r="V192" s="246" t="str">
        <f>IF(I192="", "未到店",
   IF(M192&lt;&gt;"EDC", "異常",
      IF(OR(AND(Y192="STAR", N192="STAR"), AND(Y192&lt;&gt;"STAR", N192="")), "已完工", "異常")
   )
)</f>
        <v>未到店</v>
      </c>
      <c r="X192" s="5"/>
      <c r="Y192" s="5" t="str">
        <f>IF(U192&gt;0,"STAR","")</f>
        <v/>
      </c>
    </row>
    <row r="193" spans="1:25" ht="15.75" customHeight="1">
      <c r="A193" s="179">
        <v>4483</v>
      </c>
      <c r="B193" s="180" t="str">
        <f>VLOOKUP(A193,'0919門市清單主檔'!B:C,2,FALSE)</f>
        <v>林口築夢店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IF(I193&gt;0,(TEXT(I193,"yyyymmdd")&amp;$T$3&amp;A193&amp;$T$3&amp;B193&amp;$R$3),"")</f>
        <v>-4483-林口築夢店(定保)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IF(AND(SUMPRODUCT((IM!F2:F813=A193)*(ISNUMBER(SEARCH("EDC", IM!AC2:AC813))))&gt;0), "EDC", "")</f>
        <v/>
      </c>
      <c r="N193" s="264" t="str" cm="1">
        <f t="array" ref="N193">IF(AND(SUMPRODUCT((IM!F2:F813=A193)*(ISNUMBER(SEARCH("STAR", IM!AC2:AC813))))&gt;0), "STAR", "")</f>
        <v/>
      </c>
      <c r="O193" s="256" t="str" cm="1">
        <f t="array" ref="O193">IFERROR(INDEX(IM!$X$2:$X$650, MATCH(1, (IM!$F$2:$F$650=A193) * (ISNUMBER(SEARCH($D$1, IM!$AC$2:$AC$650))), 0)), "")</f>
        <v/>
      </c>
      <c r="P193" s="191" t="str">
        <f>(TEXT(I193,"yyyymmdd"))&amp;$T$3&amp;A193&amp;$T$3&amp;B193&amp;$R$3</f>
        <v>-4483-林口築夢店(定保)</v>
      </c>
      <c r="Q193" s="140"/>
      <c r="R193" s="140"/>
      <c r="S193" s="140"/>
      <c r="T193" s="140"/>
      <c r="U193" s="258">
        <f>IF(AND(W193&lt;&gt;"", X193&lt;&gt;""), 2, IF(OR(W193&lt;&gt;"", X193&lt;&gt;""), 1, 0))</f>
        <v>1</v>
      </c>
      <c r="V193" s="246" t="str">
        <f>IF(I193="", "未到店",
   IF(M193&lt;&gt;"EDC", "異常",
      IF(OR(AND(Y193="STAR", N193="STAR"), AND(Y193&lt;&gt;"STAR", N193="")), "已完工", "異常")
   )
)</f>
        <v>未到店</v>
      </c>
      <c r="W193" s="3" t="s">
        <v>4407</v>
      </c>
      <c r="X193" s="5"/>
      <c r="Y193" s="5" t="str">
        <f>IF(U193&gt;0,"STAR","")</f>
        <v>STAR</v>
      </c>
    </row>
    <row r="194" spans="1:25" ht="15.75" customHeight="1">
      <c r="A194" s="179">
        <v>2746</v>
      </c>
      <c r="B194" s="180" t="str">
        <f>VLOOKUP(A194,'0919門市清單主檔'!B:C,2,FALSE)</f>
        <v>北縣板嘉店</v>
      </c>
      <c r="C194" s="181" t="str">
        <f>VLOOKUP($A194,'0919門市清單主檔'!B:V,20,FALSE)</f>
        <v>新北市</v>
      </c>
      <c r="D194" s="182" t="str">
        <f>VLOOKUP($A194,'0919門市清單主檔'!B:V,21,FALSE)</f>
        <v>板橋區</v>
      </c>
      <c r="E194" s="183" t="str">
        <f>VLOOKUP(D194,區域表!A:B,2,FALSE)</f>
        <v>狄澤洋</v>
      </c>
      <c r="F194" s="184" t="str">
        <f>IFERROR(IF(VLOOKUP(A194,門市狀態!A:D,4,FALSE)=0,"",VLOOKUP(A194,門市狀態!A:D,4,FALSE)),"")</f>
        <v/>
      </c>
      <c r="G194" s="185" t="s">
        <v>1746</v>
      </c>
      <c r="H194" s="186" t="str">
        <f>IF(I194&gt;0,(TEXT(I194,"yyyymmdd")&amp;$T$3&amp;A194&amp;$T$3&amp;B194&amp;$R$3),"")</f>
        <v>-2746-北縣板嘉店(定保)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IF(AND(SUMPRODUCT((IM!F2:F814=A194)*(ISNUMBER(SEARCH("EDC", IM!AC2:AC814))))&gt;0), "EDC", "")</f>
        <v/>
      </c>
      <c r="N194" s="264" t="str" cm="1">
        <f t="array" ref="N194">IF(AND(SUMPRODUCT((IM!F2:F814=A194)*(ISNUMBER(SEARCH("STAR", IM!AC2:AC814))))&gt;0), "STAR", "")</f>
        <v/>
      </c>
      <c r="O194" s="256" t="str" cm="1">
        <f t="array" ref="O194">IFERROR(INDEX(IM!$X$2:$X$650, MATCH(1, (IM!$F$2:$F$650=A194) * (ISNUMBER(SEARCH($D$1, IM!$AC$2:$AC$650))), 0)), "")</f>
        <v/>
      </c>
      <c r="P194" s="191" t="str">
        <f>(TEXT(I194,"yyyymmdd"))&amp;$T$3&amp;A194&amp;$T$3&amp;B194&amp;$R$3</f>
        <v>-2746-北縣板嘉店(定保)</v>
      </c>
      <c r="Q194" s="140"/>
      <c r="R194" s="140"/>
      <c r="S194" s="140"/>
      <c r="T194" s="140"/>
      <c r="U194" s="258">
        <f>IF(AND(W194&lt;&gt;"", X194&lt;&gt;""), 2, IF(OR(W194&lt;&gt;"", X194&lt;&gt;""), 1, 0))</f>
        <v>2</v>
      </c>
      <c r="V194" s="246" t="str">
        <f>IF(I194="", "未到店",
   IF(M194&lt;&gt;"EDC", "異常",
      IF(OR(AND(Y194="STAR", N194="STAR"), AND(Y194&lt;&gt;"STAR", N194="")), "已完工", "異常")
   )
)</f>
        <v>未到店</v>
      </c>
      <c r="W194" s="3" t="s">
        <v>4372</v>
      </c>
      <c r="X194" s="5" t="s">
        <v>4373</v>
      </c>
      <c r="Y194" s="5" t="str">
        <f>IF(U194&gt;0,"STAR","")</f>
        <v>STAR</v>
      </c>
    </row>
    <row r="195" spans="1:25" ht="15.75" customHeight="1">
      <c r="A195" s="179">
        <v>3243</v>
      </c>
      <c r="B195" s="180" t="str">
        <f>VLOOKUP(A195,'0919門市清單主檔'!B:C,2,FALSE)</f>
        <v>北縣醒吾店</v>
      </c>
      <c r="C195" s="181" t="str">
        <f>VLOOKUP($A195,'0919門市清單主檔'!B:V,20,FALSE)</f>
        <v>新北市</v>
      </c>
      <c r="D195" s="182" t="str">
        <f>VLOOKUP($A195,'0919門市清單主檔'!B:V,21,FALSE)</f>
        <v>林口區</v>
      </c>
      <c r="E195" s="183" t="str">
        <f>VLOOKUP(D195,區域表!A:B,2,FALSE)</f>
        <v>湯家瑋</v>
      </c>
      <c r="F195" s="184" t="str">
        <f>IFERROR(IF(VLOOKUP(A195,門市狀態!A:D,4,FALSE)=0,"",VLOOKUP(A195,門市狀態!A:D,4,FALSE)),"")</f>
        <v/>
      </c>
      <c r="G195" s="185" t="s">
        <v>4086</v>
      </c>
      <c r="H195" s="186" t="str">
        <f>IF(I195&gt;0,(TEXT(I195,"yyyymmdd")&amp;$T$3&amp;A195&amp;$T$3&amp;B195&amp;$R$3),"")</f>
        <v>-3243-北縣醒吾店(定保)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IF(AND(SUMPRODUCT((IM!F2:F815=A195)*(ISNUMBER(SEARCH("EDC", IM!AC2:AC815))))&gt;0), "EDC", "")</f>
        <v/>
      </c>
      <c r="N195" s="264" t="str" cm="1">
        <f t="array" ref="N195">IF(AND(SUMPRODUCT((IM!F2:F815=A195)*(ISNUMBER(SEARCH("STAR", IM!AC2:AC815))))&gt;0), "STAR", "")</f>
        <v/>
      </c>
      <c r="O195" s="256" t="str" cm="1">
        <f t="array" ref="O195">IFERROR(INDEX(IM!$X$2:$X$650, MATCH(1, (IM!$F$2:$F$650=A195) * (ISNUMBER(SEARCH($D$1, IM!$AC$2:$AC$650))), 0)), "")</f>
        <v/>
      </c>
      <c r="P195" s="191" t="str">
        <f>(TEXT(I195,"yyyymmdd"))&amp;$T$3&amp;A195&amp;$T$3&amp;B195&amp;$R$3</f>
        <v>-3243-北縣醒吾店(定保)</v>
      </c>
      <c r="Q195" s="140"/>
      <c r="R195" s="140"/>
      <c r="S195" s="140"/>
      <c r="T195" s="140"/>
      <c r="U195" s="258">
        <f>IF(AND(W195&lt;&gt;"", X195&lt;&gt;""), 2, IF(OR(W195&lt;&gt;"", X195&lt;&gt;""), 1, 0))</f>
        <v>2</v>
      </c>
      <c r="V195" s="246" t="str">
        <f>IF(I195="", "未到店",
   IF(M195&lt;&gt;"EDC", "異常",
      IF(OR(AND(Y195="STAR", N195="STAR"), AND(Y195&lt;&gt;"STAR", N195="")), "已完工", "異常")
   )
)</f>
        <v>未到店</v>
      </c>
      <c r="W195" s="3" t="s">
        <v>4408</v>
      </c>
      <c r="X195" s="5" t="s">
        <v>4409</v>
      </c>
      <c r="Y195" s="5" t="str">
        <f>IF(U195&gt;0,"STAR","")</f>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4086</v>
      </c>
      <c r="H196" s="186" t="str">
        <f>IF(I196&gt;0,(TEXT(I196,"yyyymmdd")&amp;$T$3&amp;A196&amp;$T$3&amp;B196&amp;$R$3),"")</f>
        <v>-3137-北縣黎明店(定保)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IF(AND(SUMPRODUCT((IM!F2:F816=A196)*(ISNUMBER(SEARCH("EDC", IM!AC2:AC816))))&gt;0), "EDC", "")</f>
        <v/>
      </c>
      <c r="N196" s="264" t="str" cm="1">
        <f t="array" ref="N196">IF(AND(SUMPRODUCT((IM!F2:F816=A196)*(ISNUMBER(SEARCH("STAR", IM!AC2:AC816))))&gt;0), "STAR", "")</f>
        <v/>
      </c>
      <c r="O196" s="256" t="str" cm="1">
        <f t="array" ref="O196">IFERROR(INDEX(IM!$X$2:$X$650, MATCH(1, (IM!$F$2:$F$650=A196) * (ISNUMBER(SEARCH($D$1, IM!$AC$2:$AC$650))), 0)), "")</f>
        <v/>
      </c>
      <c r="P196" s="191" t="str">
        <f>(TEXT(I196,"yyyymmdd"))&amp;$T$3&amp;A196&amp;$T$3&amp;B196&amp;$R$3</f>
        <v>-3137-北縣黎明店(定保)</v>
      </c>
      <c r="Q196" s="140"/>
      <c r="R196" s="140"/>
      <c r="S196" s="140"/>
      <c r="T196" s="140"/>
      <c r="U196" s="258">
        <f>IF(AND(W196&lt;&gt;"", X196&lt;&gt;""), 2, IF(OR(W196&lt;&gt;"", X196&lt;&gt;""), 1, 0))</f>
        <v>0</v>
      </c>
      <c r="V196" s="246" t="str">
        <f>IF(I196="", "未到店",
   IF(M196&lt;&gt;"EDC", "異常",
      IF(OR(AND(Y196="STAR", N196="STAR"), AND(Y196&lt;&gt;"STAR", N196="")), "已完工", "異常")
   )
)</f>
        <v>未到店</v>
      </c>
      <c r="X196" s="5"/>
      <c r="Y196" s="5" t="str">
        <f>IF(U196&gt;0,"STAR","")</f>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-4153-淡水莊園店(定保)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IF(AND(SUMPRODUCT((IM!F2:F818=A197)*(ISNUMBER(SEARCH("EDC", IM!AC2:AC818))))&gt;0), "EDC", "")</f>
        <v/>
      </c>
      <c r="N197" s="264" t="str" cm="1">
        <f t="array" ref="N197">IF(AND(SUMPRODUCT((IM!F2:F818=A197)*(ISNUMBER(SEARCH("STAR", IM!AC2:AC818))))&gt;0), "STAR", "")</f>
        <v/>
      </c>
      <c r="O197" s="256" t="str" cm="1">
        <f t="array" ref="O197">IFERROR(INDEX(IM!$X$2:$X$650, MATCH(1, (IM!$F$2:$F$650=A197) * (ISNUMBER(SEARCH($D$1, IM!$AC$2:$AC$650))), 0)), "")</f>
        <v/>
      </c>
      <c r="P197" s="191" t="str">
        <f>(TEXT(I197,"yyyymmdd"))&amp;$T$3&amp;A197&amp;$T$3&amp;B197&amp;$R$3</f>
        <v>-4153-淡水莊園店(定保)</v>
      </c>
      <c r="Q197" s="140"/>
      <c r="R197" s="140"/>
      <c r="S197" s="140"/>
      <c r="T197" s="140"/>
      <c r="U197" s="258">
        <f>IF(AND(W197&lt;&gt;"", X197&lt;&gt;""), 2, IF(OR(W197&lt;&gt;"", X197&lt;&gt;""), 1, 0))</f>
        <v>2</v>
      </c>
      <c r="V197" s="246" t="str">
        <f>IF(I197="", "未到店",
   IF(M197&lt;&gt;"EDC", "異常",
      IF(OR(AND(Y197="STAR", N197="STAR"), AND(Y197&lt;&gt;"STAR", N197="")), "已完工", "異常")
   )
)</f>
        <v>未到店</v>
      </c>
      <c r="W197" s="3" t="s">
        <v>4337</v>
      </c>
      <c r="X197" s="5" t="s">
        <v>4338</v>
      </c>
      <c r="Y197" s="5" t="str">
        <f>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IF(I198&gt;0,(TEXT(I198,"yyyymmdd")&amp;$T$3&amp;A198&amp;$T$3&amp;B198&amp;$R$3),"")</f>
        <v>-4093-淡水新市一(定保)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IF(AND(SUMPRODUCT((IM!F2:F819=A198)*(ISNUMBER(SEARCH("EDC", IM!AC2:AC819))))&gt;0), "EDC", "")</f>
        <v/>
      </c>
      <c r="N198" s="264" t="str" cm="1">
        <f t="array" ref="N198">IF(AND(SUMPRODUCT((IM!F2:F819=A198)*(ISNUMBER(SEARCH("STAR", IM!AC2:AC819))))&gt;0), "STAR", "")</f>
        <v/>
      </c>
      <c r="O198" s="256" t="str" cm="1">
        <f t="array" ref="O198">IFERROR(INDEX(IM!$X$2:$X$650, MATCH(1, (IM!$F$2:$F$650=A198) * (ISNUMBER(SEARCH($D$1, IM!$AC$2:$AC$650))), 0)), "")</f>
        <v/>
      </c>
      <c r="P198" s="191" t="str">
        <f>(TEXT(I198,"yyyymmdd"))&amp;$T$3&amp;A198&amp;$T$3&amp;B198&amp;$R$3</f>
        <v>-4093-淡水新市一(定保)</v>
      </c>
      <c r="Q198" s="140"/>
      <c r="R198" s="140"/>
      <c r="S198" s="140"/>
      <c r="T198" s="140"/>
      <c r="U198" s="258">
        <f>IF(AND(W198&lt;&gt;"", X198&lt;&gt;""), 2, IF(OR(W198&lt;&gt;"", X198&lt;&gt;""), 1, 0))</f>
        <v>1</v>
      </c>
      <c r="V198" s="246" t="str">
        <f>IF(I198="", "未到店",
   IF(M198&lt;&gt;"EDC", "異常",
      IF(OR(AND(Y198="STAR", N198="STAR"), AND(Y198&lt;&gt;"STAR", N198="")), "已完工", "異常")
   )
)</f>
        <v>未到店</v>
      </c>
      <c r="X198" s="5" t="s">
        <v>4336</v>
      </c>
      <c r="Y198" s="5" t="str">
        <f>IF(U198&gt;0,"STAR","")</f>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IF(I199&gt;0,(TEXT(I199,"yyyymmdd")&amp;$T$3&amp;A199&amp;$T$3&amp;B199&amp;$R$3),"")</f>
        <v>-4788-淡水國家店(定保)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IF(AND(SUMPRODUCT((IM!F2:F820=A199)*(ISNUMBER(SEARCH("EDC", IM!AC2:AC820))))&gt;0), "EDC", "")</f>
        <v/>
      </c>
      <c r="N199" s="264" t="str" cm="1">
        <f t="array" ref="N199">IF(AND(SUMPRODUCT((IM!F2:F820=A199)*(ISNUMBER(SEARCH("STAR", IM!AC2:AC820))))&gt;0), "STAR", "")</f>
        <v/>
      </c>
      <c r="O199" s="256" t="str" cm="1">
        <f t="array" ref="O199">IFERROR(INDEX(IM!$X$2:$X$650, MATCH(1, (IM!$F$2:$F$650=A199) * (ISNUMBER(SEARCH($D$1, IM!$AC$2:$AC$650))), 0)), "")</f>
        <v/>
      </c>
      <c r="P199" s="191" t="str">
        <f>(TEXT(I199,"yyyymmdd"))&amp;$T$3&amp;A199&amp;$T$3&amp;B199&amp;$R$3</f>
        <v>-4788-淡水國家店(定保)</v>
      </c>
      <c r="Q199" s="140"/>
      <c r="R199" s="140"/>
      <c r="S199" s="140"/>
      <c r="T199" s="140"/>
      <c r="U199" s="258">
        <f>IF(AND(W199&lt;&gt;"", X199&lt;&gt;""), 2, IF(OR(W199&lt;&gt;"", X199&lt;&gt;""), 1, 0))</f>
        <v>2</v>
      </c>
      <c r="V199" s="246" t="str">
        <f>IF(I199="", "未到店",
   IF(M199&lt;&gt;"EDC", "異常",
      IF(OR(AND(Y199="STAR", N199="STAR"), AND(Y199&lt;&gt;"STAR", N199="")), "已完工", "異常")
   )
)</f>
        <v>未到店</v>
      </c>
      <c r="W199" s="3" t="s">
        <v>4342</v>
      </c>
      <c r="X199" s="5" t="s">
        <v>4343</v>
      </c>
      <c r="Y199" s="5" t="str">
        <f>IF(U199&gt;0,"STAR","")</f>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IF(I200&gt;0,(TEXT(I200,"yyyymmdd")&amp;$T$3&amp;A200&amp;$T$3&amp;B200&amp;$R$3),"")</f>
        <v>-4298-淡水後洲店(定保)</v>
      </c>
      <c r="I200" s="190" t="s">
        <v>1746</v>
      </c>
      <c r="J200" s="188" t="str" cm="1">
        <f t="array" ref="J200">IFERROR(INDEX(IM!$X$2:$X$650, MATCH(1, (IM!$F$2:$F$650=A200) * (ISNUMBER(SEARCH($C$1, IM!$AC$2:$AC$650))), 0)), "")</f>
        <v/>
      </c>
      <c r="K200" s="159">
        <f>COUNTIFS(IM!F:F,A200,IM!AD:AD,"O",IM!X:X,"&gt;="&amp;$A$1,IM!X:X,"&lt;="&amp;$B$1)</f>
        <v>0</v>
      </c>
      <c r="L200" s="228" t="str" cm="1">
        <f t="array" ref="L200">IF(K200&gt;0,IFERROR(HYPERLINK("#'IM'!AC"&amp;MATCH(1,(IM!$F$1:$F$7700=A200)*(ISNUMBER(SEARCH("PMQ2",IM!$AC$1:$AC$7700))),0),"檢核"),"未登錄"),"")</f>
        <v/>
      </c>
      <c r="M200" s="230" t="str" cm="1">
        <f t="array" ref="M200">IF(AND(SUMPRODUCT((IM!F2:F821=A200)*(ISNUMBER(SEARCH("EDC", IM!AC2:AC821))))&gt;0), "EDC", "")</f>
        <v/>
      </c>
      <c r="N200" s="264" t="str" cm="1">
        <f t="array" ref="N200">IF(AND(SUMPRODUCT((IM!F2:F821=A200)*(ISNUMBER(SEARCH("STAR", IM!AC2:AC821))))&gt;0), "STAR", "")</f>
        <v/>
      </c>
      <c r="O200" s="256" t="str" cm="1">
        <f t="array" ref="O200">IFERROR(INDEX(IM!$X$2:$X$650, MATCH(1, (IM!$F$2:$F$650=A200) * (ISNUMBER(SEARCH($D$1, IM!$AC$2:$AC$650))), 0)), "")</f>
        <v/>
      </c>
      <c r="P200" s="191" t="str">
        <f>(TEXT(I200,"yyyymmdd"))&amp;$T$3&amp;A200&amp;$T$3&amp;B200&amp;$R$3</f>
        <v>-4298-淡水後洲店(定保)</v>
      </c>
      <c r="Q200" s="140"/>
      <c r="R200" s="140"/>
      <c r="S200" s="140"/>
      <c r="T200" s="140"/>
      <c r="U200" s="258">
        <f>IF(AND(W200&lt;&gt;"", X200&lt;&gt;""), 2, IF(OR(W200&lt;&gt;"", X200&lt;&gt;""), 1, 0))</f>
        <v>2</v>
      </c>
      <c r="V200" s="246" t="str">
        <f>IF(I200="", "未到店",
   IF(M200&lt;&gt;"EDC", "異常",
      IF(OR(AND(Y200="STAR", N200="STAR"), AND(Y200&lt;&gt;"STAR", N200="")), "已完工", "異常")
   )
)</f>
        <v>未到店</v>
      </c>
      <c r="W200" s="3" t="s">
        <v>4344</v>
      </c>
      <c r="X200" s="5" t="s">
        <v>4345</v>
      </c>
      <c r="Y200" s="5" t="str">
        <f>IF(U200&gt;0,"STAR","")</f>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1746</v>
      </c>
      <c r="H201" s="186" t="str">
        <f>IF(I201&gt;0,(TEXT(I201,"yyyymmdd")&amp;$T$3&amp;A201&amp;$T$3&amp;B201&amp;$R$3),"")</f>
        <v>-4541-淡水海天店(定保)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IF(AND(SUMPRODUCT((IM!F2:F822=A201)*(ISNUMBER(SEARCH("EDC", IM!AC2:AC822))))&gt;0), "EDC", "")</f>
        <v/>
      </c>
      <c r="N201" s="264" t="str" cm="1">
        <f t="array" ref="N201">IF(AND(SUMPRODUCT((IM!F2:F822=A201)*(ISNUMBER(SEARCH("STAR", IM!AC2:AC822))))&gt;0), "STAR", "")</f>
        <v/>
      </c>
      <c r="O201" s="256" t="str" cm="1">
        <f t="array" ref="O201">IFERROR(INDEX(IM!$X$2:$X$650, MATCH(1, (IM!$F$2:$F$650=A201) * (ISNUMBER(SEARCH($D$1, IM!$AC$2:$AC$650))), 0)), "")</f>
        <v/>
      </c>
      <c r="P201" s="191" t="str">
        <f>(TEXT(I201,"yyyymmdd"))&amp;$T$3&amp;A201&amp;$T$3&amp;B201&amp;$R$3</f>
        <v>-4541-淡水海天店(定保)</v>
      </c>
      <c r="Q201" s="140"/>
      <c r="R201" s="140"/>
      <c r="S201" s="140"/>
      <c r="T201" s="140"/>
      <c r="U201" s="258">
        <f>IF(AND(W201&lt;&gt;"", X201&lt;&gt;""), 2, IF(OR(W201&lt;&gt;"", X201&lt;&gt;""), 1, 0))</f>
        <v>0</v>
      </c>
      <c r="V201" s="246" t="str">
        <f>IF(I201="", "未到店",
   IF(M201&lt;&gt;"EDC", "異常",
      IF(OR(AND(Y201="STAR", N201="STAR"), AND(Y201&lt;&gt;"STAR", N201="")), "已完工", "異常")
   )
)</f>
        <v>未到店</v>
      </c>
      <c r="X201" s="5"/>
      <c r="Y201" s="5" t="str">
        <f>IF(U201&gt;0,"STAR","")</f>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1746</v>
      </c>
      <c r="H202" s="186" t="str">
        <f>IF(I202&gt;0,(TEXT(I202,"yyyymmdd")&amp;$T$3&amp;A202&amp;$T$3&amp;B202&amp;$R$3),"")</f>
        <v>-4802-淡水沙崙店(定保)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IF(AND(SUMPRODUCT((IM!F2:F823=A202)*(ISNUMBER(SEARCH("EDC", IM!AC2:AC823))))&gt;0), "EDC", "")</f>
        <v/>
      </c>
      <c r="N202" s="264" t="str" cm="1">
        <f t="array" ref="N202">IF(AND(SUMPRODUCT((IM!F2:F823=A202)*(ISNUMBER(SEARCH("STAR", IM!AC2:AC823))))&gt;0), "STAR", "")</f>
        <v/>
      </c>
      <c r="O202" s="256" t="str" cm="1">
        <f t="array" ref="O202">IFERROR(INDEX(IM!$X$2:$X$650, MATCH(1, (IM!$F$2:$F$650=A202) * (ISNUMBER(SEARCH($D$1, IM!$AC$2:$AC$650))), 0)), "")</f>
        <v/>
      </c>
      <c r="P202" s="191" t="str">
        <f>(TEXT(I202,"yyyymmdd"))&amp;$T$3&amp;A202&amp;$T$3&amp;B202&amp;$R$3</f>
        <v>-4802-淡水沙崙店(定保)</v>
      </c>
      <c r="Q202" s="140"/>
      <c r="R202" s="140"/>
      <c r="S202" s="140"/>
      <c r="T202" s="140"/>
      <c r="U202" s="258">
        <f>IF(AND(W202&lt;&gt;"", X202&lt;&gt;""), 2, IF(OR(W202&lt;&gt;"", X202&lt;&gt;""), 1, 0))</f>
        <v>0</v>
      </c>
      <c r="V202" s="246" t="str">
        <f>IF(I202="", "未到店",
   IF(M202&lt;&gt;"EDC", "異常",
      IF(OR(AND(Y202="STAR", N202="STAR"), AND(Y202&lt;&gt;"STAR", N202="")), "已完工", "異常")
   )
)</f>
        <v>未到店</v>
      </c>
      <c r="X202" s="5"/>
      <c r="Y202" s="5" t="str">
        <f>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IF(I203&gt;0,(TEXT(I203,"yyyymmdd")&amp;$T$3&amp;A203&amp;$T$3&amp;B203&amp;$R$3),"")</f>
        <v>-5057-新莊中港店(定保)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IF(AND(SUMPRODUCT((IM!F2:F826=A203)*(ISNUMBER(SEARCH("EDC", IM!AC2:AC826))))&gt;0), "EDC", "")</f>
        <v/>
      </c>
      <c r="N203" s="264" t="str" cm="1">
        <f t="array" ref="N203">IF(AND(SUMPRODUCT((IM!F2:F826=A203)*(ISNUMBER(SEARCH("STAR", IM!AC2:AC826))))&gt;0), "STAR", "")</f>
        <v/>
      </c>
      <c r="O203" s="256" t="str" cm="1">
        <f t="array" ref="O203">IFERROR(INDEX(IM!$X$2:$X$650, MATCH(1, (IM!$F$2:$F$650=A203) * (ISNUMBER(SEARCH($D$1, IM!$AC$2:$AC$650))), 0)), "")</f>
        <v/>
      </c>
      <c r="P203" s="191" t="str">
        <f>(TEXT(I203,"yyyymmdd"))&amp;$T$3&amp;A203&amp;$T$3&amp;B203&amp;$R$3</f>
        <v>-5057-新莊中港店(定保)</v>
      </c>
      <c r="Q203" s="140"/>
      <c r="R203" s="140"/>
      <c r="S203" s="140"/>
      <c r="T203" s="140"/>
      <c r="U203" s="258">
        <f>IF(AND(W203&lt;&gt;"", X203&lt;&gt;""), 2, IF(OR(W203&lt;&gt;"", X203&lt;&gt;""), 1, 0))</f>
        <v>2</v>
      </c>
      <c r="V203" s="246" t="str">
        <f>IF(I203="", "未到店",
   IF(M203&lt;&gt;"EDC", "異常",
      IF(OR(AND(Y203="STAR", N203="STAR"), AND(Y203&lt;&gt;"STAR", N203="")), "已完工", "異常")
   )
)</f>
        <v>未到店</v>
      </c>
      <c r="W203" s="3" t="s">
        <v>4418</v>
      </c>
      <c r="X203" s="5" t="s">
        <v>4419</v>
      </c>
      <c r="Y203" s="5" t="str">
        <f>IF(U203&gt;0,"STAR","")</f>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-2224-板橋莒光店(定保)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IF(AND(SUMPRODUCT((IM!F2:F829=A204)*(ISNUMBER(SEARCH("EDC", IM!AC2:AC829))))&gt;0), "EDC", "")</f>
        <v/>
      </c>
      <c r="N204" s="264" t="str" cm="1">
        <f t="array" ref="N204">IF(AND(SUMPRODUCT((IM!F2:F829=A204)*(ISNUMBER(SEARCH("STAR", IM!AC2:AC829))))&gt;0), "STAR", "")</f>
        <v/>
      </c>
      <c r="O204" s="256" t="str" cm="1">
        <f t="array" ref="O204">IFERROR(INDEX(IM!$X$2:$X$650, MATCH(1, (IM!$F$2:$F$650=A204) * (ISNUMBER(SEARCH($D$1, IM!$AC$2:$AC$650))), 0)), "")</f>
        <v/>
      </c>
      <c r="P204" s="191" t="str">
        <f>(TEXT(I204,"yyyymmdd"))&amp;$T$3&amp;A204&amp;$T$3&amp;B204&amp;$R$3</f>
        <v>-2224-板橋莒光店(定保)</v>
      </c>
      <c r="Q204" s="140"/>
      <c r="R204" s="140"/>
      <c r="S204" s="140"/>
      <c r="T204" s="140"/>
      <c r="U204" s="258">
        <f>IF(AND(W204&lt;&gt;"", X204&lt;&gt;""), 2, IF(OR(W204&lt;&gt;"", X204&lt;&gt;""), 1, 0))</f>
        <v>2</v>
      </c>
      <c r="V204" s="246" t="str">
        <f>IF(I204="", "未到店",
   IF(M204&lt;&gt;"EDC", "異常",
      IF(OR(AND(Y204="STAR", N204="STAR"), AND(Y204&lt;&gt;"STAR", N204="")), "已完工", "異常")
   )
)</f>
        <v>未到店</v>
      </c>
      <c r="W204" s="3" t="s">
        <v>4378</v>
      </c>
      <c r="X204" s="5" t="s">
        <v>4379</v>
      </c>
      <c r="Y204" s="5" t="str">
        <f>IF(U204&gt;0,"STAR","")</f>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IF(I205&gt;0,(TEXT(I205,"yyyymmdd")&amp;$T$3&amp;A205&amp;$T$3&amp;B205&amp;$R$3),"")</f>
        <v>-D161-北縣僑中三店(定保)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IF(AND(SUMPRODUCT((IM!F2:F831=A205)*(ISNUMBER(SEARCH("EDC", IM!AC2:AC831))))&gt;0), "EDC", "")</f>
        <v/>
      </c>
      <c r="N205" s="264" t="str" cm="1">
        <f t="array" ref="N205">IF(AND(SUMPRODUCT((IM!F2:F831=A205)*(ISNUMBER(SEARCH("STAR", IM!AC2:AC831))))&gt;0), "STAR", "")</f>
        <v/>
      </c>
      <c r="O205" s="256" t="str" cm="1">
        <f t="array" ref="O205">IFERROR(INDEX(IM!$X$2:$X$650, MATCH(1, (IM!$F$2:$F$650=A205) * (ISNUMBER(SEARCH($D$1, IM!$AC$2:$AC$650))), 0)), "")</f>
        <v/>
      </c>
      <c r="P205" s="191" t="str">
        <f>(TEXT(I205,"yyyymmdd"))&amp;$T$3&amp;A205&amp;$T$3&amp;B205&amp;$R$3</f>
        <v>-D161-北縣僑中三店(定保)</v>
      </c>
      <c r="Q205" s="140"/>
      <c r="R205" s="140"/>
      <c r="S205" s="140"/>
      <c r="T205" s="140"/>
      <c r="U205" s="258">
        <f>IF(AND(W205&lt;&gt;"", X205&lt;&gt;""), 2, IF(OR(W205&lt;&gt;"", X205&lt;&gt;""), 1, 0))</f>
        <v>2</v>
      </c>
      <c r="V205" s="246" t="str">
        <f>IF(I205="", "未到店",
   IF(M205&lt;&gt;"EDC", "異常",
      IF(OR(AND(Y205="STAR", N205="STAR"), AND(Y205&lt;&gt;"STAR", N205="")), "已完工", "異常")
   )
)</f>
        <v>未到店</v>
      </c>
      <c r="W205" s="3" t="s">
        <v>4366</v>
      </c>
      <c r="X205" s="5" t="s">
        <v>4367</v>
      </c>
      <c r="Y205" s="5" t="str">
        <f>IF(U205&gt;0,"STAR","")</f>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-4145-板橋僑興店(定保)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IF(AND(SUMPRODUCT((IM!F2:F832=A206)*(ISNUMBER(SEARCH("EDC", IM!AC2:AC832))))&gt;0), "EDC", "")</f>
        <v/>
      </c>
      <c r="N206" s="264" t="str" cm="1">
        <f t="array" ref="N206">IF(AND(SUMPRODUCT((IM!F2:F832=A206)*(ISNUMBER(SEARCH("STAR", IM!AC2:AC832))))&gt;0), "STAR", "")</f>
        <v/>
      </c>
      <c r="O206" s="256" t="str" cm="1">
        <f t="array" ref="O206">IFERROR(INDEX(IM!$X$2:$X$650, MATCH(1, (IM!$F$2:$F$650=A206) * (ISNUMBER(SEARCH($D$1, IM!$AC$2:$AC$650))), 0)), "")</f>
        <v/>
      </c>
      <c r="P206" s="191" t="str">
        <f>(TEXT(I206,"yyyymmdd"))&amp;$T$3&amp;A206&amp;$T$3&amp;B206&amp;$R$3</f>
        <v>-4145-板橋僑興店(定保)</v>
      </c>
      <c r="Q206" s="140"/>
      <c r="R206" s="140"/>
      <c r="S206" s="140"/>
      <c r="T206" s="140"/>
      <c r="U206" s="258">
        <f>IF(AND(W206&lt;&gt;"", X206&lt;&gt;""), 2, IF(OR(W206&lt;&gt;"", X206&lt;&gt;""), 1, 0))</f>
        <v>2</v>
      </c>
      <c r="V206" s="246" t="str">
        <f>IF(I206="", "未到店",
   IF(M206&lt;&gt;"EDC", "異常",
      IF(OR(AND(Y206="STAR", N206="STAR"), AND(Y206&lt;&gt;"STAR", N206="")), "已完工", "異常")
   )
)</f>
        <v>未到店</v>
      </c>
      <c r="W206" s="3" t="s">
        <v>4384</v>
      </c>
      <c r="X206" s="5" t="s">
        <v>4385</v>
      </c>
      <c r="Y206" s="5" t="str">
        <f>IF(U206&gt;0,"STAR","")</f>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-4341-新莊莊美店(定保)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IF(AND(SUMPRODUCT((IM!F2:F835=A207)*(ISNUMBER(SEARCH("EDC", IM!AC2:AC835))))&gt;0), "EDC", "")</f>
        <v/>
      </c>
      <c r="N207" s="264" t="str" cm="1">
        <f t="array" ref="N207">IF(AND(SUMPRODUCT((IM!F2:F835=A207)*(ISNUMBER(SEARCH("STAR", IM!AC2:AC835))))&gt;0), "STAR", "")</f>
        <v/>
      </c>
      <c r="O207" s="256" t="str" cm="1">
        <f t="array" ref="O207">IFERROR(INDEX(IM!$X$2:$X$650, MATCH(1, (IM!$F$2:$F$650=A207) * (ISNUMBER(SEARCH($D$1, IM!$AC$2:$AC$650))), 0)), "")</f>
        <v/>
      </c>
      <c r="P207" s="191" t="str">
        <f>(TEXT(I207,"yyyymmdd"))&amp;$T$3&amp;A207&amp;$T$3&amp;B207&amp;$R$3</f>
        <v>-4341-新莊莊美店(定保)</v>
      </c>
      <c r="Q207" s="140"/>
      <c r="R207" s="140"/>
      <c r="S207" s="140"/>
      <c r="T207" s="140"/>
      <c r="U207" s="258">
        <f>IF(AND(W207&lt;&gt;"", X207&lt;&gt;""), 2, IF(OR(W207&lt;&gt;"", X207&lt;&gt;""), 1, 0))</f>
        <v>2</v>
      </c>
      <c r="V207" s="246" t="str">
        <f>IF(I207="", "未到店",
   IF(M207&lt;&gt;"EDC", "異常",
      IF(OR(AND(Y207="STAR", N207="STAR"), AND(Y207&lt;&gt;"STAR", N207="")), "已完工", "異常")
   )
)</f>
        <v>未到店</v>
      </c>
      <c r="W207" s="3" t="s">
        <v>4411</v>
      </c>
      <c r="X207" s="5" t="s">
        <v>4412</v>
      </c>
      <c r="Y207" s="5" t="str">
        <f>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1746</v>
      </c>
      <c r="H208" s="186" t="str">
        <f>IF(I208&gt;0,(TEXT(I208,"yyyymmdd")&amp;$T$3&amp;A208&amp;$T$3&amp;B208&amp;$R$3),"")</f>
        <v>-D609-板橋大興店(定保)</v>
      </c>
      <c r="I208" s="190" t="s">
        <v>1746</v>
      </c>
      <c r="J208" s="188" t="str" cm="1">
        <f t="array" ref="J208">IFERROR(INDEX(IM!$X$2:$X$650, MATCH(1, (IM!$F$2:$F$650=A208) * (ISNUMBER(SEARCH($C$1, IM!$AC$2:$AC$650))), 0)), "")</f>
        <v/>
      </c>
      <c r="K208" s="159">
        <f>COUNTIFS(IM!F:F,A208,IM!AD:AD,"O",IM!X:X,"&gt;="&amp;$A$1,IM!X:X,"&lt;="&amp;$B$1)</f>
        <v>0</v>
      </c>
      <c r="L208" s="228" t="str" cm="1">
        <f t="array" ref="L208">IF(K208&gt;0,IFERROR(HYPERLINK("#'IM'!AC"&amp;MATCH(1,(IM!$F$1:$F$7700=A208)*(ISNUMBER(SEARCH("PMQ2",IM!$AC$1:$AC$7700))),0),"檢核"),"未登錄"),"")</f>
        <v/>
      </c>
      <c r="M208" s="230" t="str" cm="1">
        <f t="array" ref="M208">IF(AND(SUMPRODUCT((IM!F2:F836=A208)*(ISNUMBER(SEARCH("EDC", IM!AC2:AC836))))&gt;0), "EDC", "")</f>
        <v/>
      </c>
      <c r="N208" s="264" t="str" cm="1">
        <f t="array" ref="N208">IF(AND(SUMPRODUCT((IM!F2:F836=A208)*(ISNUMBER(SEARCH("STAR", IM!AC2:AC836))))&gt;0), "STAR", "")</f>
        <v/>
      </c>
      <c r="O208" s="256" t="str" cm="1">
        <f t="array" ref="O208">IFERROR(INDEX(IM!$X$2:$X$650, MATCH(1, (IM!$F$2:$F$650=A208) * (ISNUMBER(SEARCH($D$1, IM!$AC$2:$AC$650))), 0)), "")</f>
        <v/>
      </c>
      <c r="P208" s="191" t="str">
        <f>(TEXT(I208,"yyyymmdd"))&amp;$T$3&amp;A208&amp;$T$3&amp;B208&amp;$R$3</f>
        <v>-D609-板橋大興店(定保)</v>
      </c>
      <c r="Q208" s="140"/>
      <c r="R208" s="140"/>
      <c r="S208" s="140"/>
      <c r="T208" s="140"/>
      <c r="U208" s="258">
        <f>IF(AND(W208&lt;&gt;"", X208&lt;&gt;""), 2, IF(OR(W208&lt;&gt;"", X208&lt;&gt;""), 1, 0))</f>
        <v>2</v>
      </c>
      <c r="V208" s="246" t="str">
        <f>IF(I208="", "未到店",
   IF(M208&lt;&gt;"EDC", "異常",
      IF(OR(AND(Y208="STAR", N208="STAR"), AND(Y208&lt;&gt;"STAR", N208="")), "已完工", "異常")
   )
)</f>
        <v>未到店</v>
      </c>
      <c r="W208" s="3" t="s">
        <v>4386</v>
      </c>
      <c r="X208" s="5" t="s">
        <v>4387</v>
      </c>
      <c r="Y208" s="5" t="str">
        <f>IF(U208&gt;0,"STAR","")</f>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IF(I209&gt;0,(TEXT(I209,"yyyymmdd")&amp;$T$3&amp;A209&amp;$T$3&amp;B209&amp;$R$3),"")</f>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(TEXT(I209,"yyyymmdd"))&amp;$T$3&amp;A209&amp;$T$3&amp;B209&amp;$R$3</f>
        <v>-4552-新莊福慧店(定保)</v>
      </c>
      <c r="Q209" s="140"/>
      <c r="R209" s="140"/>
      <c r="S209" s="140"/>
      <c r="T209" s="140"/>
      <c r="U209" s="258">
        <f>IF(AND(W209&lt;&gt;"", X209&lt;&gt;""), 2, IF(OR(W209&lt;&gt;"", X209&lt;&gt;""), 1, 0))</f>
        <v>1</v>
      </c>
      <c r="V209" s="246" t="str">
        <f>IF(I209="", "未到店",
   IF(M209&lt;&gt;"EDC", "異常",
      IF(OR(AND(Y209="STAR", N209="STAR"), AND(Y209&lt;&gt;"STAR", N209="")), "已完工", "異常")
   )
)</f>
        <v>未到店</v>
      </c>
      <c r="W209" s="3" t="s">
        <v>4410</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IF(I210&gt;0,(TEXT(I210,"yyyymmdd")&amp;$T$3&amp;A210&amp;$T$3&amp;B210&amp;$R$3),"")</f>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(TEXT(I210,"yyyymmdd"))&amp;$T$3&amp;A210&amp;$T$3&amp;B210&amp;$R$3</f>
        <v>-3955-板橋海龍店(定保)</v>
      </c>
      <c r="Q210" s="140"/>
      <c r="R210" s="140"/>
      <c r="S210" s="140"/>
      <c r="T210" s="140"/>
      <c r="U210" s="258">
        <f>IF(AND(W210&lt;&gt;"", X210&lt;&gt;""), 2, IF(OR(W210&lt;&gt;"", X210&lt;&gt;""), 1, 0))</f>
        <v>2</v>
      </c>
      <c r="V210" s="246" t="str">
        <f>IF(I210="", "未到店",
   IF(M210&lt;&gt;"EDC", "異常",
      IF(OR(AND(Y210="STAR", N210="STAR"), AND(Y210&lt;&gt;"STAR", N210="")), "已完工", "異常")
   )
)</f>
        <v>未到店</v>
      </c>
      <c r="W210" s="3" t="s">
        <v>4363</v>
      </c>
      <c r="X210" s="5" t="s">
        <v>4364</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IF(I211&gt;0,(TEXT(I211,"yyyymmdd")&amp;$T$3&amp;A211&amp;$T$3&amp;B211&amp;$R$3),"")</f>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(TEXT(I211,"yyyymmdd"))&amp;$T$3&amp;A211&amp;$T$3&amp;B211&amp;$R$3</f>
        <v>-L516-車麗屋新莊店(定保)</v>
      </c>
      <c r="Q211" s="251"/>
      <c r="R211" s="251"/>
      <c r="S211" s="251"/>
      <c r="T211" s="251"/>
      <c r="U211" s="258">
        <f>IF(AND(W211&lt;&gt;"", X211&lt;&gt;""), 2, IF(OR(W211&lt;&gt;"", X211&lt;&gt;""), 1, 0))</f>
        <v>0</v>
      </c>
      <c r="V211" s="246"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(TEXT(I212,"yyyymmdd"))&amp;$T$3&amp;A212&amp;$T$3&amp;B212&amp;$R$3</f>
        <v>-4679-新莊幸運店(定保)</v>
      </c>
      <c r="Q212" s="140"/>
      <c r="R212" s="140"/>
      <c r="S212" s="140"/>
      <c r="T212" s="140"/>
      <c r="U212" s="258">
        <f>IF(AND(W212&lt;&gt;"", X212&lt;&gt;""), 2, IF(OR(W212&lt;&gt;"", X212&lt;&gt;""), 1, 0))</f>
        <v>0</v>
      </c>
      <c r="V212" s="246"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IF(I213&gt;0,(TEXT(I213,"yyyymmdd")&amp;$T$3&amp;A213&amp;$T$3&amp;B213&amp;$R$3),"")</f>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(TEXT(I213,"yyyymmdd"))&amp;$T$3&amp;A213&amp;$T$3&amp;B213&amp;$R$3</f>
        <v>-4228-新莊頭前公園(定保)</v>
      </c>
      <c r="Q213" s="267"/>
      <c r="R213" s="267"/>
      <c r="S213" s="267"/>
      <c r="T213" s="267"/>
      <c r="U213" s="258">
        <f>IF(AND(W213&lt;&gt;"", X213&lt;&gt;""), 2, IF(OR(W213&lt;&gt;"", X213&lt;&gt;""), 1, 0))</f>
        <v>2</v>
      </c>
      <c r="V213" s="246" t="str">
        <f>IF(I213="", "未到店",
   IF(M213&lt;&gt;"EDC", "異常",
      IF(OR(AND(Y213="STAR", N213="STAR"), AND(Y213&lt;&gt;"STAR", N213="")), "已完工", "異常")
   )
)</f>
        <v>未到店</v>
      </c>
      <c r="W213" s="3" t="s">
        <v>4424</v>
      </c>
      <c r="X213" s="5" t="s">
        <v>4425</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(TEXT(I214,"yyyymmdd"))&amp;$T$3&amp;A214&amp;$T$3&amp;B214&amp;$R$3</f>
        <v>-3962-板橋仁化店(定保)</v>
      </c>
      <c r="Q214" s="140"/>
      <c r="R214" s="140"/>
      <c r="S214" s="140"/>
      <c r="T214" s="140"/>
      <c r="U214" s="258">
        <f>IF(AND(W214&lt;&gt;"", X214&lt;&gt;""), 2, IF(OR(W214&lt;&gt;"", X214&lt;&gt;""), 1, 0))</f>
        <v>2</v>
      </c>
      <c r="V214" s="246" t="str">
        <f>IF(I214="", "未到店",
   IF(M214&lt;&gt;"EDC", "異常",
      IF(OR(AND(Y214="STAR", N214="STAR"), AND(Y214&lt;&gt;"STAR", N214="")), "已完工", "異常")
   )
)</f>
        <v>未到店</v>
      </c>
      <c r="W214" s="3" t="s">
        <v>4359</v>
      </c>
      <c r="X214" s="5" t="s">
        <v>4360</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(TEXT(I215,"yyyymmdd"))&amp;$T$3&amp;A215&amp;$T$3&amp;B215&amp;$R$3</f>
        <v>-3399-板橋藝文中心(定保)</v>
      </c>
      <c r="Q215" s="140"/>
      <c r="R215" s="140"/>
      <c r="S215" s="140"/>
      <c r="T215" s="140"/>
      <c r="U215" s="258">
        <f>IF(AND(W215&lt;&gt;"", X215&lt;&gt;""), 2, IF(OR(W215&lt;&gt;"", X215&lt;&gt;""), 1, 0))</f>
        <v>2</v>
      </c>
      <c r="V215" s="246" t="str">
        <f>IF(I215="", "未到店",
   IF(M215&lt;&gt;"EDC", "異常",
      IF(OR(AND(Y215="STAR", N215="STAR"), AND(Y215&lt;&gt;"STAR", N215="")), "已完工", "異常")
   )
)</f>
        <v>未到店</v>
      </c>
      <c r="W215" s="3" t="s">
        <v>4376</v>
      </c>
      <c r="X215" s="5" t="s">
        <v>4377</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(TEXT(I216,"yyyymmdd"))&amp;$T$3&amp;A216&amp;$T$3&amp;B216&amp;$R$3</f>
        <v>-3551-北縣板豐店(定保)</v>
      </c>
      <c r="Q216" s="140"/>
      <c r="R216" s="140"/>
      <c r="S216" s="140"/>
      <c r="T216" s="140"/>
      <c r="U216" s="258">
        <f>IF(AND(W216&lt;&gt;"", X216&lt;&gt;""), 2, IF(OR(W216&lt;&gt;"", X216&lt;&gt;""), 1, 0))</f>
        <v>2</v>
      </c>
      <c r="V216" s="246"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(TEXT(I217,"yyyymmdd"))&amp;$T$3&amp;A217&amp;$T$3&amp;B217&amp;$R$3</f>
        <v>-D111-北縣府中店(定保)</v>
      </c>
      <c r="Q217" s="140"/>
      <c r="R217" s="140"/>
      <c r="S217" s="140"/>
      <c r="T217" s="140"/>
      <c r="U217" s="258">
        <f>IF(AND(W217&lt;&gt;"", X217&lt;&gt;""), 2, IF(OR(W217&lt;&gt;"", X217&lt;&gt;""), 1, 0))</f>
        <v>2</v>
      </c>
      <c r="V217" s="246"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(TEXT(I218,"yyyymmdd"))&amp;$T$3&amp;A218&amp;$T$3&amp;B218&amp;$R$3</f>
        <v>-D349-板橋成都店(定保)</v>
      </c>
      <c r="Q218" s="140"/>
      <c r="R218" s="140"/>
      <c r="S218" s="140"/>
      <c r="T218" s="140"/>
      <c r="U218" s="258">
        <f>IF(AND(W218&lt;&gt;"", X218&lt;&gt;""), 2, IF(OR(W218&lt;&gt;"", X218&lt;&gt;""), 1, 0))</f>
        <v>0</v>
      </c>
      <c r="V218" s="246"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(TEXT(I219,"yyyymmdd"))&amp;$T$3&amp;A219&amp;$T$3&amp;B219&amp;$R$3</f>
        <v>-3416-板橋國慶店(定保)</v>
      </c>
      <c r="Q219" s="140"/>
      <c r="R219" s="140"/>
      <c r="S219" s="140"/>
      <c r="T219" s="140"/>
      <c r="U219" s="258">
        <f>IF(AND(W219&lt;&gt;"", X219&lt;&gt;""), 2, IF(OR(W219&lt;&gt;"", X219&lt;&gt;""), 1, 0))</f>
        <v>2</v>
      </c>
      <c r="V219" s="246"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(TEXT(I220,"yyyymmdd"))&amp;$T$3&amp;A220&amp;$T$3&amp;B220&amp;$R$3</f>
        <v>-L501-車麗屋板橋店(定保)</v>
      </c>
      <c r="Q220" s="140"/>
      <c r="R220" s="140"/>
      <c r="S220" s="140"/>
      <c r="T220" s="140"/>
      <c r="U220" s="258">
        <f>IF(AND(W220&lt;&gt;"", X220&lt;&gt;""), 2, IF(OR(W220&lt;&gt;"", X220&lt;&gt;""), 1, 0))</f>
        <v>0</v>
      </c>
      <c r="V220" s="246"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(TEXT(I221,"yyyymmdd"))&amp;$T$3&amp;A221&amp;$T$3&amp;B221&amp;$R$3</f>
        <v>-4422-板橋合安店(定保)</v>
      </c>
      <c r="Q221" s="140"/>
      <c r="R221" s="140"/>
      <c r="S221" s="140"/>
      <c r="T221" s="140"/>
      <c r="U221" s="258">
        <f>IF(AND(W221&lt;&gt;"", X221&lt;&gt;""), 2, IF(OR(W221&lt;&gt;"", X221&lt;&gt;""), 1, 0))</f>
        <v>0</v>
      </c>
      <c r="V221" s="246" t="str">
        <f>IF(I221="", "未到店",
   IF(M221&lt;&gt;"EDC", "異常",
      IF(OR(AND(Y221="STAR", N221="STAR"), AND(Y221&lt;&gt;"STAR", N221="")), "已完工", "異常")
   )
)</f>
        <v>未到店</v>
      </c>
      <c r="X221" s="5"/>
      <c r="Y221" s="5" t="str">
        <f>IF(U221&gt;0,"STAR","")</f>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(TEXT(I222,"yyyymmdd"))&amp;$T$3&amp;A222&amp;$T$3&amp;B222&amp;$R$3</f>
        <v>-2535-五股五工店(定保)</v>
      </c>
      <c r="Q222" s="252"/>
      <c r="R222" s="252"/>
      <c r="S222" s="252"/>
      <c r="T222" s="252"/>
      <c r="U222" s="258">
        <f>IF(AND(W222&lt;&gt;"", X222&lt;&gt;""), 2, IF(OR(W222&lt;&gt;"", X222&lt;&gt;""), 1, 0))</f>
        <v>1</v>
      </c>
      <c r="V222" s="246" t="str">
        <f>IF(I222="", "未到店",
   IF(M222&lt;&gt;"EDC", "異常",
      IF(OR(AND(Y222="STAR", N222="STAR"), AND(Y222&lt;&gt;"STAR", N222="")), "已完工", "異常")
   )
)</f>
        <v>未到店</v>
      </c>
      <c r="W222" s="3" t="s">
        <v>4398</v>
      </c>
      <c r="Y222" s="5" t="str">
        <f>IF(U222&gt;0,"STAR","")</f>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(TEXT(I223,"yyyymmdd"))&amp;$T$3&amp;A223&amp;$T$3&amp;B223&amp;$R$3</f>
        <v>-TT01-五股訓練教室(定保)</v>
      </c>
      <c r="Q223" s="252"/>
      <c r="R223" s="252"/>
      <c r="S223" s="252"/>
      <c r="T223" s="252"/>
      <c r="U223" s="258">
        <f>IF(AND(W223&lt;&gt;"", X223&lt;&gt;""), 2, IF(OR(W223&lt;&gt;"", X223&lt;&gt;""), 1, 0))</f>
        <v>1</v>
      </c>
      <c r="V223" s="246" t="str">
        <f>IF(I223="", "未到店",
   IF(M223&lt;&gt;"EDC", "異常",
      IF(OR(AND(Y223="STAR", N223="STAR"), AND(Y223&lt;&gt;"STAR", N223="")), "已完工", "異常")
   )
)</f>
        <v>未到店</v>
      </c>
      <c r="W223" s="3" t="s">
        <v>4399</v>
      </c>
      <c r="Y223" s="5" t="str">
        <f>IF(U223&gt;0,"STAR","")</f>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IF(I224&gt;0,(TEXT(I224,"yyyymmdd")&amp;$T$3&amp;A224&amp;$T$3&amp;B224&amp;$R$3),"")</f>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(TEXT(I224,"yyyymmdd"))&amp;$T$3&amp;A224&amp;$T$3&amp;B224&amp;$R$3</f>
        <v>-5291-新莊國家置地(定保)</v>
      </c>
      <c r="Q224" s="308"/>
      <c r="R224" s="308"/>
      <c r="S224" s="308"/>
      <c r="T224" s="308"/>
      <c r="U224" s="258">
        <f>IF(AND(W224&lt;&gt;"", X224&lt;&gt;""), 2, IF(OR(W224&lt;&gt;"", X224&lt;&gt;""), 1, 0))</f>
        <v>0</v>
      </c>
      <c r="V224" s="246" t="str">
        <f>IF(I224="", "未到店",
   IF(M224&lt;&gt;"EDC", "異常",
      IF(OR(AND(Y224="STAR", N224="STAR"), AND(Y224&lt;&gt;"STAR", N224="")), "已完工", "異常")
   )
)</f>
        <v>未到店</v>
      </c>
      <c r="W224" s="260"/>
      <c r="Y224" s="261" t="str">
        <f>IF(U224&gt;0,"STAR","")</f>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IF(I225&gt;0,(TEXT(I225,"yyyymmdd")&amp;$T$3&amp;A225&amp;$T$3&amp;B225&amp;$R$3),"")</f>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(TEXT(I225,"yyyymmdd"))&amp;$T$3&amp;A225&amp;$T$3&amp;B225&amp;$R$3</f>
        <v>-5341-蘆洲切仔麵(定保)</v>
      </c>
      <c r="Q225" s="252"/>
      <c r="R225" s="252"/>
      <c r="S225" s="252"/>
      <c r="T225" s="252"/>
      <c r="U225" s="264">
        <f>IF(AND(W225&lt;&gt;"", X225&lt;&gt;""), 2, IF(OR(W225&lt;&gt;"", X225&lt;&gt;""), 1, 0))</f>
        <v>0</v>
      </c>
      <c r="V225" s="246" t="str">
        <f>IF(I225="", "未到店",
   IF(M225&lt;&gt;"EDC", "異常",
      IF(OR(AND(Y225="STAR", N225="STAR"), AND(Y225&lt;&gt;"STAR", N225="")), "已完工", "異常")
   )
)</f>
        <v>未到店</v>
      </c>
      <c r="W225" s="260"/>
      <c r="Y225" s="261" t="str">
        <f>IF(U225&gt;0,"STAR","")</f>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IF(I226&gt;0,(TEXT(I226,"yyyymmdd")&amp;$T$3&amp;A226&amp;$T$3&amp;B226&amp;$R$3),"")</f>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(TEXT(I226,"yyyymmdd"))&amp;$T$3&amp;A226&amp;$T$3&amp;B226&amp;$R$3</f>
        <v>-5352-三重重陽店(定保)</v>
      </c>
      <c r="Q226" s="309"/>
      <c r="R226" s="309"/>
      <c r="S226" s="309"/>
      <c r="T226" s="309"/>
      <c r="U226" s="265">
        <f>IF(AND(W226&lt;&gt;"", X226&lt;&gt;""), 2, IF(OR(W226&lt;&gt;"", X226&lt;&gt;""), 1, 0))</f>
        <v>0</v>
      </c>
      <c r="V226" s="354" t="str">
        <f>IF(I226="", "未到店",
   IF(M226&lt;&gt;"EDC", "異常",
      IF(OR(AND(Y226="STAR", N226="STAR"), AND(Y226&lt;&gt;"STAR", N226="")), "已完工", "異常")
   )
)</f>
        <v>未到店</v>
      </c>
      <c r="W226" s="260"/>
      <c r="Y226" s="261"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117</xdr:row>
                    <xdr:rowOff>167640</xdr:rowOff>
                  </from>
                  <to>
                    <xdr:col>7</xdr:col>
                    <xdr:colOff>53340</xdr:colOff>
                    <xdr:row>119</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38.7%</v>
      </c>
      <c r="B4" s="330">
        <f>門市主檔!B8</f>
        <v>82</v>
      </c>
      <c r="C4" s="330">
        <f>門市主檔!B9</f>
        <v>128</v>
      </c>
      <c r="D4" s="336" t="str">
        <f>ROUND(門市主檔!B13*100,1)&amp;"%"</f>
        <v>40.4%</v>
      </c>
      <c r="E4" s="330">
        <f>門市主檔!B10</f>
        <v>65</v>
      </c>
      <c r="F4" s="330">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00"/>
  <sheetViews>
    <sheetView zoomScaleNormal="100" workbookViewId="0">
      <pane ySplit="1" topLeftCell="A490" activePane="bottomLeft" state="frozen"/>
      <selection activeCell="H5" sqref="H5"/>
      <selection pane="bottomLeft" activeCell="AG501" sqref="AG50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row r="479" spans="1:39" s="27" customFormat="1" ht="21.6" customHeight="1">
      <c r="A479" s="28">
        <v>117</v>
      </c>
      <c r="B479" s="28" t="s">
        <v>1728</v>
      </c>
      <c r="C479" s="28">
        <v>2025043542</v>
      </c>
      <c r="D479" s="28"/>
      <c r="E479" s="28"/>
      <c r="F479" s="28">
        <v>4282</v>
      </c>
      <c r="G479" s="28" t="s">
        <v>351</v>
      </c>
      <c r="H479" s="28" t="s">
        <v>1750</v>
      </c>
      <c r="I479" s="28"/>
      <c r="J479" s="28"/>
      <c r="K479" s="28"/>
      <c r="L479" s="28"/>
      <c r="M479" s="29"/>
      <c r="N479" s="28"/>
      <c r="O479" s="29"/>
      <c r="P479" s="30"/>
      <c r="Q479" s="28" t="s">
        <v>5134</v>
      </c>
      <c r="R479" s="28" t="s">
        <v>53</v>
      </c>
      <c r="S479" s="28" t="s">
        <v>16</v>
      </c>
      <c r="T479" s="28">
        <v>1</v>
      </c>
      <c r="U479" s="28" t="s">
        <v>1723</v>
      </c>
      <c r="V479" s="28" t="s">
        <v>7128</v>
      </c>
      <c r="W479" s="28" t="s">
        <v>7129</v>
      </c>
      <c r="X479" s="138">
        <v>45776.5</v>
      </c>
      <c r="Y479" s="28"/>
      <c r="Z479" s="28">
        <v>1</v>
      </c>
      <c r="AA479" s="28"/>
      <c r="AB479" s="28" t="s">
        <v>1724</v>
      </c>
      <c r="AC479" s="30" t="s">
        <v>7130</v>
      </c>
      <c r="AD479" s="28"/>
      <c r="AE479" s="28"/>
      <c r="AF479" s="28"/>
      <c r="AG479" s="28"/>
      <c r="AH479" s="28"/>
      <c r="AI479" s="28"/>
      <c r="AJ479" s="28" t="s">
        <v>1725</v>
      </c>
      <c r="AK479" s="28" t="s">
        <v>1725</v>
      </c>
      <c r="AL479" s="358" t="e">
        <f t="shared" ref="AL479:AL497" si="21">DATEVALUE(TEXT(I479, "yyyy/mm/dd"))</f>
        <v>#VALUE!</v>
      </c>
      <c r="AM479"/>
    </row>
    <row r="480" spans="1:39" s="27" customFormat="1" ht="21.6" customHeight="1">
      <c r="A480" s="31">
        <v>118</v>
      </c>
      <c r="B480" s="31" t="s">
        <v>5040</v>
      </c>
      <c r="C480" s="31">
        <v>2025043553</v>
      </c>
      <c r="D480" s="31" t="s">
        <v>7131</v>
      </c>
      <c r="E480" s="31" t="s">
        <v>5042</v>
      </c>
      <c r="F480" s="31">
        <v>5352</v>
      </c>
      <c r="G480" s="31" t="s">
        <v>5230</v>
      </c>
      <c r="H480" s="31" t="s">
        <v>1751</v>
      </c>
      <c r="I480" s="31" t="s">
        <v>7132</v>
      </c>
      <c r="J480" s="31" t="s">
        <v>5260</v>
      </c>
      <c r="K480" s="31" t="s">
        <v>5046</v>
      </c>
      <c r="L480" s="31" t="s">
        <v>7133</v>
      </c>
      <c r="M480" s="32" t="s">
        <v>7134</v>
      </c>
      <c r="N480" s="31">
        <v>3503</v>
      </c>
      <c r="O480" s="32" t="s">
        <v>7135</v>
      </c>
      <c r="P480" s="33" t="s">
        <v>7136</v>
      </c>
      <c r="Q480" s="31" t="s">
        <v>7114</v>
      </c>
      <c r="R480" s="31" t="s">
        <v>53</v>
      </c>
      <c r="S480" s="31" t="s">
        <v>4115</v>
      </c>
      <c r="T480" s="31">
        <v>1</v>
      </c>
      <c r="U480" s="31" t="s">
        <v>1723</v>
      </c>
      <c r="V480" s="31" t="s">
        <v>7137</v>
      </c>
      <c r="W480" s="31" t="s">
        <v>7138</v>
      </c>
      <c r="X480" s="219">
        <v>45776.679861111108</v>
      </c>
      <c r="Y480" s="31" t="s">
        <v>7139</v>
      </c>
      <c r="Z480" s="31">
        <v>0.6</v>
      </c>
      <c r="AA480" s="31"/>
      <c r="AB480" s="31" t="s">
        <v>1724</v>
      </c>
      <c r="AC480" s="33" t="s">
        <v>7140</v>
      </c>
      <c r="AD480" s="31"/>
      <c r="AE480" s="31"/>
      <c r="AF480" s="31"/>
      <c r="AG480" s="31"/>
      <c r="AH480" s="31"/>
      <c r="AI480" s="31"/>
      <c r="AJ480" s="31"/>
      <c r="AK480" s="31" t="s">
        <v>1725</v>
      </c>
      <c r="AL480" s="358">
        <f t="shared" si="21"/>
        <v>45776</v>
      </c>
      <c r="AM480"/>
    </row>
    <row r="481" spans="1:39" s="27" customFormat="1" ht="21.6" customHeight="1">
      <c r="A481" s="28">
        <v>119</v>
      </c>
      <c r="B481" s="28" t="s">
        <v>1728</v>
      </c>
      <c r="C481" s="28">
        <v>2025043584</v>
      </c>
      <c r="D481" s="28"/>
      <c r="E481" s="28"/>
      <c r="F481" s="28">
        <v>3623</v>
      </c>
      <c r="G481" s="28" t="s">
        <v>208</v>
      </c>
      <c r="H481" s="28" t="s">
        <v>1751</v>
      </c>
      <c r="I481" s="28"/>
      <c r="J481" s="28"/>
      <c r="K481" s="28"/>
      <c r="L481" s="28"/>
      <c r="M481" s="29"/>
      <c r="N481" s="28"/>
      <c r="O481" s="29"/>
      <c r="P481" s="30"/>
      <c r="Q481" s="28" t="s">
        <v>6142</v>
      </c>
      <c r="R481" s="28" t="s">
        <v>53</v>
      </c>
      <c r="S481" s="28" t="s">
        <v>4115</v>
      </c>
      <c r="T481" s="28">
        <v>1</v>
      </c>
      <c r="U481" s="28" t="s">
        <v>1723</v>
      </c>
      <c r="V481" s="28" t="s">
        <v>7141</v>
      </c>
      <c r="W481" s="28" t="s">
        <v>7142</v>
      </c>
      <c r="X481" s="138">
        <v>45776.625</v>
      </c>
      <c r="Y481" s="28"/>
      <c r="Z481" s="28">
        <v>1</v>
      </c>
      <c r="AA481" s="28"/>
      <c r="AB481" s="28" t="s">
        <v>1724</v>
      </c>
      <c r="AC481" s="30" t="s">
        <v>5058</v>
      </c>
      <c r="AD481" s="28" t="s">
        <v>1725</v>
      </c>
      <c r="AE481" s="28"/>
      <c r="AF481" s="28"/>
      <c r="AG481" s="28"/>
      <c r="AH481" s="28"/>
      <c r="AI481" s="28"/>
      <c r="AJ481" s="28" t="s">
        <v>1725</v>
      </c>
      <c r="AK481" s="28" t="s">
        <v>1725</v>
      </c>
      <c r="AL481" s="358" t="e">
        <f t="shared" si="21"/>
        <v>#VALUE!</v>
      </c>
      <c r="AM481"/>
    </row>
    <row r="482" spans="1:39" s="27" customFormat="1" ht="21.6" customHeight="1">
      <c r="A482" s="31">
        <v>120</v>
      </c>
      <c r="B482" s="31" t="s">
        <v>1728</v>
      </c>
      <c r="C482" s="31">
        <v>2025043714</v>
      </c>
      <c r="D482" s="31"/>
      <c r="E482" s="31"/>
      <c r="F482" s="31">
        <v>2318</v>
      </c>
      <c r="G482" s="31" t="s">
        <v>89</v>
      </c>
      <c r="H482" s="31" t="s">
        <v>3325</v>
      </c>
      <c r="I482" s="31"/>
      <c r="J482" s="31"/>
      <c r="K482" s="31"/>
      <c r="L482" s="31"/>
      <c r="M482" s="32"/>
      <c r="N482" s="31"/>
      <c r="O482" s="32"/>
      <c r="P482" s="33"/>
      <c r="Q482" s="31" t="s">
        <v>6027</v>
      </c>
      <c r="R482" s="31" t="s">
        <v>53</v>
      </c>
      <c r="S482" s="31" t="s">
        <v>4115</v>
      </c>
      <c r="T482" s="31">
        <v>1</v>
      </c>
      <c r="U482" s="31" t="s">
        <v>1723</v>
      </c>
      <c r="V482" s="31" t="s">
        <v>7143</v>
      </c>
      <c r="W482" s="31" t="s">
        <v>7144</v>
      </c>
      <c r="X482" s="219">
        <v>45777.59375</v>
      </c>
      <c r="Y482" s="31"/>
      <c r="Z482" s="31">
        <v>1</v>
      </c>
      <c r="AA482" s="31"/>
      <c r="AB482" s="31" t="s">
        <v>1724</v>
      </c>
      <c r="AC482" s="33" t="s">
        <v>5058</v>
      </c>
      <c r="AD482" s="31" t="s">
        <v>1725</v>
      </c>
      <c r="AE482" s="31"/>
      <c r="AF482" s="31"/>
      <c r="AG482" s="31"/>
      <c r="AH482" s="31"/>
      <c r="AI482" s="31"/>
      <c r="AJ482" s="31" t="s">
        <v>1725</v>
      </c>
      <c r="AK482" s="31" t="s">
        <v>1725</v>
      </c>
      <c r="AL482" s="358" t="e">
        <f t="shared" si="21"/>
        <v>#VALUE!</v>
      </c>
      <c r="AM482"/>
    </row>
    <row r="483" spans="1:39" s="27" customFormat="1" ht="21.6" customHeight="1">
      <c r="A483" s="28">
        <v>121</v>
      </c>
      <c r="B483" s="28" t="s">
        <v>1728</v>
      </c>
      <c r="C483" s="28">
        <v>2025043715</v>
      </c>
      <c r="D483" s="28"/>
      <c r="E483" s="28"/>
      <c r="F483" s="28">
        <v>4282</v>
      </c>
      <c r="G483" s="28" t="s">
        <v>351</v>
      </c>
      <c r="H483" s="28" t="s">
        <v>1750</v>
      </c>
      <c r="I483" s="28"/>
      <c r="J483" s="28"/>
      <c r="K483" s="28"/>
      <c r="L483" s="28"/>
      <c r="M483" s="29"/>
      <c r="N483" s="28"/>
      <c r="O483" s="29"/>
      <c r="P483" s="30"/>
      <c r="Q483" s="28" t="s">
        <v>5134</v>
      </c>
      <c r="R483" s="28" t="s">
        <v>53</v>
      </c>
      <c r="S483" s="28" t="s">
        <v>16</v>
      </c>
      <c r="T483" s="28">
        <v>1</v>
      </c>
      <c r="U483" s="28" t="s">
        <v>1723</v>
      </c>
      <c r="V483" s="28" t="s">
        <v>7145</v>
      </c>
      <c r="W483" s="28" t="s">
        <v>7146</v>
      </c>
      <c r="X483" s="138">
        <v>45777.645833333336</v>
      </c>
      <c r="Y483" s="28"/>
      <c r="Z483" s="28">
        <v>1.5</v>
      </c>
      <c r="AA483" s="28"/>
      <c r="AB483" s="28" t="s">
        <v>1724</v>
      </c>
      <c r="AC483" s="30" t="s">
        <v>7147</v>
      </c>
      <c r="AD483" s="28"/>
      <c r="AE483" s="28"/>
      <c r="AF483" s="28"/>
      <c r="AG483" s="28"/>
      <c r="AH483" s="28"/>
      <c r="AI483" s="28"/>
      <c r="AJ483" s="28" t="s">
        <v>1725</v>
      </c>
      <c r="AK483" s="28" t="s">
        <v>1725</v>
      </c>
      <c r="AL483" s="358" t="e">
        <f t="shared" si="21"/>
        <v>#VALUE!</v>
      </c>
      <c r="AM483"/>
    </row>
    <row r="484" spans="1:39" s="27" customFormat="1" ht="21.6" customHeight="1">
      <c r="A484" s="31">
        <v>122</v>
      </c>
      <c r="B484" s="31" t="s">
        <v>1728</v>
      </c>
      <c r="C484" s="31">
        <v>2025043717</v>
      </c>
      <c r="D484" s="31"/>
      <c r="E484" s="31"/>
      <c r="F484" s="31">
        <v>2897</v>
      </c>
      <c r="G484" s="31" t="s">
        <v>144</v>
      </c>
      <c r="H484" s="31" t="s">
        <v>3325</v>
      </c>
      <c r="I484" s="31"/>
      <c r="J484" s="31"/>
      <c r="K484" s="31"/>
      <c r="L484" s="31"/>
      <c r="M484" s="32"/>
      <c r="N484" s="31"/>
      <c r="O484" s="32"/>
      <c r="P484" s="32"/>
      <c r="Q484" s="31" t="s">
        <v>6607</v>
      </c>
      <c r="R484" s="31" t="s">
        <v>53</v>
      </c>
      <c r="S484" s="31" t="s">
        <v>4115</v>
      </c>
      <c r="T484" s="31">
        <v>1</v>
      </c>
      <c r="U484" s="31" t="s">
        <v>1723</v>
      </c>
      <c r="V484" s="31" t="s">
        <v>7148</v>
      </c>
      <c r="W484" s="31" t="s">
        <v>7149</v>
      </c>
      <c r="X484" s="219">
        <v>45777.647222222222</v>
      </c>
      <c r="Y484" s="31"/>
      <c r="Z484" s="31">
        <v>0.8</v>
      </c>
      <c r="AA484" s="31"/>
      <c r="AB484" s="31" t="s">
        <v>1724</v>
      </c>
      <c r="AC484" s="32" t="s">
        <v>5058</v>
      </c>
      <c r="AD484" s="31" t="s">
        <v>1725</v>
      </c>
      <c r="AE484" s="31"/>
      <c r="AF484" s="31"/>
      <c r="AG484" s="31"/>
      <c r="AH484" s="31"/>
      <c r="AI484" s="31"/>
      <c r="AJ484" s="31" t="s">
        <v>1725</v>
      </c>
      <c r="AK484" s="31" t="s">
        <v>1725</v>
      </c>
      <c r="AL484" s="358" t="e">
        <f t="shared" si="21"/>
        <v>#VALUE!</v>
      </c>
      <c r="AM484"/>
    </row>
    <row r="485" spans="1:39" s="27" customFormat="1" ht="21.6" customHeight="1">
      <c r="A485" s="28">
        <v>1</v>
      </c>
      <c r="B485" s="28" t="s">
        <v>5040</v>
      </c>
      <c r="C485" s="28">
        <v>2025043696</v>
      </c>
      <c r="D485" s="28" t="s">
        <v>7150</v>
      </c>
      <c r="E485" s="28" t="s">
        <v>5042</v>
      </c>
      <c r="F485" s="28">
        <v>2403</v>
      </c>
      <c r="G485" s="28" t="s">
        <v>98</v>
      </c>
      <c r="H485" s="28" t="s">
        <v>1726</v>
      </c>
      <c r="I485" s="28" t="s">
        <v>7151</v>
      </c>
      <c r="J485" s="28" t="s">
        <v>5073</v>
      </c>
      <c r="K485" s="28" t="s">
        <v>5046</v>
      </c>
      <c r="L485" s="28" t="s">
        <v>5326</v>
      </c>
      <c r="M485" s="29" t="s">
        <v>5327</v>
      </c>
      <c r="N485" s="28" t="s">
        <v>5328</v>
      </c>
      <c r="O485" s="29" t="s">
        <v>5329</v>
      </c>
      <c r="P485" s="30" t="s">
        <v>7152</v>
      </c>
      <c r="Q485" s="28" t="s">
        <v>6745</v>
      </c>
      <c r="R485" s="28" t="s">
        <v>53</v>
      </c>
      <c r="S485" s="28" t="s">
        <v>1158</v>
      </c>
      <c r="T485" s="28">
        <v>1</v>
      </c>
      <c r="U485" s="28" t="s">
        <v>1723</v>
      </c>
      <c r="V485" s="28" t="s">
        <v>7153</v>
      </c>
      <c r="W485" s="28" t="s">
        <v>7154</v>
      </c>
      <c r="X485" s="138">
        <v>45779.527777777781</v>
      </c>
      <c r="Y485" s="28" t="s">
        <v>7155</v>
      </c>
      <c r="Z485" s="28">
        <v>0.8</v>
      </c>
      <c r="AA485" s="28"/>
      <c r="AB485" s="28" t="s">
        <v>1724</v>
      </c>
      <c r="AC485" s="30" t="s">
        <v>7156</v>
      </c>
      <c r="AD485" s="28"/>
      <c r="AE485" s="28"/>
      <c r="AF485" s="28"/>
      <c r="AG485" s="28"/>
      <c r="AH485" s="28"/>
      <c r="AI485" s="28"/>
      <c r="AJ485" s="28"/>
      <c r="AK485" s="28" t="s">
        <v>1725</v>
      </c>
      <c r="AL485" s="358">
        <f t="shared" si="21"/>
        <v>45777</v>
      </c>
      <c r="AM485"/>
    </row>
    <row r="486" spans="1:39" s="27" customFormat="1" ht="21.6" customHeight="1">
      <c r="A486" s="31">
        <v>2</v>
      </c>
      <c r="B486" s="31" t="s">
        <v>5040</v>
      </c>
      <c r="C486" s="31">
        <v>2025043712</v>
      </c>
      <c r="D486" s="31" t="s">
        <v>7157</v>
      </c>
      <c r="E486" s="31" t="s">
        <v>5042</v>
      </c>
      <c r="F486" s="31">
        <v>3052</v>
      </c>
      <c r="G486" s="31" t="s">
        <v>155</v>
      </c>
      <c r="H486" s="31" t="s">
        <v>1752</v>
      </c>
      <c r="I486" s="31" t="s">
        <v>7158</v>
      </c>
      <c r="J486" s="31" t="s">
        <v>5073</v>
      </c>
      <c r="K486" s="31" t="s">
        <v>5046</v>
      </c>
      <c r="L486" s="31" t="s">
        <v>5075</v>
      </c>
      <c r="M486" s="32" t="s">
        <v>1727</v>
      </c>
      <c r="N486" s="31">
        <v>2304</v>
      </c>
      <c r="O486" s="32" t="s">
        <v>5104</v>
      </c>
      <c r="P486" s="33" t="s">
        <v>7159</v>
      </c>
      <c r="Q486" s="31" t="s">
        <v>5403</v>
      </c>
      <c r="R486" s="31" t="s">
        <v>53</v>
      </c>
      <c r="S486" s="31" t="s">
        <v>16</v>
      </c>
      <c r="T486" s="31">
        <v>1</v>
      </c>
      <c r="U486" s="31" t="s">
        <v>1723</v>
      </c>
      <c r="V486" s="31" t="s">
        <v>7160</v>
      </c>
      <c r="W486" s="31" t="s">
        <v>7161</v>
      </c>
      <c r="X486" s="219">
        <v>45779.583333333336</v>
      </c>
      <c r="Y486" s="31" t="s">
        <v>7163</v>
      </c>
      <c r="Z486" s="31">
        <v>0.5</v>
      </c>
      <c r="AA486" s="31"/>
      <c r="AB486" s="31" t="s">
        <v>1724</v>
      </c>
      <c r="AC486" s="33" t="s">
        <v>7164</v>
      </c>
      <c r="AD486" s="31"/>
      <c r="AE486" s="31"/>
      <c r="AF486" s="31"/>
      <c r="AG486" s="31"/>
      <c r="AH486" s="31"/>
      <c r="AI486" s="31"/>
      <c r="AJ486" s="31"/>
      <c r="AK486" s="31" t="s">
        <v>1725</v>
      </c>
      <c r="AL486" s="358">
        <f t="shared" si="21"/>
        <v>45777</v>
      </c>
      <c r="AM486"/>
    </row>
    <row r="487" spans="1:39" s="27" customFormat="1" ht="21.6" customHeight="1">
      <c r="A487" s="28">
        <v>3</v>
      </c>
      <c r="B487" s="28" t="s">
        <v>5040</v>
      </c>
      <c r="C487" s="28">
        <v>2025043713</v>
      </c>
      <c r="D487" s="28" t="s">
        <v>7165</v>
      </c>
      <c r="E487" s="28" t="s">
        <v>5042</v>
      </c>
      <c r="F487" s="28">
        <v>3052</v>
      </c>
      <c r="G487" s="28" t="s">
        <v>155</v>
      </c>
      <c r="H487" s="28" t="s">
        <v>1752</v>
      </c>
      <c r="I487" s="28" t="s">
        <v>7166</v>
      </c>
      <c r="J487" s="28" t="s">
        <v>5073</v>
      </c>
      <c r="K487" s="28" t="s">
        <v>5046</v>
      </c>
      <c r="L487" s="28" t="s">
        <v>5075</v>
      </c>
      <c r="M487" s="29" t="s">
        <v>1727</v>
      </c>
      <c r="N487" s="28">
        <v>2305</v>
      </c>
      <c r="O487" s="29" t="s">
        <v>5076</v>
      </c>
      <c r="P487" s="30" t="s">
        <v>7167</v>
      </c>
      <c r="Q487" s="28" t="s">
        <v>5403</v>
      </c>
      <c r="R487" s="28" t="s">
        <v>53</v>
      </c>
      <c r="S487" s="28" t="s">
        <v>16</v>
      </c>
      <c r="T487" s="28">
        <v>1</v>
      </c>
      <c r="U487" s="28" t="s">
        <v>1723</v>
      </c>
      <c r="V487" s="28" t="s">
        <v>7168</v>
      </c>
      <c r="W487" s="28" t="s">
        <v>7169</v>
      </c>
      <c r="X487" s="138">
        <v>45779.5625</v>
      </c>
      <c r="Y487" s="28" t="s">
        <v>7163</v>
      </c>
      <c r="Z487" s="28">
        <v>0.5</v>
      </c>
      <c r="AA487" s="28"/>
      <c r="AB487" s="28" t="s">
        <v>1724</v>
      </c>
      <c r="AC487" s="30" t="s">
        <v>7170</v>
      </c>
      <c r="AD487" s="28"/>
      <c r="AE487" s="28"/>
      <c r="AF487" s="28"/>
      <c r="AG487" s="28"/>
      <c r="AH487" s="28"/>
      <c r="AI487" s="28"/>
      <c r="AJ487" s="28"/>
      <c r="AK487" s="28" t="s">
        <v>1725</v>
      </c>
      <c r="AL487" s="358">
        <f t="shared" si="21"/>
        <v>45777</v>
      </c>
      <c r="AM487"/>
    </row>
    <row r="488" spans="1:39" s="27" customFormat="1" ht="21.6" customHeight="1">
      <c r="A488" s="31">
        <v>4</v>
      </c>
      <c r="B488" s="31" t="s">
        <v>5040</v>
      </c>
      <c r="C488" s="31">
        <v>2025043713</v>
      </c>
      <c r="D488" s="31" t="s">
        <v>7165</v>
      </c>
      <c r="E488" s="31" t="s">
        <v>5042</v>
      </c>
      <c r="F488" s="31">
        <v>3052</v>
      </c>
      <c r="G488" s="31" t="s">
        <v>155</v>
      </c>
      <c r="H488" s="31" t="s">
        <v>1752</v>
      </c>
      <c r="I488" s="31" t="s">
        <v>7166</v>
      </c>
      <c r="J488" s="31" t="s">
        <v>5073</v>
      </c>
      <c r="K488" s="31" t="s">
        <v>5046</v>
      </c>
      <c r="L488" s="31" t="s">
        <v>5075</v>
      </c>
      <c r="M488" s="32" t="s">
        <v>1727</v>
      </c>
      <c r="N488" s="31">
        <v>2305</v>
      </c>
      <c r="O488" s="32" t="s">
        <v>5076</v>
      </c>
      <c r="P488" s="33" t="s">
        <v>7167</v>
      </c>
      <c r="Q488" s="31" t="s">
        <v>5403</v>
      </c>
      <c r="R488" s="31" t="s">
        <v>53</v>
      </c>
      <c r="S488" s="31" t="s">
        <v>16</v>
      </c>
      <c r="T488" s="31">
        <v>2</v>
      </c>
      <c r="U488" s="31" t="s">
        <v>1723</v>
      </c>
      <c r="V488" s="31" t="s">
        <v>7168</v>
      </c>
      <c r="W488" s="31" t="s">
        <v>7169</v>
      </c>
      <c r="X488" s="219">
        <v>45779.5625</v>
      </c>
      <c r="Y488" s="31" t="s">
        <v>7163</v>
      </c>
      <c r="Z488" s="31">
        <v>0.5</v>
      </c>
      <c r="AA488" s="31"/>
      <c r="AB488" s="31" t="s">
        <v>1724</v>
      </c>
      <c r="AC488" s="33" t="s">
        <v>7170</v>
      </c>
      <c r="AD488" s="31"/>
      <c r="AE488" s="31"/>
      <c r="AF488" s="31"/>
      <c r="AG488" s="31"/>
      <c r="AH488" s="31"/>
      <c r="AI488" s="31"/>
      <c r="AJ488" s="31"/>
      <c r="AK488" s="31" t="s">
        <v>1725</v>
      </c>
      <c r="AL488" s="358">
        <f t="shared" si="21"/>
        <v>45777</v>
      </c>
      <c r="AM488"/>
    </row>
    <row r="489" spans="1:39" s="27" customFormat="1" ht="21.6" customHeight="1">
      <c r="A489" s="28">
        <v>5</v>
      </c>
      <c r="B489" s="28" t="s">
        <v>5040</v>
      </c>
      <c r="C489" s="28">
        <v>2025043724</v>
      </c>
      <c r="D489" s="28" t="s">
        <v>7171</v>
      </c>
      <c r="E489" s="28" t="s">
        <v>5042</v>
      </c>
      <c r="F489" s="28">
        <v>2042</v>
      </c>
      <c r="G489" s="28" t="s">
        <v>57</v>
      </c>
      <c r="H489" s="28" t="s">
        <v>1751</v>
      </c>
      <c r="I489" s="28" t="s">
        <v>7172</v>
      </c>
      <c r="J489" s="28" t="s">
        <v>5073</v>
      </c>
      <c r="K489" s="28" t="s">
        <v>5046</v>
      </c>
      <c r="L489" s="28" t="s">
        <v>5075</v>
      </c>
      <c r="M489" s="29" t="s">
        <v>1727</v>
      </c>
      <c r="N489" s="28">
        <v>2301</v>
      </c>
      <c r="O489" s="29" t="s">
        <v>6443</v>
      </c>
      <c r="P489" s="30" t="s">
        <v>7173</v>
      </c>
      <c r="Q489" s="28" t="s">
        <v>6095</v>
      </c>
      <c r="R489" s="28" t="s">
        <v>53</v>
      </c>
      <c r="S489" s="28" t="s">
        <v>4115</v>
      </c>
      <c r="T489" s="28">
        <v>1</v>
      </c>
      <c r="U489" s="28" t="s">
        <v>1723</v>
      </c>
      <c r="V489" s="28" t="s">
        <v>7174</v>
      </c>
      <c r="W489" s="28" t="s">
        <v>7175</v>
      </c>
      <c r="X489" s="138">
        <v>45779.441666666666</v>
      </c>
      <c r="Y489" s="28" t="s">
        <v>7176</v>
      </c>
      <c r="Z489" s="28">
        <v>0.6</v>
      </c>
      <c r="AA489" s="28"/>
      <c r="AB489" s="28" t="s">
        <v>1724</v>
      </c>
      <c r="AC489" s="30" t="s">
        <v>7177</v>
      </c>
      <c r="AD489" s="28"/>
      <c r="AE489" s="28"/>
      <c r="AF489" s="28"/>
      <c r="AG489" s="28"/>
      <c r="AH489" s="28"/>
      <c r="AI489" s="28"/>
      <c r="AJ489" s="28"/>
      <c r="AK489" s="28" t="s">
        <v>1725</v>
      </c>
      <c r="AL489" s="358">
        <f t="shared" si="21"/>
        <v>45777</v>
      </c>
      <c r="AM489"/>
    </row>
    <row r="490" spans="1:39" s="27" customFormat="1" ht="21.6" customHeight="1">
      <c r="A490" s="31">
        <v>6</v>
      </c>
      <c r="B490" s="31" t="s">
        <v>5040</v>
      </c>
      <c r="C490" s="31">
        <v>2025050004</v>
      </c>
      <c r="D490" s="31" t="s">
        <v>7178</v>
      </c>
      <c r="E490" s="31" t="s">
        <v>5042</v>
      </c>
      <c r="F490" s="31">
        <v>2042</v>
      </c>
      <c r="G490" s="31" t="s">
        <v>57</v>
      </c>
      <c r="H490" s="31" t="s">
        <v>1751</v>
      </c>
      <c r="I490" s="31" t="s">
        <v>7179</v>
      </c>
      <c r="J490" s="31" t="s">
        <v>5103</v>
      </c>
      <c r="K490" s="31" t="s">
        <v>5074</v>
      </c>
      <c r="L490" s="31" t="s">
        <v>5279</v>
      </c>
      <c r="M490" s="32" t="s">
        <v>5280</v>
      </c>
      <c r="N490" s="31" t="s">
        <v>664</v>
      </c>
      <c r="O490" s="32" t="s">
        <v>5281</v>
      </c>
      <c r="P490" s="33" t="s">
        <v>7180</v>
      </c>
      <c r="Q490" s="31" t="s">
        <v>6095</v>
      </c>
      <c r="R490" s="31" t="s">
        <v>53</v>
      </c>
      <c r="S490" s="31" t="s">
        <v>4115</v>
      </c>
      <c r="T490" s="31">
        <v>1</v>
      </c>
      <c r="U490" s="31" t="s">
        <v>1723</v>
      </c>
      <c r="V490" s="31" t="s">
        <v>7181</v>
      </c>
      <c r="W490" s="31" t="s">
        <v>7175</v>
      </c>
      <c r="X490" s="219">
        <v>45779.442361111112</v>
      </c>
      <c r="Y490" s="31" t="s">
        <v>7182</v>
      </c>
      <c r="Z490" s="31">
        <v>0.6</v>
      </c>
      <c r="AA490" s="31"/>
      <c r="AB490" s="31" t="s">
        <v>1724</v>
      </c>
      <c r="AC490" s="33" t="s">
        <v>7183</v>
      </c>
      <c r="AD490" s="31"/>
      <c r="AE490" s="31"/>
      <c r="AF490" s="31"/>
      <c r="AG490" s="31"/>
      <c r="AH490" s="31"/>
      <c r="AI490" s="31"/>
      <c r="AJ490" s="31"/>
      <c r="AK490" s="31" t="s">
        <v>1725</v>
      </c>
      <c r="AL490" s="358">
        <f t="shared" si="21"/>
        <v>45778</v>
      </c>
      <c r="AM490"/>
    </row>
    <row r="491" spans="1:39" s="27" customFormat="1" ht="21.6" customHeight="1">
      <c r="A491" s="28">
        <v>7</v>
      </c>
      <c r="B491" s="28" t="s">
        <v>5040</v>
      </c>
      <c r="C491" s="28">
        <v>2025050012</v>
      </c>
      <c r="D491" s="28" t="s">
        <v>7184</v>
      </c>
      <c r="E491" s="28" t="s">
        <v>5042</v>
      </c>
      <c r="F491" s="28" t="s">
        <v>20</v>
      </c>
      <c r="G491" s="28" t="s">
        <v>4119</v>
      </c>
      <c r="H491" s="28" t="s">
        <v>1751</v>
      </c>
      <c r="I491" s="28" t="s">
        <v>7185</v>
      </c>
      <c r="J491" s="28" t="s">
        <v>5103</v>
      </c>
      <c r="K491" s="28" t="s">
        <v>5046</v>
      </c>
      <c r="L491" s="28" t="s">
        <v>5279</v>
      </c>
      <c r="M491" s="29" t="s">
        <v>5280</v>
      </c>
      <c r="N491" s="28" t="s">
        <v>664</v>
      </c>
      <c r="O491" s="29" t="s">
        <v>5281</v>
      </c>
      <c r="P491" s="30" t="s">
        <v>7186</v>
      </c>
      <c r="Q491" s="28" t="s">
        <v>6112</v>
      </c>
      <c r="R491" s="28" t="s">
        <v>53</v>
      </c>
      <c r="S491" s="28" t="s">
        <v>4115</v>
      </c>
      <c r="T491" s="28">
        <v>1</v>
      </c>
      <c r="U491" s="28" t="s">
        <v>1723</v>
      </c>
      <c r="V491" s="28" t="s">
        <v>7187</v>
      </c>
      <c r="W491" s="28" t="s">
        <v>7188</v>
      </c>
      <c r="X491" s="138">
        <v>45779.451388888891</v>
      </c>
      <c r="Y491" s="28" t="s">
        <v>7182</v>
      </c>
      <c r="Z491" s="28">
        <v>0.3</v>
      </c>
      <c r="AA491" s="28"/>
      <c r="AB491" s="28" t="s">
        <v>1724</v>
      </c>
      <c r="AC491" s="30" t="s">
        <v>7189</v>
      </c>
      <c r="AD491" s="28"/>
      <c r="AE491" s="28"/>
      <c r="AF491" s="28"/>
      <c r="AG491" s="28"/>
      <c r="AH491" s="28"/>
      <c r="AI491" s="28"/>
      <c r="AJ491" s="28"/>
      <c r="AK491" s="28" t="s">
        <v>1725</v>
      </c>
      <c r="AL491" s="358">
        <f t="shared" si="21"/>
        <v>45778</v>
      </c>
      <c r="AM491"/>
    </row>
    <row r="492" spans="1:39" s="27" customFormat="1" ht="21.6" customHeight="1">
      <c r="A492" s="31">
        <v>8</v>
      </c>
      <c r="B492" s="31" t="s">
        <v>1728</v>
      </c>
      <c r="C492" s="31">
        <v>2025050076</v>
      </c>
      <c r="D492" s="31"/>
      <c r="E492" s="31"/>
      <c r="F492" s="31">
        <v>2403</v>
      </c>
      <c r="G492" s="31" t="s">
        <v>98</v>
      </c>
      <c r="H492" s="31" t="s">
        <v>1726</v>
      </c>
      <c r="I492" s="31"/>
      <c r="J492" s="31"/>
      <c r="K492" s="31"/>
      <c r="L492" s="31"/>
      <c r="M492" s="32"/>
      <c r="N492" s="31"/>
      <c r="O492" s="32"/>
      <c r="P492" s="33"/>
      <c r="Q492" s="31" t="s">
        <v>6745</v>
      </c>
      <c r="R492" s="31" t="s">
        <v>53</v>
      </c>
      <c r="S492" s="31" t="s">
        <v>1158</v>
      </c>
      <c r="T492" s="31">
        <v>1</v>
      </c>
      <c r="U492" s="31" t="s">
        <v>1723</v>
      </c>
      <c r="V492" s="31" t="s">
        <v>7190</v>
      </c>
      <c r="W492" s="31" t="s">
        <v>7154</v>
      </c>
      <c r="X492" s="219">
        <v>45779.527777777781</v>
      </c>
      <c r="Y492" s="31"/>
      <c r="Z492" s="31">
        <v>0.8</v>
      </c>
      <c r="AA492" s="31"/>
      <c r="AB492" s="31" t="s">
        <v>1724</v>
      </c>
      <c r="AC492" s="33" t="s">
        <v>5116</v>
      </c>
      <c r="AD492" s="31" t="s">
        <v>1725</v>
      </c>
      <c r="AE492" s="31"/>
      <c r="AF492" s="31"/>
      <c r="AG492" s="31"/>
      <c r="AH492" s="31"/>
      <c r="AI492" s="31"/>
      <c r="AJ492" s="31" t="s">
        <v>1725</v>
      </c>
      <c r="AK492" s="31" t="s">
        <v>1725</v>
      </c>
      <c r="AL492" s="358" t="e">
        <f t="shared" si="21"/>
        <v>#VALUE!</v>
      </c>
      <c r="AM492"/>
    </row>
    <row r="493" spans="1:39" s="27" customFormat="1" ht="21.6" customHeight="1">
      <c r="A493" s="28">
        <v>9</v>
      </c>
      <c r="B493" s="28" t="s">
        <v>5040</v>
      </c>
      <c r="C493" s="28">
        <v>2025050083</v>
      </c>
      <c r="D493" s="28" t="s">
        <v>7191</v>
      </c>
      <c r="E493" s="28" t="s">
        <v>5042</v>
      </c>
      <c r="F493" s="28">
        <v>3052</v>
      </c>
      <c r="G493" s="28" t="s">
        <v>155</v>
      </c>
      <c r="H493" s="28" t="s">
        <v>1752</v>
      </c>
      <c r="I493" s="28" t="s">
        <v>7192</v>
      </c>
      <c r="J493" s="28" t="s">
        <v>5307</v>
      </c>
      <c r="K493" s="28" t="s">
        <v>5046</v>
      </c>
      <c r="L493" s="28" t="s">
        <v>5269</v>
      </c>
      <c r="M493" s="29" t="s">
        <v>5270</v>
      </c>
      <c r="N493" s="28">
        <v>5801</v>
      </c>
      <c r="O493" s="29" t="s">
        <v>5271</v>
      </c>
      <c r="P493" s="30" t="s">
        <v>7193</v>
      </c>
      <c r="Q493" s="28" t="s">
        <v>5403</v>
      </c>
      <c r="R493" s="28" t="s">
        <v>53</v>
      </c>
      <c r="S493" s="28" t="s">
        <v>16</v>
      </c>
      <c r="T493" s="28">
        <v>1</v>
      </c>
      <c r="U493" s="28" t="s">
        <v>1723</v>
      </c>
      <c r="V493" s="28" t="s">
        <v>7194</v>
      </c>
      <c r="W493" s="28" t="s">
        <v>7162</v>
      </c>
      <c r="X493" s="138">
        <v>45779.59375</v>
      </c>
      <c r="Y493" s="28" t="s">
        <v>7196</v>
      </c>
      <c r="Z493" s="28">
        <v>0.3</v>
      </c>
      <c r="AA493" s="28"/>
      <c r="AB493" s="28" t="s">
        <v>1724</v>
      </c>
      <c r="AC493" s="30" t="s">
        <v>7197</v>
      </c>
      <c r="AD493" s="28"/>
      <c r="AE493" s="28"/>
      <c r="AF493" s="28"/>
      <c r="AG493" s="28"/>
      <c r="AH493" s="28"/>
      <c r="AI493" s="28"/>
      <c r="AJ493" s="28"/>
      <c r="AK493" s="28" t="s">
        <v>1725</v>
      </c>
      <c r="AL493" s="358">
        <f t="shared" si="21"/>
        <v>45779</v>
      </c>
      <c r="AM493"/>
    </row>
    <row r="494" spans="1:39" s="27" customFormat="1" ht="21.6" customHeight="1">
      <c r="A494" s="31">
        <v>10</v>
      </c>
      <c r="B494" s="31" t="s">
        <v>1728</v>
      </c>
      <c r="C494" s="31">
        <v>2025050244</v>
      </c>
      <c r="D494" s="31"/>
      <c r="E494" s="31"/>
      <c r="F494" s="31">
        <v>3052</v>
      </c>
      <c r="G494" s="31" t="s">
        <v>155</v>
      </c>
      <c r="H494" s="31" t="s">
        <v>1752</v>
      </c>
      <c r="I494" s="31"/>
      <c r="J494" s="31"/>
      <c r="K494" s="31"/>
      <c r="L494" s="31"/>
      <c r="M494" s="32"/>
      <c r="N494" s="31"/>
      <c r="O494" s="32"/>
      <c r="P494" s="33"/>
      <c r="Q494" s="31" t="s">
        <v>5403</v>
      </c>
      <c r="R494" s="31" t="s">
        <v>53</v>
      </c>
      <c r="S494" s="31" t="s">
        <v>16</v>
      </c>
      <c r="T494" s="31">
        <v>1</v>
      </c>
      <c r="U494" s="31" t="s">
        <v>1723</v>
      </c>
      <c r="V494" s="31" t="s">
        <v>7198</v>
      </c>
      <c r="W494" s="31" t="s">
        <v>7195</v>
      </c>
      <c r="X494" s="219">
        <v>45779.604166666664</v>
      </c>
      <c r="Y494" s="31"/>
      <c r="Z494" s="31">
        <v>0.3</v>
      </c>
      <c r="AA494" s="31"/>
      <c r="AB494" s="31" t="s">
        <v>1724</v>
      </c>
      <c r="AC494" s="33" t="s">
        <v>5116</v>
      </c>
      <c r="AD494" s="31" t="s">
        <v>1725</v>
      </c>
      <c r="AE494" s="31"/>
      <c r="AF494" s="31"/>
      <c r="AG494" s="31"/>
      <c r="AH494" s="31"/>
      <c r="AI494" s="31"/>
      <c r="AJ494" s="31" t="s">
        <v>1725</v>
      </c>
      <c r="AK494" s="31" t="s">
        <v>1725</v>
      </c>
      <c r="AL494" s="358" t="e">
        <f t="shared" si="21"/>
        <v>#VALUE!</v>
      </c>
      <c r="AM494"/>
    </row>
    <row r="495" spans="1:39" s="27" customFormat="1" ht="21.6" customHeight="1">
      <c r="A495" s="28">
        <v>11</v>
      </c>
      <c r="B495" s="28" t="s">
        <v>1728</v>
      </c>
      <c r="C495" s="28">
        <v>2025050245</v>
      </c>
      <c r="D495" s="28"/>
      <c r="E495" s="28"/>
      <c r="F495" s="28" t="s">
        <v>18</v>
      </c>
      <c r="G495" s="28" t="s">
        <v>1496</v>
      </c>
      <c r="H495" s="28" t="s">
        <v>1751</v>
      </c>
      <c r="I495" s="28"/>
      <c r="J495" s="28"/>
      <c r="K495" s="28"/>
      <c r="L495" s="28"/>
      <c r="M495" s="29"/>
      <c r="N495" s="28"/>
      <c r="O495" s="29"/>
      <c r="P495" s="30"/>
      <c r="Q495" s="28" t="s">
        <v>5262</v>
      </c>
      <c r="R495" s="28" t="s">
        <v>53</v>
      </c>
      <c r="S495" s="28" t="s">
        <v>4115</v>
      </c>
      <c r="T495" s="28">
        <v>1</v>
      </c>
      <c r="U495" s="28" t="s">
        <v>1723</v>
      </c>
      <c r="V495" s="28" t="s">
        <v>7200</v>
      </c>
      <c r="W495" s="28" t="s">
        <v>7199</v>
      </c>
      <c r="X495" s="138">
        <v>45779.628472222219</v>
      </c>
      <c r="Y495" s="28"/>
      <c r="Z495" s="28">
        <v>0.6</v>
      </c>
      <c r="AA495" s="28"/>
      <c r="AB495" s="28" t="s">
        <v>1724</v>
      </c>
      <c r="AC495" s="30" t="s">
        <v>5058</v>
      </c>
      <c r="AD495" s="28" t="s">
        <v>1725</v>
      </c>
      <c r="AE495" s="28"/>
      <c r="AF495" s="28"/>
      <c r="AG495" s="28"/>
      <c r="AH495" s="28"/>
      <c r="AI495" s="28"/>
      <c r="AJ495" s="28" t="s">
        <v>1725</v>
      </c>
      <c r="AK495" s="28" t="s">
        <v>1725</v>
      </c>
      <c r="AL495" s="358" t="e">
        <f t="shared" si="21"/>
        <v>#VALUE!</v>
      </c>
      <c r="AM495"/>
    </row>
    <row r="496" spans="1:39" s="27" customFormat="1" ht="21.6" customHeight="1">
      <c r="A496" s="31">
        <v>12</v>
      </c>
      <c r="B496" s="31" t="s">
        <v>1728</v>
      </c>
      <c r="C496" s="31">
        <v>2025050253</v>
      </c>
      <c r="D496" s="31"/>
      <c r="E496" s="31"/>
      <c r="F496" s="31">
        <v>4191</v>
      </c>
      <c r="G496" s="31" t="s">
        <v>326</v>
      </c>
      <c r="H496" s="31" t="s">
        <v>1751</v>
      </c>
      <c r="I496" s="31"/>
      <c r="J496" s="31"/>
      <c r="K496" s="31"/>
      <c r="L496" s="31"/>
      <c r="M496" s="32"/>
      <c r="N496" s="31"/>
      <c r="O496" s="32"/>
      <c r="P496" s="33"/>
      <c r="Q496" s="31" t="s">
        <v>5331</v>
      </c>
      <c r="R496" s="31" t="s">
        <v>53</v>
      </c>
      <c r="S496" s="31" t="s">
        <v>4115</v>
      </c>
      <c r="T496" s="31">
        <v>1</v>
      </c>
      <c r="U496" s="31" t="s">
        <v>1723</v>
      </c>
      <c r="V496" s="31" t="s">
        <v>7201</v>
      </c>
      <c r="W496" s="31" t="s">
        <v>7202</v>
      </c>
      <c r="X496" s="219">
        <v>45779.662499999999</v>
      </c>
      <c r="Y496" s="31"/>
      <c r="Z496" s="31">
        <v>0.4</v>
      </c>
      <c r="AA496" s="31"/>
      <c r="AB496" s="31" t="s">
        <v>1724</v>
      </c>
      <c r="AC496" s="33" t="s">
        <v>5116</v>
      </c>
      <c r="AD496" s="31" t="s">
        <v>1725</v>
      </c>
      <c r="AE496" s="31"/>
      <c r="AF496" s="31"/>
      <c r="AG496" s="31"/>
      <c r="AH496" s="31"/>
      <c r="AI496" s="31"/>
      <c r="AJ496" s="31" t="s">
        <v>1725</v>
      </c>
      <c r="AK496" s="31" t="s">
        <v>1725</v>
      </c>
      <c r="AL496" s="358" t="e">
        <f t="shared" si="21"/>
        <v>#VALUE!</v>
      </c>
      <c r="AM496"/>
    </row>
    <row r="497" spans="1:39" s="27" customFormat="1" ht="21.6" customHeight="1">
      <c r="A497" s="28">
        <v>13</v>
      </c>
      <c r="B497" s="28" t="s">
        <v>1728</v>
      </c>
      <c r="C497" s="28">
        <v>2025050267</v>
      </c>
      <c r="D497" s="28"/>
      <c r="E497" s="28"/>
      <c r="F497" s="28">
        <v>4586</v>
      </c>
      <c r="G497" s="28" t="s">
        <v>447</v>
      </c>
      <c r="H497" s="28" t="s">
        <v>1751</v>
      </c>
      <c r="I497" s="28"/>
      <c r="J497" s="28"/>
      <c r="K497" s="28"/>
      <c r="L497" s="28"/>
      <c r="M497" s="29"/>
      <c r="N497" s="28"/>
      <c r="O497" s="29"/>
      <c r="P497" s="29"/>
      <c r="Q497" s="28" t="s">
        <v>5561</v>
      </c>
      <c r="R497" s="28" t="s">
        <v>53</v>
      </c>
      <c r="S497" s="28" t="s">
        <v>4115</v>
      </c>
      <c r="T497" s="28">
        <v>1</v>
      </c>
      <c r="U497" s="28" t="s">
        <v>1723</v>
      </c>
      <c r="V497" s="28" t="s">
        <v>7203</v>
      </c>
      <c r="W497" s="28" t="s">
        <v>7204</v>
      </c>
      <c r="X497" s="138">
        <v>45779.697222222225</v>
      </c>
      <c r="Y497" s="28"/>
      <c r="Z497" s="28">
        <v>0.4</v>
      </c>
      <c r="AA497" s="28"/>
      <c r="AB497" s="28" t="s">
        <v>1724</v>
      </c>
      <c r="AC497" s="29" t="s">
        <v>5116</v>
      </c>
      <c r="AD497" s="28" t="s">
        <v>1725</v>
      </c>
      <c r="AE497" s="28"/>
      <c r="AF497" s="28"/>
      <c r="AG497" s="28"/>
      <c r="AH497" s="28"/>
      <c r="AI497" s="28"/>
      <c r="AJ497" s="28" t="s">
        <v>1725</v>
      </c>
      <c r="AK497" s="28" t="s">
        <v>1725</v>
      </c>
      <c r="AL497" s="358" t="e">
        <f t="shared" si="21"/>
        <v>#VALUE!</v>
      </c>
      <c r="AM497"/>
    </row>
    <row r="498" spans="1:39" s="27" customFormat="1" ht="21.6" customHeight="1">
      <c r="A498" s="31">
        <v>18</v>
      </c>
      <c r="B498" s="31" t="s">
        <v>5040</v>
      </c>
      <c r="C498" s="31">
        <v>2025050344</v>
      </c>
      <c r="D498" s="31" t="s">
        <v>7205</v>
      </c>
      <c r="E498" s="31" t="s">
        <v>5042</v>
      </c>
      <c r="F498" s="31">
        <v>2349</v>
      </c>
      <c r="G498" s="31" t="s">
        <v>4088</v>
      </c>
      <c r="H498" s="31" t="s">
        <v>1751</v>
      </c>
      <c r="I498" s="31" t="s">
        <v>7206</v>
      </c>
      <c r="J498" s="31" t="s">
        <v>5583</v>
      </c>
      <c r="K498" s="31" t="s">
        <v>5046</v>
      </c>
      <c r="L498" s="31" t="s">
        <v>5075</v>
      </c>
      <c r="M498" s="32" t="s">
        <v>1727</v>
      </c>
      <c r="N498" s="31">
        <v>2307</v>
      </c>
      <c r="O498" s="32" t="s">
        <v>5391</v>
      </c>
      <c r="P498" s="33" t="s">
        <v>7207</v>
      </c>
      <c r="Q498" s="31" t="s">
        <v>6203</v>
      </c>
      <c r="R498" s="31" t="s">
        <v>53</v>
      </c>
      <c r="S498" s="31" t="s">
        <v>4115</v>
      </c>
      <c r="T498" s="31">
        <v>1</v>
      </c>
      <c r="U498" s="31" t="s">
        <v>1723</v>
      </c>
      <c r="V498" s="31" t="s">
        <v>7208</v>
      </c>
      <c r="W498" s="31" t="s">
        <v>7209</v>
      </c>
      <c r="X498" s="219">
        <v>45782.46875</v>
      </c>
      <c r="Y498" s="31" t="s">
        <v>7210</v>
      </c>
      <c r="Z498" s="31">
        <v>0.5</v>
      </c>
      <c r="AA498" s="31"/>
      <c r="AB498" s="31" t="s">
        <v>1724</v>
      </c>
      <c r="AC498" s="33" t="s">
        <v>7211</v>
      </c>
      <c r="AD498" s="31"/>
      <c r="AE498" s="31"/>
      <c r="AF498" s="31"/>
      <c r="AG498" s="31"/>
      <c r="AH498" s="31"/>
      <c r="AI498" s="31"/>
      <c r="AJ498" s="31"/>
      <c r="AK498" s="31" t="s">
        <v>1725</v>
      </c>
      <c r="AL498" s="358">
        <f t="shared" ref="AL498:AL500" si="22">DATEVALUE(TEXT(I498, "yyyy/mm/dd"))</f>
        <v>45780</v>
      </c>
      <c r="AM498"/>
    </row>
    <row r="499" spans="1:39" s="27" customFormat="1" ht="21.6" customHeight="1">
      <c r="A499" s="28">
        <v>19</v>
      </c>
      <c r="B499" s="28" t="s">
        <v>5040</v>
      </c>
      <c r="C499" s="28">
        <v>2025050347</v>
      </c>
      <c r="D499" s="28" t="s">
        <v>7212</v>
      </c>
      <c r="E499" s="28" t="s">
        <v>5042</v>
      </c>
      <c r="F499" s="28">
        <v>2321</v>
      </c>
      <c r="G499" s="28" t="s">
        <v>90</v>
      </c>
      <c r="H499" s="28" t="s">
        <v>1751</v>
      </c>
      <c r="I499" s="28" t="s">
        <v>7213</v>
      </c>
      <c r="J499" s="28" t="s">
        <v>5583</v>
      </c>
      <c r="K499" s="28" t="s">
        <v>5423</v>
      </c>
      <c r="L499" s="28" t="s">
        <v>5269</v>
      </c>
      <c r="M499" s="29" t="s">
        <v>5270</v>
      </c>
      <c r="N499" s="28">
        <v>5804</v>
      </c>
      <c r="O499" s="29" t="s">
        <v>5316</v>
      </c>
      <c r="P499" s="30" t="s">
        <v>7214</v>
      </c>
      <c r="Q499" s="28" t="s">
        <v>5090</v>
      </c>
      <c r="R499" s="28" t="s">
        <v>53</v>
      </c>
      <c r="S499" s="28" t="s">
        <v>4115</v>
      </c>
      <c r="T499" s="28">
        <v>1</v>
      </c>
      <c r="U499" s="28" t="s">
        <v>1723</v>
      </c>
      <c r="V499" s="28" t="s">
        <v>7215</v>
      </c>
      <c r="W499" s="28" t="s">
        <v>7216</v>
      </c>
      <c r="X499" s="138">
        <v>45782.410416666666</v>
      </c>
      <c r="Y499" s="28" t="s">
        <v>7210</v>
      </c>
      <c r="Z499" s="28">
        <v>0.5</v>
      </c>
      <c r="AA499" s="28"/>
      <c r="AB499" s="28" t="s">
        <v>1724</v>
      </c>
      <c r="AC499" s="30" t="s">
        <v>7217</v>
      </c>
      <c r="AD499" s="28"/>
      <c r="AE499" s="28"/>
      <c r="AF499" s="28"/>
      <c r="AG499" s="28"/>
      <c r="AH499" s="28"/>
      <c r="AI499" s="28"/>
      <c r="AJ499" s="28"/>
      <c r="AK499" s="28" t="s">
        <v>1725</v>
      </c>
      <c r="AL499" s="358">
        <f t="shared" si="22"/>
        <v>45780</v>
      </c>
      <c r="AM499"/>
    </row>
    <row r="500" spans="1:39" s="27" customFormat="1" ht="21.6" customHeight="1">
      <c r="A500" s="31">
        <v>20</v>
      </c>
      <c r="B500" s="31" t="s">
        <v>1728</v>
      </c>
      <c r="C500" s="31">
        <v>2025050405</v>
      </c>
      <c r="D500" s="31"/>
      <c r="E500" s="31"/>
      <c r="F500" s="31">
        <v>2349</v>
      </c>
      <c r="G500" s="31" t="s">
        <v>4088</v>
      </c>
      <c r="H500" s="31" t="s">
        <v>1751</v>
      </c>
      <c r="I500" s="31"/>
      <c r="J500" s="31"/>
      <c r="K500" s="31"/>
      <c r="L500" s="31"/>
      <c r="M500" s="32"/>
      <c r="N500" s="31"/>
      <c r="O500" s="32"/>
      <c r="P500" s="32"/>
      <c r="Q500" s="31" t="s">
        <v>6203</v>
      </c>
      <c r="R500" s="31" t="s">
        <v>53</v>
      </c>
      <c r="S500" s="31" t="s">
        <v>4115</v>
      </c>
      <c r="T500" s="31">
        <v>1</v>
      </c>
      <c r="U500" s="31" t="s">
        <v>1723</v>
      </c>
      <c r="V500" s="31" t="s">
        <v>7218</v>
      </c>
      <c r="W500" s="31" t="s">
        <v>7209</v>
      </c>
      <c r="X500" s="219">
        <v>45782.470138888886</v>
      </c>
      <c r="Y500" s="31"/>
      <c r="Z500" s="31">
        <v>0.5</v>
      </c>
      <c r="AA500" s="31"/>
      <c r="AB500" s="31" t="s">
        <v>1724</v>
      </c>
      <c r="AC500" s="32" t="s">
        <v>5116</v>
      </c>
      <c r="AD500" s="31" t="s">
        <v>1725</v>
      </c>
      <c r="AE500" s="31"/>
      <c r="AF500" s="31"/>
      <c r="AG500" s="31"/>
      <c r="AH500" s="31"/>
      <c r="AI500" s="31"/>
      <c r="AJ500" s="31" t="s">
        <v>1725</v>
      </c>
      <c r="AK500" s="31" t="s">
        <v>1725</v>
      </c>
      <c r="AL500" s="358" t="e">
        <f t="shared" si="22"/>
        <v>#VALUE!</v>
      </c>
      <c r="AM500"/>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R38" sqref="R38"/>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43</v>
      </c>
      <c r="E2" s="323" t="str">
        <f>IF((C2-D2)&lt;0,"0",(C2-D2))</f>
        <v>0</v>
      </c>
      <c r="F2" s="325" t="str">
        <f>ROUND(IF((D2/C2)&gt;1,1,(D2/C2))*100,0)&amp;"%"</f>
        <v>100%</v>
      </c>
      <c r="G2" s="324">
        <f>COUNTIFS(門市主檔!E:E,J1,門市主檔!Y:Y,"STAR")</f>
        <v>93</v>
      </c>
      <c r="H2" s="324">
        <f>COUNTIF($G$7:$G$150,"已更換")</f>
        <v>40</v>
      </c>
      <c r="I2" s="324">
        <f>COUNTIF($G$7:$G$150,"未更換")</f>
        <v>51</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4</v>
      </c>
      <c r="E3" s="323">
        <f t="shared" ref="E3:E4" si="0">IF((C3-D3)&lt;0,"0",(C3-D3))</f>
        <v>35</v>
      </c>
      <c r="F3" s="325" t="str">
        <f t="shared" ref="F3:F4" si="1">ROUND(IF((D3/C3)&gt;1,1,(D3/C3))*100,0)&amp;"%"</f>
        <v>10%</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47</v>
      </c>
      <c r="E5" s="363">
        <f t="shared" si="2"/>
        <v>74</v>
      </c>
      <c r="F5" s="364" t="str">
        <f>ROUND(IF((D5/C5)&gt;1,1,(D5/C5))*100,0)&amp;"%"</f>
        <v>40%</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t="s">
        <v>20</v>
      </c>
      <c r="B23" s="209" t="str">
        <f>VLOOKUP(A23,門市主檔!A:B,2,FALSE)</f>
        <v>三重正義北店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三重區</v>
      </c>
      <c r="J23" s="217">
        <v>45702.479861111111</v>
      </c>
      <c r="K23" s="210"/>
      <c r="L23" s="210"/>
      <c r="M23" s="210"/>
      <c r="N23" s="210"/>
      <c r="O23" s="210"/>
      <c r="P23" s="204" t="s">
        <v>52</v>
      </c>
      <c r="Q23" s="214" t="s">
        <v>4114</v>
      </c>
    </row>
    <row r="24" spans="1:17" ht="19.5" customHeight="1">
      <c r="A24" s="209">
        <v>3957</v>
      </c>
      <c r="B24" s="209" t="str">
        <f>VLOOKUP(A24,門市主檔!A:B,2,FALSE)</f>
        <v>三重福仁店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三重區</v>
      </c>
      <c r="J24" s="217">
        <v>45720.640972222223</v>
      </c>
      <c r="K24" s="210"/>
      <c r="L24" s="210"/>
      <c r="M24" s="210"/>
      <c r="N24" s="210"/>
      <c r="O24" s="210"/>
      <c r="P24" s="204" t="s">
        <v>52</v>
      </c>
      <c r="Q24" s="214" t="s">
        <v>4114</v>
      </c>
    </row>
    <row r="25" spans="1:17" ht="19.5" customHeight="1">
      <c r="A25" s="209" t="s">
        <v>27</v>
      </c>
      <c r="B25" s="209" t="str">
        <f>VLOOKUP(A25,門市主檔!A:B,2,FALSE)</f>
        <v>三重車路頭</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未更換</v>
      </c>
      <c r="H25" s="287">
        <f>VLOOKUP(A25,門市主檔!A:U,21,FALSE)</f>
        <v>1</v>
      </c>
      <c r="I25" s="209" t="str">
        <f>VLOOKUP(A25,'0919門市清單主檔'!B:V,21,FALSE)</f>
        <v>三重區</v>
      </c>
      <c r="J25" s="217">
        <v>45715.510416666664</v>
      </c>
      <c r="K25" s="210"/>
      <c r="L25" s="210"/>
      <c r="M25" s="210"/>
      <c r="N25" s="210"/>
      <c r="O25" s="210"/>
      <c r="P25" s="204" t="s">
        <v>52</v>
      </c>
      <c r="Q25" s="214" t="s">
        <v>4114</v>
      </c>
    </row>
    <row r="26" spans="1:17" ht="19.5" customHeight="1">
      <c r="A26" s="209">
        <v>4196</v>
      </c>
      <c r="B26" s="209" t="str">
        <f>VLOOKUP(A26,門市主檔!A:B,2,FALSE)</f>
        <v>三重蝶愛店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三重區</v>
      </c>
      <c r="J26" s="217">
        <v>45708.611805555556</v>
      </c>
      <c r="K26" s="210"/>
      <c r="L26" s="210"/>
      <c r="M26" s="210"/>
      <c r="N26" s="210"/>
      <c r="O26" s="210"/>
      <c r="P26" s="204" t="s">
        <v>52</v>
      </c>
      <c r="Q26" s="214" t="s">
        <v>4114</v>
      </c>
    </row>
    <row r="27" spans="1:17" ht="19.5" customHeight="1">
      <c r="A27" s="209" t="s">
        <v>39</v>
      </c>
      <c r="B27" s="209" t="str">
        <f>VLOOKUP(A27,門市主檔!A:B,2,FALSE)</f>
        <v>北縣三愛三店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三重區</v>
      </c>
      <c r="J27" s="217">
        <v>45719.661805555559</v>
      </c>
      <c r="K27" s="210"/>
      <c r="L27" s="210"/>
      <c r="M27" s="210"/>
      <c r="N27" s="210"/>
      <c r="O27" s="210"/>
      <c r="P27" s="204" t="s">
        <v>52</v>
      </c>
      <c r="Q27" s="214" t="s">
        <v>4114</v>
      </c>
    </row>
    <row r="28" spans="1:17" ht="19.5" customHeight="1">
      <c r="A28" s="209">
        <v>4210</v>
      </c>
      <c r="B28" s="209" t="str">
        <f>VLOOKUP(A28,門市主檔!A:B,2,FALSE)</f>
        <v>三重福華店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三重區</v>
      </c>
      <c r="J28" s="217">
        <v>45708.633333333331</v>
      </c>
      <c r="K28" s="210"/>
      <c r="L28" s="210"/>
      <c r="M28" s="210"/>
      <c r="N28" s="210"/>
      <c r="O28" s="210"/>
      <c r="P28" s="204" t="s">
        <v>52</v>
      </c>
      <c r="Q28" s="214" t="s">
        <v>4114</v>
      </c>
    </row>
    <row r="29" spans="1:17" ht="19.5" customHeight="1">
      <c r="A29" s="209">
        <v>4388</v>
      </c>
      <c r="B29" s="209" t="str">
        <f>VLOOKUP(A29,門市主檔!A:B,2,FALSE)</f>
        <v>三重薔薇店</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IF(COUNTBLANK(C29:E29)=3,"未保養","")</f>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三重區</v>
      </c>
      <c r="J29" s="217">
        <v>45702.684027777781</v>
      </c>
      <c r="K29" s="204"/>
      <c r="L29" s="204"/>
      <c r="M29" s="204"/>
      <c r="N29" s="204"/>
      <c r="O29" s="204"/>
      <c r="P29" s="204" t="s">
        <v>52</v>
      </c>
      <c r="Q29" s="214" t="s">
        <v>4114</v>
      </c>
    </row>
    <row r="30" spans="1:17" ht="19.5" customHeight="1">
      <c r="A30" s="209">
        <v>2042</v>
      </c>
      <c r="B30" s="209" t="str">
        <f>VLOOKUP(A30,門市主檔!A:B,2,FALSE)</f>
        <v>三重中央北店</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IF(COUNTBLANK(C30:E30)=3,"未保養","")</f>
        <v>未保養</v>
      </c>
      <c r="G30" s="209" t="str">
        <f>IF(AND(VLOOKUP(A30,門市主檔!A:Y,25,FALSE)="STAR", VLOOKUP(A30,門市主檔!A:N,14,FALSE)=""),
    IF(OR(C30="V", D30="V", E30="V"), "已PM未更換", "未更換"),
    IF(VLOOKUP(A30,門市主檔!A:Y,25,FALSE)&lt;&gt;"STAR", "無專案", "已更換")
)</f>
        <v>未更換</v>
      </c>
      <c r="H30" s="287">
        <f>VLOOKUP(A30,門市主檔!A:U,21,FALSE)</f>
        <v>2</v>
      </c>
      <c r="I30" s="209" t="str">
        <f>VLOOKUP(A30,'0919門市清單主檔'!B:V,21,FALSE)</f>
        <v>三重區</v>
      </c>
      <c r="J30" s="217">
        <v>45701.588194444441</v>
      </c>
      <c r="K30" s="210"/>
      <c r="L30" s="210"/>
      <c r="M30" s="210"/>
      <c r="N30" s="210"/>
      <c r="O30" s="210"/>
      <c r="P30" s="204" t="s">
        <v>52</v>
      </c>
      <c r="Q30" s="214" t="s">
        <v>4114</v>
      </c>
    </row>
    <row r="31" spans="1:17" ht="19.5" customHeight="1">
      <c r="A31" s="209" t="s">
        <v>28</v>
      </c>
      <c r="B31" s="209" t="str">
        <f>VLOOKUP(A31,門市主檔!A:B,2,FALSE)</f>
        <v>三重維德店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IF(COUNTBLANK(C31:E31)=3,"未保養","")</f>
        <v>未保養</v>
      </c>
      <c r="G31" s="209" t="str">
        <f>IF(AND(VLOOKUP(A31,門市主檔!A:Y,25,FALSE)="STAR", VLOOKUP(A31,門市主檔!A:N,14,FALSE)=""),
    IF(OR(C31="V", D31="V", E31="V"), "已PM未更換", "未更換"),
    IF(VLOOKUP(A31,門市主檔!A:Y,25,FALSE)&lt;&gt;"STAR", "無專案", "已更換")
)</f>
        <v>未更換</v>
      </c>
      <c r="H31" s="287">
        <f>VLOOKUP(A31,門市主檔!A:U,21,FALSE)</f>
        <v>1</v>
      </c>
      <c r="I31" s="209" t="str">
        <f>VLOOKUP(A31,'0919門市清單主檔'!B:V,21,FALSE)</f>
        <v>三重區</v>
      </c>
      <c r="J31" s="217">
        <v>45719.701388888891</v>
      </c>
      <c r="K31" s="210"/>
      <c r="L31" s="210"/>
      <c r="M31" s="210"/>
      <c r="N31" s="210"/>
      <c r="O31" s="210"/>
      <c r="P31" s="204"/>
      <c r="Q31" s="214" t="s">
        <v>4114</v>
      </c>
    </row>
    <row r="32" spans="1:17" ht="19.5" customHeight="1">
      <c r="A32" s="209">
        <v>3890</v>
      </c>
      <c r="B32" s="209" t="str">
        <f>VLOOKUP(A32,門市主檔!A:B,2,FALSE)</f>
        <v>三重美堤店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IF(COUNTBLANK(C32:E32)=3,"未保養","")</f>
        <v>未保養</v>
      </c>
      <c r="G32" s="209" t="str">
        <f>IF(AND(VLOOKUP(A32,門市主檔!A:Y,25,FALSE)="STAR", VLOOKUP(A32,門市主檔!A:N,14,FALSE)=""),
    IF(OR(C32="V", D32="V", E32="V"), "已PM未更換", "未更換"),
    IF(VLOOKUP(A32,門市主檔!A:Y,25,FALSE)&lt;&gt;"STAR", "無專案", "已更換")
)</f>
        <v>未更換</v>
      </c>
      <c r="H32" s="287">
        <f>VLOOKUP(A32,門市主檔!A:U,21,FALSE)</f>
        <v>2</v>
      </c>
      <c r="I32" s="209" t="str">
        <f>VLOOKUP(A32,'0919門市清單主檔'!B:V,21,FALSE)</f>
        <v>三重區</v>
      </c>
      <c r="J32" s="217">
        <v>45660.463888888888</v>
      </c>
      <c r="K32" s="210"/>
      <c r="L32" s="210"/>
      <c r="M32" s="210"/>
      <c r="N32" s="210"/>
      <c r="O32" s="210"/>
      <c r="P32" s="204" t="s">
        <v>52</v>
      </c>
      <c r="Q32" s="214" t="s">
        <v>4114</v>
      </c>
    </row>
    <row r="33" spans="1:17" ht="19.5" customHeight="1">
      <c r="A33" s="209">
        <v>3362</v>
      </c>
      <c r="B33" s="209" t="str">
        <f>VLOOKUP(A33,門市主檔!A:B,2,FALSE)</f>
        <v>北縣重武店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IF(COUNTBLANK(C33:E33)=3,"未保養","")</f>
        <v>未保養</v>
      </c>
      <c r="G33" s="209" t="str">
        <f>IF(AND(VLOOKUP(A33,門市主檔!A:Y,25,FALSE)="STAR", VLOOKUP(A33,門市主檔!A:N,14,FALSE)=""),
    IF(OR(C33="V", D33="V", E33="V"), "已PM未更換", "未更換"),
    IF(VLOOKUP(A33,門市主檔!A:Y,25,FALSE)&lt;&gt;"STAR", "無專案", "已更換")
)</f>
        <v>未更換</v>
      </c>
      <c r="H33" s="287">
        <f>VLOOKUP(A33,門市主檔!A:U,21,FALSE)</f>
        <v>1</v>
      </c>
      <c r="I33" s="209" t="str">
        <f>VLOOKUP(A33,'0919門市清單主檔'!B:V,21,FALSE)</f>
        <v>三重區</v>
      </c>
      <c r="J33" s="217">
        <v>45660.43472222222</v>
      </c>
      <c r="K33" s="210"/>
      <c r="L33" s="210"/>
      <c r="M33" s="210"/>
      <c r="N33" s="210"/>
      <c r="O33" s="210"/>
      <c r="P33" s="204" t="s">
        <v>52</v>
      </c>
      <c r="Q33" s="214" t="s">
        <v>4114</v>
      </c>
    </row>
    <row r="34" spans="1:17" ht="19.5" customHeight="1">
      <c r="A34" s="209">
        <v>5245</v>
      </c>
      <c r="B34" s="209" t="str">
        <f>VLOOKUP(A34,門市主檔!A:B,2,FALSE)</f>
        <v>三重護山店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IF(COUNTBLANK(C34:E34)=3,"未保養","")</f>
        <v>未保養</v>
      </c>
      <c r="G34" s="209" t="str">
        <f>IF(AND(VLOOKUP(A34,門市主檔!A:Y,25,FALSE)="STAR", VLOOKUP(A34,門市主檔!A:N,14,FALSE)=""),
    IF(OR(C34="V", D34="V", E34="V"), "已PM未更換", "未更換"),
    IF(VLOOKUP(A34,門市主檔!A:Y,25,FALSE)&lt;&gt;"STAR", "無專案", "已更換")
)</f>
        <v>無專案</v>
      </c>
      <c r="H34" s="287">
        <f>VLOOKUP(A34,門市主檔!A:U,21,FALSE)</f>
        <v>0</v>
      </c>
      <c r="I34" s="209" t="str">
        <f>VLOOKUP(A34,'0919門市清單主檔'!B:V,21,FALSE)</f>
        <v>三重區</v>
      </c>
      <c r="J34" s="218">
        <v>45660.541666666664</v>
      </c>
      <c r="K34" s="210"/>
      <c r="L34" s="210"/>
      <c r="M34" s="210"/>
      <c r="N34" s="210"/>
      <c r="O34" s="210"/>
      <c r="P34" s="204"/>
      <c r="Q34" s="214" t="s">
        <v>4114</v>
      </c>
    </row>
    <row r="35" spans="1:17" ht="19.5" customHeight="1">
      <c r="A35" s="209">
        <v>2209</v>
      </c>
      <c r="B35" s="209" t="str">
        <f>VLOOKUP(A35,門市主檔!A:B,2,FALSE)</f>
        <v>北縣重強店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IF(COUNTBLANK(C35:E35)=3,"未保養","")</f>
        <v>未保養</v>
      </c>
      <c r="G35" s="209" t="str">
        <f>IF(AND(VLOOKUP(A35,門市主檔!A:Y,25,FALSE)="STAR", VLOOKUP(A35,門市主檔!A:N,14,FALSE)=""),
    IF(OR(C35="V", D35="V", E35="V"), "已PM未更換", "未更換"),
    IF(VLOOKUP(A35,門市主檔!A:Y,25,FALSE)&lt;&gt;"STAR", "無專案", "已更換")
)</f>
        <v>未更換</v>
      </c>
      <c r="H35" s="287">
        <f>VLOOKUP(A35,門市主檔!A:U,21,FALSE)</f>
        <v>1</v>
      </c>
      <c r="I35" s="209" t="str">
        <f>VLOOKUP(A35,'0919門市清單主檔'!B:V,21,FALSE)</f>
        <v>三重區</v>
      </c>
      <c r="J35" s="217">
        <v>45666.625694444447</v>
      </c>
      <c r="K35" s="210"/>
      <c r="L35" s="210"/>
      <c r="M35" s="210"/>
      <c r="N35" s="210"/>
      <c r="O35" s="210"/>
      <c r="P35" s="204" t="s">
        <v>52</v>
      </c>
      <c r="Q35" s="214" t="s">
        <v>4114</v>
      </c>
    </row>
    <row r="36" spans="1:17" ht="19.5" customHeight="1">
      <c r="A36" s="209">
        <v>4397</v>
      </c>
      <c r="B36" s="209" t="str">
        <f>VLOOKUP(A36,門市主檔!A:B,2,FALSE)</f>
        <v>三重仁旺店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IF(COUNTBLANK(C36:E36)=3,"未保養","")</f>
        <v>未保養</v>
      </c>
      <c r="G36" s="209" t="str">
        <f>IF(AND(VLOOKUP(A36,門市主檔!A:Y,25,FALSE)="STAR", VLOOKUP(A36,門市主檔!A:N,14,FALSE)=""),
    IF(OR(C36="V", D36="V", E36="V"), "已PM未更換", "未更換"),
    IF(VLOOKUP(A36,門市主檔!A:Y,25,FALSE)&lt;&gt;"STAR", "無專案", "已更換")
)</f>
        <v>未更換</v>
      </c>
      <c r="H36" s="287">
        <f>VLOOKUP(A36,門市主檔!A:U,21,FALSE)</f>
        <v>2</v>
      </c>
      <c r="I36" s="209" t="str">
        <f>VLOOKUP(A36,'0919門市清單主檔'!B:V,21,FALSE)</f>
        <v>三重區</v>
      </c>
      <c r="J36" s="217">
        <v>45670.512499999997</v>
      </c>
      <c r="K36" s="210"/>
      <c r="L36" s="210"/>
      <c r="M36" s="210"/>
      <c r="N36" s="210"/>
      <c r="O36" s="210"/>
      <c r="P36" s="204" t="s">
        <v>52</v>
      </c>
      <c r="Q36" s="214" t="s">
        <v>4114</v>
      </c>
    </row>
    <row r="37" spans="1:17" ht="19.5" customHeight="1">
      <c r="A37" s="209" t="s">
        <v>38</v>
      </c>
      <c r="B37" s="209" t="str">
        <f>VLOOKUP(A37,門市主檔!A:B,2,FALSE)</f>
        <v>三重大有店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IF(COUNTBLANK(C37:E37)=3,"未保養","")</f>
        <v>未保養</v>
      </c>
      <c r="G37" s="209" t="str">
        <f>IF(AND(VLOOKUP(A37,門市主檔!A:Y,25,FALSE)="STAR", VLOOKUP(A37,門市主檔!A:N,14,FALSE)=""),
    IF(OR(C37="V", D37="V", E37="V"), "已PM未更換", "未更換"),
    IF(VLOOKUP(A37,門市主檔!A:Y,25,FALSE)&lt;&gt;"STAR", "無專案", "已更換")
)</f>
        <v>未更換</v>
      </c>
      <c r="H37" s="287">
        <f>VLOOKUP(A37,門市主檔!A:U,21,FALSE)</f>
        <v>2</v>
      </c>
      <c r="I37" s="209" t="str">
        <f>VLOOKUP(A37,'0919門市清單主檔'!B:V,21,FALSE)</f>
        <v>三重區</v>
      </c>
      <c r="J37" s="217">
        <v>45664.631944444445</v>
      </c>
      <c r="K37" s="210"/>
      <c r="L37" s="210"/>
      <c r="M37" s="210"/>
      <c r="N37" s="210"/>
      <c r="O37" s="210"/>
      <c r="P37" s="204" t="s">
        <v>52</v>
      </c>
      <c r="Q37" s="214" t="s">
        <v>4114</v>
      </c>
    </row>
    <row r="38" spans="1:17" ht="19.5" customHeight="1">
      <c r="A38" s="209">
        <v>4968</v>
      </c>
      <c r="B38" s="209" t="str">
        <f>VLOOKUP(A38,門市主檔!A:B,2,FALSE)</f>
        <v>三重太璞宮</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IF(COUNTBLANK(C38:E38)=3,"未保養","")</f>
        <v>未保養</v>
      </c>
      <c r="G38" s="209" t="str">
        <f>IF(AND(VLOOKUP(A38,門市主檔!A:Y,25,FALSE)="STAR", VLOOKUP(A38,門市主檔!A:N,14,FALSE)=""),
    IF(OR(C38="V", D38="V", E38="V"), "已PM未更換", "未更換"),
    IF(VLOOKUP(A38,門市主檔!A:Y,25,FALSE)&lt;&gt;"STAR", "無專案", "已更換")
)</f>
        <v>未更換</v>
      </c>
      <c r="H38" s="287">
        <f>VLOOKUP(A38,門市主檔!A:U,21,FALSE)</f>
        <v>1</v>
      </c>
      <c r="I38" s="209" t="str">
        <f>VLOOKUP(A38,'0919門市清單主檔'!B:V,21,FALSE)</f>
        <v>三重區</v>
      </c>
      <c r="J38" s="217">
        <v>45664.662499999999</v>
      </c>
      <c r="K38" s="210"/>
      <c r="L38" s="210"/>
      <c r="M38" s="210"/>
      <c r="N38" s="210"/>
      <c r="O38" s="210"/>
      <c r="P38" s="204" t="s">
        <v>52</v>
      </c>
      <c r="Q38" s="214" t="s">
        <v>4114</v>
      </c>
    </row>
    <row r="39" spans="1:17" ht="19.5" customHeight="1">
      <c r="A39" s="209">
        <v>4977</v>
      </c>
      <c r="B39" s="209" t="str">
        <f>VLOOKUP(A39,門市主檔!A:B,2,FALSE)</f>
        <v>三重初戀店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IF(COUNTBLANK(C39:E39)=3,"未保養","")</f>
        <v>未保養</v>
      </c>
      <c r="G39" s="209" t="str">
        <f>IF(AND(VLOOKUP(A39,門市主檔!A:Y,25,FALSE)="STAR", VLOOKUP(A39,門市主檔!A:N,14,FALSE)=""),
    IF(OR(C39="V", D39="V", E39="V"), "已PM未更換", "未更換"),
    IF(VLOOKUP(A39,門市主檔!A:Y,25,FALSE)&lt;&gt;"STAR", "無專案", "已更換")
)</f>
        <v>已更換</v>
      </c>
      <c r="H39" s="287">
        <f>VLOOKUP(A39,門市主檔!A:U,21,FALSE)</f>
        <v>2</v>
      </c>
      <c r="I39" s="209" t="str">
        <f>VLOOKUP(A39,'0919門市清單主檔'!B:V,21,FALSE)</f>
        <v>三重區</v>
      </c>
      <c r="J39" s="217">
        <v>45691.67083333333</v>
      </c>
      <c r="K39" s="210"/>
      <c r="L39" s="210"/>
      <c r="M39" s="210"/>
      <c r="N39" s="210"/>
      <c r="O39" s="210"/>
      <c r="P39" s="204" t="s">
        <v>52</v>
      </c>
      <c r="Q39" s="214" t="s">
        <v>4114</v>
      </c>
    </row>
    <row r="40" spans="1:17" ht="19.5" customHeight="1">
      <c r="A40" s="209">
        <v>4652</v>
      </c>
      <c r="B40" s="209" t="str">
        <f>VLOOKUP(A40,門市主檔!A:B,2,FALSE)</f>
        <v>三重天富店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IF(COUNTBLANK(C40:E40)=3,"未保養","")</f>
        <v>未保養</v>
      </c>
      <c r="G40" s="209" t="str">
        <f>IF(AND(VLOOKUP(A40,門市主檔!A:Y,25,FALSE)="STAR", VLOOKUP(A40,門市主檔!A:N,14,FALSE)=""),
    IF(OR(C40="V", D40="V", E40="V"), "已PM未更換", "未更換"),
    IF(VLOOKUP(A40,門市主檔!A:Y,25,FALSE)&lt;&gt;"STAR", "無專案", "已更換")
)</f>
        <v>無專案</v>
      </c>
      <c r="H40" s="287">
        <f>VLOOKUP(A40,門市主檔!A:U,21,FALSE)</f>
        <v>0</v>
      </c>
      <c r="I40" s="209" t="str">
        <f>VLOOKUP(A40,'0919門市清單主檔'!B:V,21,FALSE)</f>
        <v>三重區</v>
      </c>
      <c r="J40" s="217">
        <v>45673.659722222219</v>
      </c>
      <c r="K40" s="210"/>
      <c r="L40" s="210"/>
      <c r="M40" s="210"/>
      <c r="N40" s="210"/>
      <c r="O40" s="210"/>
      <c r="P40" s="204" t="s">
        <v>52</v>
      </c>
      <c r="Q40" s="214" t="s">
        <v>4114</v>
      </c>
    </row>
    <row r="41" spans="1:17" ht="19.5" customHeight="1">
      <c r="A41" s="209">
        <v>4101</v>
      </c>
      <c r="B41" s="209" t="str">
        <f>VLOOKUP(A41,門市主檔!A:B,2,FALSE)</f>
        <v>三重溪華店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IF(COUNTBLANK(C41:E41)=3,"未保養","")</f>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三重區</v>
      </c>
      <c r="J41" s="217">
        <v>45691.489583333336</v>
      </c>
      <c r="K41" s="210"/>
      <c r="L41" s="210"/>
      <c r="M41" s="210"/>
      <c r="N41" s="210"/>
      <c r="O41" s="210"/>
      <c r="P41" s="204" t="s">
        <v>52</v>
      </c>
      <c r="Q41" s="214" t="s">
        <v>4114</v>
      </c>
    </row>
    <row r="42" spans="1:17" ht="19.5" customHeight="1">
      <c r="A42" s="209">
        <v>2399</v>
      </c>
      <c r="B42" s="209" t="str">
        <f>VLOOKUP(A42,門市主檔!A:B,2,FALSE)</f>
        <v>三重三陽店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IF(COUNTBLANK(C42:E42)=3,"未保養","")</f>
        <v>未保養</v>
      </c>
      <c r="G42" s="209" t="str">
        <f>IF(AND(VLOOKUP(A42,門市主檔!A:Y,25,FALSE)="STAR", VLOOKUP(A42,門市主檔!A:N,14,FALSE)=""),
    IF(OR(C42="V", D42="V", E42="V"), "已PM未更換", "未更換"),
    IF(VLOOKUP(A42,門市主檔!A:Y,25,FALSE)&lt;&gt;"STAR", "無專案", "已更換")
)</f>
        <v>無專案</v>
      </c>
      <c r="H42" s="287">
        <f>VLOOKUP(A42,門市主檔!A:U,21,FALSE)</f>
        <v>0</v>
      </c>
      <c r="I42" s="209" t="str">
        <f>VLOOKUP(A42,'0919門市清單主檔'!B:V,21,FALSE)</f>
        <v>三重區</v>
      </c>
      <c r="J42" s="217">
        <v>45673.697916666664</v>
      </c>
      <c r="K42" s="210"/>
      <c r="L42" s="210"/>
      <c r="M42" s="210"/>
      <c r="N42" s="210"/>
      <c r="O42" s="210"/>
      <c r="P42" s="204"/>
      <c r="Q42" s="214" t="s">
        <v>4114</v>
      </c>
    </row>
    <row r="43" spans="1:17" ht="19.5" customHeight="1">
      <c r="A43" s="209" t="s">
        <v>23</v>
      </c>
      <c r="B43" s="209" t="str">
        <f>VLOOKUP(A43,門市主檔!A:B,2,FALSE)</f>
        <v>三重中興北二</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IF(COUNTBLANK(C43:E43)=3,"未保養","")</f>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三重區</v>
      </c>
      <c r="J43" s="217">
        <v>45695.630555555559</v>
      </c>
      <c r="K43" s="210"/>
      <c r="L43" s="210"/>
      <c r="M43" s="210"/>
      <c r="N43" s="210"/>
      <c r="O43" s="210"/>
      <c r="P43" s="204"/>
      <c r="Q43" s="214" t="s">
        <v>4114</v>
      </c>
    </row>
    <row r="44" spans="1:17" ht="19.5" customHeight="1">
      <c r="A44" s="209">
        <v>4698</v>
      </c>
      <c r="B44" s="209" t="str">
        <f>VLOOKUP(A44,門市主檔!A:B,2,FALSE)</f>
        <v>三重頂崁店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IF(COUNTBLANK(C44:E44)=3,"未保養","")</f>
        <v>未保養</v>
      </c>
      <c r="G44" s="209" t="str">
        <f>IF(AND(VLOOKUP(A44,門市主檔!A:Y,25,FALSE)="STAR", VLOOKUP(A44,門市主檔!A:N,14,FALSE)=""),
    IF(OR(C44="V", D44="V", E44="V"), "已PM未更換", "未更換"),
    IF(VLOOKUP(A44,門市主檔!A:Y,25,FALSE)&lt;&gt;"STAR", "無專案", "已更換")
)</f>
        <v>未更換</v>
      </c>
      <c r="H44" s="287">
        <f>VLOOKUP(A44,門市主檔!A:U,21,FALSE)</f>
        <v>2</v>
      </c>
      <c r="I44" s="209" t="str">
        <f>VLOOKUP(A44,'0919門市清單主檔'!B:V,21,FALSE)</f>
        <v>三重區</v>
      </c>
      <c r="J44" s="217">
        <v>45695.669444444444</v>
      </c>
      <c r="K44" s="210"/>
      <c r="L44" s="210"/>
      <c r="M44" s="210"/>
      <c r="N44" s="210"/>
      <c r="O44" s="210"/>
      <c r="P44" s="204" t="s">
        <v>52</v>
      </c>
      <c r="Q44" s="214" t="s">
        <v>4114</v>
      </c>
    </row>
    <row r="45" spans="1:17" ht="19.5" customHeight="1">
      <c r="A45" s="209" t="s">
        <v>22</v>
      </c>
      <c r="B45" s="209" t="str">
        <f>VLOOKUP(A45,門市主檔!A:B,2,FALSE)</f>
        <v>三重中興北</v>
      </c>
      <c r="C45" s="303" t="str">
        <f>IF(COUNTIFS(IM!$F:$F,A45,IM!$AD:$AD,"O",IM!$X:$X,"&gt;="&amp;$R$1, IM!$X:$X,"&lt;="&amp;$S$1)&gt;0,"V","")</f>
        <v/>
      </c>
      <c r="D45" s="303" t="str">
        <f>IF(AND(C45&lt;&gt;"V", COUNTIFS(IM!$F:$F,A45, IM!$AD:$AD, "O", IM!$X:$X, "&gt;="&amp;$R$2, IM!$X:$X, "&lt;="&amp;$S$2)&gt;0), "V", "")</f>
        <v/>
      </c>
      <c r="E45" s="303" t="str">
        <f>IF(AND(C45&lt;&gt;"V",D45&lt;&gt;"V", COUNTIFS(IM!$F:$F, A45, IM!$AD:$AD, "O", IM!$X:$X, "&gt;="&amp;$R$3, IM!$X:$X, "&lt;="&amp;$S$3)&gt;0), "V", "")</f>
        <v/>
      </c>
      <c r="F45" s="209" t="str">
        <f>IF(COUNTBLANK(C45:E45)=3,"未保養","")</f>
        <v>未保養</v>
      </c>
      <c r="G45" s="209" t="str">
        <f>IF(AND(VLOOKUP(A45,門市主檔!A:Y,25,FALSE)="STAR", VLOOKUP(A45,門市主檔!A:N,14,FALSE)=""),
    IF(OR(C45="V", D45="V", E45="V"), "已PM未更換", "未更換"),
    IF(VLOOKUP(A45,門市主檔!A:Y,25,FALSE)&lt;&gt;"STAR", "無專案", "已更換")
)</f>
        <v>未更換</v>
      </c>
      <c r="H45" s="287">
        <f>VLOOKUP(A45,門市主檔!A:U,21,FALSE)</f>
        <v>1</v>
      </c>
      <c r="I45" s="209" t="str">
        <f>VLOOKUP(A45,'0919門市清單主檔'!B:V,21,FALSE)</f>
        <v>三重區</v>
      </c>
      <c r="J45" s="217">
        <v>45695.611805555556</v>
      </c>
      <c r="K45" s="210"/>
      <c r="L45" s="210"/>
      <c r="M45" s="210"/>
      <c r="N45" s="210"/>
      <c r="O45" s="210"/>
      <c r="P45" s="204" t="s">
        <v>52</v>
      </c>
      <c r="Q45" s="214" t="s">
        <v>4114</v>
      </c>
    </row>
    <row r="46" spans="1:17" ht="19.5" customHeight="1">
      <c r="A46" s="209">
        <v>4906</v>
      </c>
      <c r="B46" s="209" t="str">
        <f>VLOOKUP(A46,門市主檔!A:B,2,FALSE)</f>
        <v>金山銀山店</v>
      </c>
      <c r="C46" s="303" t="str">
        <f>IF(COUNTIFS(IM!$F:$F,A46,IM!$AD:$AD,"O",IM!$X:$X,"&gt;="&amp;$R$1, IM!$X:$X,"&lt;="&amp;$S$1)&gt;0,"V","")</f>
        <v/>
      </c>
      <c r="D46" s="303" t="str">
        <f>IF(AND(C46&lt;&gt;"V", COUNTIFS(IM!$F:$F,A46, IM!$AD:$AD, "O", IM!$X:$X, "&gt;="&amp;$R$2, IM!$X:$X, "&lt;="&amp;$S$2)&gt;0), "V", "")</f>
        <v/>
      </c>
      <c r="E46" s="303" t="str">
        <f>IF(AND(C46&lt;&gt;"V",D46&lt;&gt;"V", COUNTIFS(IM!$F:$F, A46, IM!$AD:$AD, "O", IM!$X:$X, "&gt;="&amp;$R$3, IM!$X:$X, "&lt;="&amp;$S$3)&gt;0), "V", "")</f>
        <v/>
      </c>
      <c r="F46" s="209" t="str">
        <f>IF(COUNTBLANK(C46:E46)=3,"未保養","")</f>
        <v>未保養</v>
      </c>
      <c r="G46" s="209" t="str">
        <f>IF(AND(VLOOKUP(A46,門市主檔!A:Y,25,FALSE)="STAR", VLOOKUP(A46,門市主檔!A:N,14,FALSE)=""),
    IF(OR(C46="V", D46="V", E46="V"), "已PM未更換", "未更換"),
    IF(VLOOKUP(A46,門市主檔!A:Y,25,FALSE)&lt;&gt;"STAR", "無專案", "已更換")
)</f>
        <v>無專案</v>
      </c>
      <c r="H46" s="287">
        <f>VLOOKUP(A46,門市主檔!A:U,21,FALSE)</f>
        <v>0</v>
      </c>
      <c r="I46" s="209" t="str">
        <f>VLOOKUP(A46,'0919門市清單主檔'!B:V,21,FALSE)</f>
        <v>金山區</v>
      </c>
      <c r="J46" s="217">
        <v>45679.57708333333</v>
      </c>
      <c r="K46" s="210"/>
      <c r="L46" s="210"/>
      <c r="M46" s="210"/>
      <c r="N46" s="210"/>
      <c r="O46" s="210"/>
      <c r="P46" s="204"/>
      <c r="Q46" s="214" t="s">
        <v>4114</v>
      </c>
    </row>
    <row r="47" spans="1:17" ht="19.5" customHeight="1">
      <c r="A47" s="209">
        <v>2897</v>
      </c>
      <c r="B47" s="209" t="str">
        <f>VLOOKUP(A47,門市主檔!A:B,2,FALSE)</f>
        <v>淡水台電宿舍</v>
      </c>
      <c r="C47" s="303" t="str">
        <f>IF(COUNTIFS(IM!$F:$F,A47,IM!$AD:$AD,"O",IM!$X:$X,"&gt;="&amp;$R$1, IM!$X:$X,"&lt;="&amp;$S$1)&gt;0,"V","")</f>
        <v/>
      </c>
      <c r="D47" s="303" t="str">
        <f>IF(AND(C47&lt;&gt;"V", COUNTIFS(IM!$F:$F,A47, IM!$AD:$AD, "O", IM!$X:$X, "&gt;="&amp;$R$2, IM!$X:$X, "&lt;="&amp;$S$2)&gt;0), "V", "")</f>
        <v/>
      </c>
      <c r="E47" s="303" t="str">
        <f>IF(AND(C47&lt;&gt;"V",D47&lt;&gt;"V", COUNTIFS(IM!$F:$F, A47, IM!$AD:$AD, "O", IM!$X:$X, "&gt;="&amp;$R$3, IM!$X:$X, "&lt;="&amp;$S$3)&gt;0), "V", "")</f>
        <v/>
      </c>
      <c r="F47" s="209" t="str">
        <f>IF(COUNTBLANK(C47:E47)=3,"未保養","")</f>
        <v>未保養</v>
      </c>
      <c r="G47" s="209" t="str">
        <f>IF(AND(VLOOKUP(A47,門市主檔!A:Y,25,FALSE)="STAR", VLOOKUP(A47,門市主檔!A:N,14,FALSE)=""),
    IF(OR(C47="V", D47="V", E47="V"), "已PM未更換", "未更換"),
    IF(VLOOKUP(A47,門市主檔!A:Y,25,FALSE)&lt;&gt;"STAR", "無專案", "已更換")
)</f>
        <v>已更換</v>
      </c>
      <c r="H47" s="287">
        <f>VLOOKUP(A47,門市主檔!A:U,21,FALSE)</f>
        <v>2</v>
      </c>
      <c r="I47" s="209" t="str">
        <f>VLOOKUP(A47,'0919門市清單主檔'!B:V,21,FALSE)</f>
        <v>淡水區</v>
      </c>
      <c r="J47" s="217">
        <v>45730.512499999997</v>
      </c>
      <c r="K47" s="210"/>
      <c r="L47" s="210"/>
      <c r="M47" s="210"/>
      <c r="N47" s="210"/>
      <c r="O47" s="210"/>
      <c r="P47" s="204"/>
      <c r="Q47" s="214" t="s">
        <v>4114</v>
      </c>
    </row>
    <row r="48" spans="1:17" ht="19.5" customHeight="1">
      <c r="A48" s="209">
        <v>4298</v>
      </c>
      <c r="B48" s="209" t="str">
        <f>VLOOKUP(A48,門市主檔!A:B,2,FALSE)</f>
        <v>淡水後洲店</v>
      </c>
      <c r="C48" s="303" t="str">
        <f>IF(COUNTIFS(IM!$F:$F,A48,IM!$AD:$AD,"O",IM!$X:$X,"&gt;="&amp;$R$1, IM!$X:$X,"&lt;="&amp;$S$1)&gt;0,"V","")</f>
        <v/>
      </c>
      <c r="D48" s="303" t="str">
        <f>IF(AND(C48&lt;&gt;"V", COUNTIFS(IM!$F:$F,A48, IM!$AD:$AD, "O", IM!$X:$X, "&gt;="&amp;$R$2, IM!$X:$X, "&lt;="&amp;$S$2)&gt;0), "V", "")</f>
        <v/>
      </c>
      <c r="E48" s="303" t="str">
        <f>IF(AND(C48&lt;&gt;"V",D48&lt;&gt;"V", COUNTIFS(IM!$F:$F, A48, IM!$AD:$AD, "O", IM!$X:$X, "&gt;="&amp;$R$3, IM!$X:$X, "&lt;="&amp;$S$3)&gt;0), "V", "")</f>
        <v/>
      </c>
      <c r="F48" s="209" t="str">
        <f>IF(COUNTBLANK(C48:E48)=3,"未保養","")</f>
        <v>未保養</v>
      </c>
      <c r="G48" s="209" t="str">
        <f>IF(AND(VLOOKUP(A48,門市主檔!A:Y,25,FALSE)="STAR", VLOOKUP(A48,門市主檔!A:N,14,FALSE)=""),
    IF(OR(C48="V", D48="V", E48="V"), "已PM未更換", "未更換"),
    IF(VLOOKUP(A48,門市主檔!A:Y,25,FALSE)&lt;&gt;"STAR", "無專案", "已更換")
)</f>
        <v>未更換</v>
      </c>
      <c r="H48" s="287">
        <f>VLOOKUP(A48,門市主檔!A:U,21,FALSE)</f>
        <v>2</v>
      </c>
      <c r="I48" s="209" t="str">
        <f>VLOOKUP(A48,'0919門市清單主檔'!B:V,21,FALSE)</f>
        <v>淡水區</v>
      </c>
      <c r="J48" s="217">
        <v>45730.588888888888</v>
      </c>
      <c r="K48" s="210"/>
      <c r="L48" s="210"/>
      <c r="M48" s="210"/>
      <c r="N48" s="210"/>
      <c r="O48" s="210"/>
      <c r="P48" s="204"/>
      <c r="Q48" s="214" t="s">
        <v>4114</v>
      </c>
    </row>
    <row r="49" spans="1:17" ht="19.5" customHeight="1">
      <c r="A49" s="209">
        <v>4788</v>
      </c>
      <c r="B49" s="209" t="str">
        <f>VLOOKUP(A49,門市主檔!A:B,2,FALSE)</f>
        <v>淡水國家店</v>
      </c>
      <c r="C49" s="303" t="str">
        <f>IF(COUNTIFS(IM!$F:$F,A49,IM!$AD:$AD,"O",IM!$X:$X,"&gt;="&amp;$R$1, IM!$X:$X,"&lt;="&amp;$S$1)&gt;0,"V","")</f>
        <v/>
      </c>
      <c r="D49" s="303" t="str">
        <f>IF(AND(C49&lt;&gt;"V", COUNTIFS(IM!$F:$F,A49, IM!$AD:$AD, "O", IM!$X:$X, "&gt;="&amp;$R$2, IM!$X:$X, "&lt;="&amp;$S$2)&gt;0), "V", "")</f>
        <v/>
      </c>
      <c r="E49" s="303" t="str">
        <f>IF(AND(C49&lt;&gt;"V",D49&lt;&gt;"V", COUNTIFS(IM!$F:$F, A49, IM!$AD:$AD, "O", IM!$X:$X, "&gt;="&amp;$R$3, IM!$X:$X, "&lt;="&amp;$S$3)&gt;0), "V", "")</f>
        <v/>
      </c>
      <c r="F49" s="209" t="str">
        <f>IF(COUNTBLANK(C49:E49)=3,"未保養","")</f>
        <v>未保養</v>
      </c>
      <c r="G49" s="209" t="str">
        <f>IF(AND(VLOOKUP(A49,門市主檔!A:Y,25,FALSE)="STAR", VLOOKUP(A49,門市主檔!A:N,14,FALSE)=""),
    IF(OR(C49="V", D49="V", E49="V"), "已PM未更換", "未更換"),
    IF(VLOOKUP(A49,門市主檔!A:Y,25,FALSE)&lt;&gt;"STAR", "無專案", "已更換")
)</f>
        <v>未更換</v>
      </c>
      <c r="H49" s="287">
        <f>VLOOKUP(A49,門市主檔!A:U,21,FALSE)</f>
        <v>2</v>
      </c>
      <c r="I49" s="209" t="str">
        <f>VLOOKUP(A49,'0919門市清單主檔'!B:V,21,FALSE)</f>
        <v>淡水區</v>
      </c>
      <c r="J49" s="217">
        <v>45730.568055555559</v>
      </c>
      <c r="K49" s="210"/>
      <c r="L49" s="210"/>
      <c r="M49" s="210"/>
      <c r="N49" s="210"/>
      <c r="O49" s="210"/>
      <c r="P49" s="204"/>
      <c r="Q49" s="214" t="s">
        <v>4114</v>
      </c>
    </row>
    <row r="50" spans="1:17" ht="19.5" customHeight="1">
      <c r="A50" s="209">
        <v>3751</v>
      </c>
      <c r="B50" s="209" t="str">
        <f>VLOOKUP(A50,門市主檔!A:B,2,FALSE)</f>
        <v>淡水真理大</v>
      </c>
      <c r="C50" s="303" t="str">
        <f>IF(COUNTIFS(IM!$F:$F,A50,IM!$AD:$AD,"O",IM!$X:$X,"&gt;="&amp;$R$1, IM!$X:$X,"&lt;="&amp;$S$1)&gt;0,"V","")</f>
        <v/>
      </c>
      <c r="D50" s="303" t="str">
        <f>IF(AND(C50&lt;&gt;"V", COUNTIFS(IM!$F:$F,A50, IM!$AD:$AD, "O", IM!$X:$X, "&gt;="&amp;$R$2, IM!$X:$X, "&lt;="&amp;$S$2)&gt;0), "V", "")</f>
        <v/>
      </c>
      <c r="E50" s="303" t="str">
        <f>IF(AND(C50&lt;&gt;"V",D50&lt;&gt;"V", COUNTIFS(IM!$F:$F, A50, IM!$AD:$AD, "O", IM!$X:$X, "&gt;="&amp;$R$3, IM!$X:$X, "&lt;="&amp;$S$3)&gt;0), "V", "")</f>
        <v/>
      </c>
      <c r="F50" s="209" t="str">
        <f>IF(COUNTBLANK(C50:E50)=3,"未保養","")</f>
        <v>未保養</v>
      </c>
      <c r="G50" s="209" t="str">
        <f>IF(AND(VLOOKUP(A50,門市主檔!A:Y,25,FALSE)="STAR", VLOOKUP(A50,門市主檔!A:N,14,FALSE)=""),
    IF(OR(C50="V", D50="V", E50="V"), "已PM未更換", "未更換"),
    IF(VLOOKUP(A50,門市主檔!A:Y,25,FALSE)&lt;&gt;"STAR", "無專案", "已更換")
)</f>
        <v>未更換</v>
      </c>
      <c r="H50" s="287">
        <f>VLOOKUP(A50,門市主檔!A:U,21,FALSE)</f>
        <v>2</v>
      </c>
      <c r="I50" s="209" t="str">
        <f>VLOOKUP(A50,'0919門市清單主檔'!B:V,21,FALSE)</f>
        <v>淡水區</v>
      </c>
      <c r="J50" s="217">
        <v>45723.651388888888</v>
      </c>
      <c r="K50" s="210"/>
      <c r="L50" s="210"/>
      <c r="M50" s="210"/>
      <c r="N50" s="210"/>
      <c r="O50" s="210"/>
      <c r="P50" s="204" t="s">
        <v>52</v>
      </c>
      <c r="Q50" s="214" t="s">
        <v>4114</v>
      </c>
    </row>
    <row r="51" spans="1:17" ht="19.5" customHeight="1">
      <c r="A51" s="209">
        <v>4093</v>
      </c>
      <c r="B51" s="209" t="str">
        <f>VLOOKUP(A51,門市主檔!A:B,2,FALSE)</f>
        <v>淡水新市一</v>
      </c>
      <c r="C51" s="303" t="str">
        <f>IF(COUNTIFS(IM!$F:$F,A51,IM!$AD:$AD,"O",IM!$X:$X,"&gt;="&amp;$R$1, IM!$X:$X,"&lt;="&amp;$S$1)&gt;0,"V","")</f>
        <v/>
      </c>
      <c r="D51" s="303" t="str">
        <f>IF(AND(C51&lt;&gt;"V", COUNTIFS(IM!$F:$F,A51, IM!$AD:$AD, "O", IM!$X:$X, "&gt;="&amp;$R$2, IM!$X:$X, "&lt;="&amp;$S$2)&gt;0), "V", "")</f>
        <v/>
      </c>
      <c r="E51" s="303" t="str">
        <f>IF(AND(C51&lt;&gt;"V",D51&lt;&gt;"V", COUNTIFS(IM!$F:$F, A51, IM!$AD:$AD, "O", IM!$X:$X, "&gt;="&amp;$R$3, IM!$X:$X, "&lt;="&amp;$S$3)&gt;0), "V", "")</f>
        <v/>
      </c>
      <c r="F51" s="209" t="str">
        <f>IF(COUNTBLANK(C51:E51)=3,"未保養","")</f>
        <v>未保養</v>
      </c>
      <c r="G51" s="209" t="str">
        <f>IF(AND(VLOOKUP(A51,門市主檔!A:Y,25,FALSE)="STAR", VLOOKUP(A51,門市主檔!A:N,14,FALSE)=""),
    IF(OR(C51="V", D51="V", E51="V"), "已PM未更換", "未更換"),
    IF(VLOOKUP(A51,門市主檔!A:Y,25,FALSE)&lt;&gt;"STAR", "無專案", "已更換")
)</f>
        <v>未更換</v>
      </c>
      <c r="H51" s="287">
        <f>VLOOKUP(A51,門市主檔!A:U,21,FALSE)</f>
        <v>1</v>
      </c>
      <c r="I51" s="209" t="str">
        <f>VLOOKUP(A51,'0919門市清單主檔'!B:V,21,FALSE)</f>
        <v>淡水區</v>
      </c>
      <c r="J51" s="217">
        <v>45730.545138888891</v>
      </c>
      <c r="K51" s="210"/>
      <c r="L51" s="210"/>
      <c r="M51" s="210"/>
      <c r="N51" s="210"/>
      <c r="O51" s="210"/>
      <c r="P51" s="204" t="s">
        <v>52</v>
      </c>
      <c r="Q51" s="214" t="s">
        <v>4114</v>
      </c>
    </row>
    <row r="52" spans="1:17" ht="19.5" customHeight="1">
      <c r="A52" s="209">
        <v>4153</v>
      </c>
      <c r="B52" s="209" t="str">
        <f>VLOOKUP(A52,門市主檔!A:B,2,FALSE)</f>
        <v>淡水莊園店</v>
      </c>
      <c r="C52" s="303" t="str">
        <f>IF(COUNTIFS(IM!$F:$F,A52,IM!$AD:$AD,"O",IM!$X:$X,"&gt;="&amp;$R$1, IM!$X:$X,"&lt;="&amp;$S$1)&gt;0,"V","")</f>
        <v/>
      </c>
      <c r="D52" s="303" t="str">
        <f>IF(AND(C52&lt;&gt;"V", COUNTIFS(IM!$F:$F,A52, IM!$AD:$AD, "O", IM!$X:$X, "&gt;="&amp;$R$2, IM!$X:$X, "&lt;="&amp;$S$2)&gt;0), "V", "")</f>
        <v/>
      </c>
      <c r="E52" s="303" t="str">
        <f>IF(AND(C52&lt;&gt;"V",D52&lt;&gt;"V", COUNTIFS(IM!$F:$F, A52, IM!$AD:$AD, "O", IM!$X:$X, "&gt;="&amp;$R$3, IM!$X:$X, "&lt;="&amp;$S$3)&gt;0), "V", "")</f>
        <v/>
      </c>
      <c r="F52" s="209" t="str">
        <f>IF(COUNTBLANK(C52:E52)=3,"未保養","")</f>
        <v>未保養</v>
      </c>
      <c r="G52" s="209" t="str">
        <f>IF(AND(VLOOKUP(A52,門市主檔!A:Y,25,FALSE)="STAR", VLOOKUP(A52,門市主檔!A:N,14,FALSE)=""),
    IF(OR(C52="V", D52="V", E52="V"), "已PM未更換", "未更換"),
    IF(VLOOKUP(A52,門市主檔!A:Y,25,FALSE)&lt;&gt;"STAR", "無專案", "已更換")
)</f>
        <v>未更換</v>
      </c>
      <c r="H52" s="287">
        <f>VLOOKUP(A52,門市主檔!A:U,21,FALSE)</f>
        <v>2</v>
      </c>
      <c r="I52" s="209" t="str">
        <f>VLOOKUP(A52,'0919門市清單主檔'!B:V,21,FALSE)</f>
        <v>淡水區</v>
      </c>
      <c r="J52" s="217">
        <v>45730.53125</v>
      </c>
      <c r="K52" s="210"/>
      <c r="L52" s="210"/>
      <c r="M52" s="210"/>
      <c r="N52" s="210"/>
      <c r="O52" s="210"/>
      <c r="P52" s="204" t="s">
        <v>52</v>
      </c>
      <c r="Q52" s="214" t="s">
        <v>4114</v>
      </c>
    </row>
    <row r="53" spans="1:17" ht="19.5" customHeight="1">
      <c r="A53" s="209">
        <v>4541</v>
      </c>
      <c r="B53" s="209" t="str">
        <f>VLOOKUP(A53,門市主檔!A:B,2,FALSE)</f>
        <v>淡水海天店</v>
      </c>
      <c r="C53" s="303" t="str">
        <f>IF(COUNTIFS(IM!$F:$F,A53,IM!$AD:$AD,"O",IM!$X:$X,"&gt;="&amp;$R$1, IM!$X:$X,"&lt;="&amp;$S$1)&gt;0,"V","")</f>
        <v/>
      </c>
      <c r="D53" s="303" t="str">
        <f>IF(AND(C53&lt;&gt;"V", COUNTIFS(IM!$F:$F,A53, IM!$AD:$AD, "O", IM!$X:$X, "&gt;="&amp;$R$2, IM!$X:$X, "&lt;="&amp;$S$2)&gt;0), "V", "")</f>
        <v/>
      </c>
      <c r="E53" s="303" t="str">
        <f>IF(AND(C53&lt;&gt;"V",D53&lt;&gt;"V", COUNTIFS(IM!$F:$F, A53, IM!$AD:$AD, "O", IM!$X:$X, "&gt;="&amp;$R$3, IM!$X:$X, "&lt;="&amp;$S$3)&gt;0), "V", "")</f>
        <v/>
      </c>
      <c r="F53" s="209" t="str">
        <f>IF(COUNTBLANK(C53:E53)=3,"未保養","")</f>
        <v>未保養</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淡水區</v>
      </c>
      <c r="J53" s="217">
        <v>45730.60833333333</v>
      </c>
      <c r="K53" s="210"/>
      <c r="L53" s="210"/>
      <c r="M53" s="210"/>
      <c r="N53" s="210"/>
      <c r="O53" s="210"/>
      <c r="P53" s="204" t="s">
        <v>52</v>
      </c>
      <c r="Q53" s="214" t="s">
        <v>4114</v>
      </c>
    </row>
    <row r="54" spans="1:17" ht="19.5" customHeight="1">
      <c r="A54" s="209">
        <v>4802</v>
      </c>
      <c r="B54" s="209" t="str">
        <f>VLOOKUP(A54,門市主檔!A:B,2,FALSE)</f>
        <v>淡水沙崙店</v>
      </c>
      <c r="C54" s="303" t="str">
        <f>IF(COUNTIFS(IM!$F:$F,A54,IM!$AD:$AD,"O",IM!$X:$X,"&gt;="&amp;$R$1, IM!$X:$X,"&lt;="&amp;$S$1)&gt;0,"V","")</f>
        <v/>
      </c>
      <c r="D54" s="303" t="str">
        <f>IF(AND(C54&lt;&gt;"V", COUNTIFS(IM!$F:$F,A54, IM!$AD:$AD, "O", IM!$X:$X, "&gt;="&amp;$R$2, IM!$X:$X, "&lt;="&amp;$S$2)&gt;0), "V", "")</f>
        <v/>
      </c>
      <c r="E54" s="303" t="str">
        <f>IF(AND(C54&lt;&gt;"V",D54&lt;&gt;"V", COUNTIFS(IM!$F:$F, A54, IM!$AD:$AD, "O", IM!$X:$X, "&gt;="&amp;$R$3, IM!$X:$X, "&lt;="&amp;$S$3)&gt;0), "V", "")</f>
        <v/>
      </c>
      <c r="F54" s="209" t="str">
        <f>IF(COUNTBLANK(C54:E54)=3,"未保養","")</f>
        <v>未保養</v>
      </c>
      <c r="G54" s="209" t="str">
        <f>IF(AND(VLOOKUP(A54,門市主檔!A:Y,25,FALSE)="STAR", VLOOKUP(A54,門市主檔!A:N,14,FALSE)=""),
    IF(OR(C54="V", D54="V", E54="V"), "已PM未更換", "未更換"),
    IF(VLOOKUP(A54,門市主檔!A:Y,25,FALSE)&lt;&gt;"STAR", "無專案", "已更換")
)</f>
        <v>無專案</v>
      </c>
      <c r="H54" s="287">
        <f>VLOOKUP(A54,門市主檔!A:U,21,FALSE)</f>
        <v>0</v>
      </c>
      <c r="I54" s="209" t="str">
        <f>VLOOKUP(A54,'0919門市清單主檔'!B:V,21,FALSE)</f>
        <v>淡水區</v>
      </c>
      <c r="J54" s="217">
        <v>45730.628472222219</v>
      </c>
      <c r="K54" s="210"/>
      <c r="L54" s="210"/>
      <c r="M54" s="210"/>
      <c r="N54" s="210"/>
      <c r="O54" s="210"/>
      <c r="P54" s="204" t="s">
        <v>52</v>
      </c>
      <c r="Q54" s="214" t="s">
        <v>4114</v>
      </c>
    </row>
    <row r="55" spans="1:17" ht="19.5" customHeight="1">
      <c r="A55" s="209">
        <v>4739</v>
      </c>
      <c r="B55" s="209" t="str">
        <f>VLOOKUP(A55,門市主檔!A:B,2,FALSE)</f>
        <v>淡水櫻花店</v>
      </c>
      <c r="C55" s="303" t="str">
        <f>IF(COUNTIFS(IM!$F:$F,A55,IM!$AD:$AD,"O",IM!$X:$X,"&gt;="&amp;$R$1, IM!$X:$X,"&lt;="&amp;$S$1)&gt;0,"V","")</f>
        <v/>
      </c>
      <c r="D55" s="303" t="str">
        <f>IF(AND(C55&lt;&gt;"V", COUNTIFS(IM!$F:$F,A55, IM!$AD:$AD, "O", IM!$X:$X, "&gt;="&amp;$R$2, IM!$X:$X, "&lt;="&amp;$S$2)&gt;0), "V", "")</f>
        <v/>
      </c>
      <c r="E55" s="303" t="str">
        <f>IF(AND(C55&lt;&gt;"V",D55&lt;&gt;"V", COUNTIFS(IM!$F:$F, A55, IM!$AD:$AD, "O", IM!$X:$X, "&gt;="&amp;$R$3, IM!$X:$X, "&lt;="&amp;$S$3)&gt;0), "V", "")</f>
        <v/>
      </c>
      <c r="F55" s="209" t="str">
        <f>IF(COUNTBLANK(C55:E55)=3,"未保養","")</f>
        <v>未保養</v>
      </c>
      <c r="G55" s="209" t="str">
        <f>IF(AND(VLOOKUP(A55,門市主檔!A:Y,25,FALSE)="STAR", VLOOKUP(A55,門市主檔!A:N,14,FALSE)=""),
    IF(OR(C55="V", D55="V", E55="V"), "已PM未更換", "未更換"),
    IF(VLOOKUP(A55,門市主檔!A:Y,25,FALSE)&lt;&gt;"STAR", "無專案", "已更換")
)</f>
        <v>未更換</v>
      </c>
      <c r="H55" s="287">
        <f>VLOOKUP(A55,門市主檔!A:U,21,FALSE)</f>
        <v>1</v>
      </c>
      <c r="I55" s="209" t="str">
        <f>VLOOKUP(A55,'0919門市清單主檔'!B:V,21,FALSE)</f>
        <v>淡水區</v>
      </c>
      <c r="J55" s="217">
        <v>45727.611111111109</v>
      </c>
      <c r="K55" s="210"/>
      <c r="L55" s="210"/>
      <c r="M55" s="210"/>
      <c r="N55" s="210"/>
      <c r="O55" s="210"/>
      <c r="P55" s="204" t="s">
        <v>52</v>
      </c>
      <c r="Q55" s="214" t="s">
        <v>4114</v>
      </c>
    </row>
    <row r="56" spans="1:17" ht="19.5" customHeight="1">
      <c r="A56" s="209">
        <v>5101</v>
      </c>
      <c r="B56" s="209" t="str">
        <f>VLOOKUP(A56,門市主檔!A:B,2,FALSE)</f>
        <v>淡水小坪頂</v>
      </c>
      <c r="C56" s="303" t="str">
        <f>IF(COUNTIFS(IM!$F:$F,A56,IM!$AD:$AD,"O",IM!$X:$X,"&gt;="&amp;$R$1, IM!$X:$X,"&lt;="&amp;$S$1)&gt;0,"V","")</f>
        <v/>
      </c>
      <c r="D56" s="303" t="str">
        <f>IF(AND(C56&lt;&gt;"V", COUNTIFS(IM!$F:$F,A56, IM!$AD:$AD, "O", IM!$X:$X, "&gt;="&amp;$R$2, IM!$X:$X, "&lt;="&amp;$S$2)&gt;0), "V", "")</f>
        <v/>
      </c>
      <c r="E56" s="303" t="str">
        <f>IF(AND(C56&lt;&gt;"V",D56&lt;&gt;"V", COUNTIFS(IM!$F:$F, A56, IM!$AD:$AD, "O", IM!$X:$X, "&gt;="&amp;$R$3, IM!$X:$X, "&lt;="&amp;$S$3)&gt;0), "V", "")</f>
        <v/>
      </c>
      <c r="F56" s="209" t="str">
        <f>IF(COUNTBLANK(C56:E56)=3,"未保養","")</f>
        <v>未保養</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淡水區</v>
      </c>
      <c r="J56" s="217">
        <v>45727.497916666667</v>
      </c>
      <c r="K56" s="210"/>
      <c r="L56" s="210"/>
      <c r="M56" s="210"/>
      <c r="N56" s="210"/>
      <c r="O56" s="210"/>
      <c r="P56" s="204"/>
      <c r="Q56" s="214" t="s">
        <v>4114</v>
      </c>
    </row>
    <row r="57" spans="1:17" ht="19.5" customHeight="1">
      <c r="A57" s="209">
        <v>2318</v>
      </c>
      <c r="B57" s="209" t="str">
        <f>VLOOKUP(A57,門市主檔!A:B,2,FALSE)</f>
        <v>北縣淡俊店</v>
      </c>
      <c r="C57" s="303" t="str">
        <f>IF(COUNTIFS(IM!$F:$F,A57,IM!$AD:$AD,"O",IM!$X:$X,"&gt;="&amp;$R$1, IM!$X:$X,"&lt;="&amp;$S$1)&gt;0,"V","")</f>
        <v/>
      </c>
      <c r="D57" s="303" t="str">
        <f>IF(AND(C57&lt;&gt;"V", COUNTIFS(IM!$F:$F,A57, IM!$AD:$AD, "O", IM!$X:$X, "&gt;="&amp;$R$2, IM!$X:$X, "&lt;="&amp;$S$2)&gt;0), "V", "")</f>
        <v/>
      </c>
      <c r="E57" s="303" t="str">
        <f>IF(AND(C57&lt;&gt;"V",D57&lt;&gt;"V", COUNTIFS(IM!$F:$F, A57, IM!$AD:$AD, "O", IM!$X:$X, "&gt;="&amp;$R$3, IM!$X:$X, "&lt;="&amp;$S$3)&gt;0), "V", "")</f>
        <v/>
      </c>
      <c r="F57" s="209" t="str">
        <f>IF(COUNTBLANK(C57:E57)=3,"未保養","")</f>
        <v>未保養</v>
      </c>
      <c r="G57" s="209" t="str">
        <f>IF(AND(VLOOKUP(A57,門市主檔!A:Y,25,FALSE)="STAR", VLOOKUP(A57,門市主檔!A:N,14,FALSE)=""),
    IF(OR(C57="V", D57="V", E57="V"), "已PM未更換", "未更換"),
    IF(VLOOKUP(A57,門市主檔!A:Y,25,FALSE)&lt;&gt;"STAR", "無專案", "已更換")
)</f>
        <v>已更換</v>
      </c>
      <c r="H57" s="287">
        <f>VLOOKUP(A57,門市主檔!A:U,21,FALSE)</f>
        <v>1</v>
      </c>
      <c r="I57" s="209" t="str">
        <f>VLOOKUP(A57,'0919門市清單主檔'!B:V,21,FALSE)</f>
        <v>淡水區</v>
      </c>
      <c r="J57" s="217">
        <v>45700.472916666666</v>
      </c>
      <c r="K57" s="210"/>
      <c r="L57" s="210"/>
      <c r="M57" s="210"/>
      <c r="N57" s="210"/>
      <c r="O57" s="210"/>
      <c r="P57" s="204" t="s">
        <v>52</v>
      </c>
      <c r="Q57" s="214" t="s">
        <v>4114</v>
      </c>
    </row>
    <row r="58" spans="1:17" ht="19.5" customHeight="1">
      <c r="A58" s="209">
        <v>4658</v>
      </c>
      <c r="B58" s="209" t="str">
        <f>VLOOKUP(A58,門市主檔!A:B,2,FALSE)</f>
        <v>淡水英才店</v>
      </c>
      <c r="C58" s="303" t="str">
        <f>IF(COUNTIFS(IM!$F:$F,A58,IM!$AD:$AD,"O",IM!$X:$X,"&gt;="&amp;$R$1, IM!$X:$X,"&lt;="&amp;$S$1)&gt;0,"V","")</f>
        <v/>
      </c>
      <c r="D58" s="303" t="str">
        <f>IF(AND(C58&lt;&gt;"V", COUNTIFS(IM!$F:$F,A58, IM!$AD:$AD, "O", IM!$X:$X, "&gt;="&amp;$R$2, IM!$X:$X, "&lt;="&amp;$S$2)&gt;0), "V", "")</f>
        <v/>
      </c>
      <c r="E58" s="303" t="str">
        <f>IF(AND(C58&lt;&gt;"V",D58&lt;&gt;"V", COUNTIFS(IM!$F:$F, A58, IM!$AD:$AD, "O", IM!$X:$X, "&gt;="&amp;$R$3, IM!$X:$X, "&lt;="&amp;$S$3)&gt;0), "V", "")</f>
        <v/>
      </c>
      <c r="F58" s="209" t="str">
        <f>IF(COUNTBLANK(C58:E58)=3,"未保養","")</f>
        <v>未保養</v>
      </c>
      <c r="G58" s="209" t="str">
        <f>IF(AND(VLOOKUP(A58,門市主檔!A:Y,25,FALSE)="STAR", VLOOKUP(A58,門市主檔!A:N,14,FALSE)=""),
    IF(OR(C58="V", D58="V", E58="V"), "已PM未更換", "未更換"),
    IF(VLOOKUP(A58,門市主檔!A:Y,25,FALSE)&lt;&gt;"STAR", "無專案", "已更換")
)</f>
        <v>無專案</v>
      </c>
      <c r="H58" s="287">
        <f>VLOOKUP(A58,門市主檔!A:U,21,FALSE)</f>
        <v>0</v>
      </c>
      <c r="I58" s="209" t="str">
        <f>VLOOKUP(A58,'0919門市清單主檔'!B:V,21,FALSE)</f>
        <v>淡水區</v>
      </c>
      <c r="J58" s="217">
        <v>45723.629861111112</v>
      </c>
      <c r="K58" s="210"/>
      <c r="L58" s="210"/>
      <c r="M58" s="210"/>
      <c r="N58" s="210"/>
      <c r="O58" s="210"/>
      <c r="P58" s="204"/>
      <c r="Q58" s="214" t="s">
        <v>4114</v>
      </c>
    </row>
    <row r="59" spans="1:17" ht="19.5" customHeight="1">
      <c r="A59" s="209">
        <v>4529</v>
      </c>
      <c r="B59" s="209" t="str">
        <f>VLOOKUP(A59,門市主檔!A:B,2,FALSE)</f>
        <v>淡水新洲店</v>
      </c>
      <c r="C59" s="303" t="str">
        <f>IF(COUNTIFS(IM!$F:$F,A59,IM!$AD:$AD,"O",IM!$X:$X,"&gt;="&amp;$R$1, IM!$X:$X,"&lt;="&amp;$S$1)&gt;0,"V","")</f>
        <v/>
      </c>
      <c r="D59" s="303" t="str">
        <f>IF(AND(C59&lt;&gt;"V", COUNTIFS(IM!$F:$F,A59, IM!$AD:$AD, "O", IM!$X:$X, "&gt;="&amp;$R$2, IM!$X:$X, "&lt;="&amp;$S$2)&gt;0), "V", "")</f>
        <v/>
      </c>
      <c r="E59" s="303" t="str">
        <f>IF(AND(C59&lt;&gt;"V",D59&lt;&gt;"V", COUNTIFS(IM!$F:$F, A59, IM!$AD:$AD, "O", IM!$X:$X, "&gt;="&amp;$R$3, IM!$X:$X, "&lt;="&amp;$S$3)&gt;0), "V", "")</f>
        <v/>
      </c>
      <c r="F59" s="209" t="str">
        <f>IF(COUNTBLANK(C59:E59)=3,"未保養","")</f>
        <v>未保養</v>
      </c>
      <c r="G59" s="209" t="str">
        <f>IF(AND(VLOOKUP(A59,門市主檔!A:Y,25,FALSE)="STAR", VLOOKUP(A59,門市主檔!A:N,14,FALSE)=""),
    IF(OR(C59="V", D59="V", E59="V"), "已PM未更換", "未更換"),
    IF(VLOOKUP(A59,門市主檔!A:Y,25,FALSE)&lt;&gt;"STAR", "無專案", "已更換")
)</f>
        <v>未更換</v>
      </c>
      <c r="H59" s="287">
        <f>VLOOKUP(A59,門市主檔!A:U,21,FALSE)</f>
        <v>2</v>
      </c>
      <c r="I59" s="209" t="str">
        <f>VLOOKUP(A59,'0919門市清單主檔'!B:V,21,FALSE)</f>
        <v>淡水區</v>
      </c>
      <c r="J59" s="217">
        <v>45692.496527777781</v>
      </c>
      <c r="K59" s="210"/>
      <c r="L59" s="210"/>
      <c r="M59" s="210"/>
      <c r="N59" s="210"/>
      <c r="O59" s="210"/>
      <c r="P59" s="204" t="s">
        <v>52</v>
      </c>
      <c r="Q59" s="214" t="s">
        <v>4114</v>
      </c>
    </row>
    <row r="60" spans="1:17" ht="19.5" customHeight="1">
      <c r="A60" s="209">
        <v>2749</v>
      </c>
      <c r="B60" s="209" t="str">
        <f>VLOOKUP(A60,門市主檔!A:B,2,FALSE)</f>
        <v>淡水灰瑤子</v>
      </c>
      <c r="C60" s="303" t="str">
        <f>IF(COUNTIFS(IM!$F:$F,A60,IM!$AD:$AD,"O",IM!$X:$X,"&gt;="&amp;$R$1, IM!$X:$X,"&lt;="&amp;$S$1)&gt;0,"V","")</f>
        <v/>
      </c>
      <c r="D60" s="303" t="str">
        <f>IF(AND(C60&lt;&gt;"V", COUNTIFS(IM!$F:$F,A60, IM!$AD:$AD, "O", IM!$X:$X, "&gt;="&amp;$R$2, IM!$X:$X, "&lt;="&amp;$S$2)&gt;0), "V", "")</f>
        <v/>
      </c>
      <c r="E60" s="303" t="str">
        <f>IF(AND(C60&lt;&gt;"V",D60&lt;&gt;"V", COUNTIFS(IM!$F:$F, A60, IM!$AD:$AD, "O", IM!$X:$X, "&gt;="&amp;$R$3, IM!$X:$X, "&lt;="&amp;$S$3)&gt;0), "V", "")</f>
        <v/>
      </c>
      <c r="F60" s="209" t="str">
        <f>IF(COUNTBLANK(C60:E60)=3,"未保養","")</f>
        <v>未保養</v>
      </c>
      <c r="G60" s="209" t="str">
        <f>IF(AND(VLOOKUP(A60,門市主檔!A:Y,25,FALSE)="STAR", VLOOKUP(A60,門市主檔!A:N,14,FALSE)=""),
    IF(OR(C60="V", D60="V", E60="V"), "已PM未更換", "未更換"),
    IF(VLOOKUP(A60,門市主檔!A:Y,25,FALSE)&lt;&gt;"STAR", "無專案", "已更換")
)</f>
        <v>未更換</v>
      </c>
      <c r="H60" s="287">
        <f>VLOOKUP(A60,門市主檔!A:U,21,FALSE)</f>
        <v>2</v>
      </c>
      <c r="I60" s="209" t="str">
        <f>VLOOKUP(A60,'0919門市清單主檔'!B:V,21,FALSE)</f>
        <v>淡水區</v>
      </c>
      <c r="J60" s="217">
        <v>45692.55</v>
      </c>
      <c r="K60" s="210"/>
      <c r="L60" s="210"/>
      <c r="M60" s="210"/>
      <c r="N60" s="210"/>
      <c r="O60" s="210"/>
      <c r="P60" s="204" t="s">
        <v>52</v>
      </c>
      <c r="Q60" s="214" t="s">
        <v>4114</v>
      </c>
    </row>
    <row r="61" spans="1:17" ht="19.5" customHeight="1">
      <c r="A61" s="209">
        <v>4511</v>
      </c>
      <c r="B61" s="209" t="str">
        <f>VLOOKUP(A61,門市主檔!A:B,2,FALSE)</f>
        <v>淡水屯山店</v>
      </c>
      <c r="C61" s="303" t="str">
        <f>IF(COUNTIFS(IM!$F:$F,A61,IM!$AD:$AD,"O",IM!$X:$X,"&gt;="&amp;$R$1, IM!$X:$X,"&lt;="&amp;$S$1)&gt;0,"V","")</f>
        <v/>
      </c>
      <c r="D61" s="303" t="str">
        <f>IF(AND(C61&lt;&gt;"V", COUNTIFS(IM!$F:$F,A61, IM!$AD:$AD, "O", IM!$X:$X, "&gt;="&amp;$R$2, IM!$X:$X, "&lt;="&amp;$S$2)&gt;0), "V", "")</f>
        <v/>
      </c>
      <c r="E61" s="303" t="str">
        <f>IF(AND(C61&lt;&gt;"V",D61&lt;&gt;"V", COUNTIFS(IM!$F:$F, A61, IM!$AD:$AD, "O", IM!$X:$X, "&gt;="&amp;$R$3, IM!$X:$X, "&lt;="&amp;$S$3)&gt;0), "V", "")</f>
        <v/>
      </c>
      <c r="F61" s="209" t="str">
        <f>IF(COUNTBLANK(C61:E61)=3,"未保養","")</f>
        <v>未保養</v>
      </c>
      <c r="G61" s="209" t="str">
        <f>IF(AND(VLOOKUP(A61,門市主檔!A:Y,25,FALSE)="STAR", VLOOKUP(A61,門市主檔!A:N,14,FALSE)=""),
    IF(OR(C61="V", D61="V", E61="V"), "已PM未更換", "未更換"),
    IF(VLOOKUP(A61,門市主檔!A:Y,25,FALSE)&lt;&gt;"STAR", "無專案", "已更換")
)</f>
        <v>無專案</v>
      </c>
      <c r="H61" s="287">
        <f>VLOOKUP(A61,門市主檔!A:U,21,FALSE)</f>
        <v>0</v>
      </c>
      <c r="I61" s="209" t="str">
        <f>VLOOKUP(A61,'0919門市清單主檔'!B:V,21,FALSE)</f>
        <v>淡水區</v>
      </c>
      <c r="J61" s="217">
        <v>45692.577777777777</v>
      </c>
      <c r="K61" s="210"/>
      <c r="L61" s="210"/>
      <c r="M61" s="210"/>
      <c r="N61" s="210"/>
      <c r="O61" s="210"/>
      <c r="P61" s="204" t="s">
        <v>52</v>
      </c>
      <c r="Q61" s="214" t="s">
        <v>4114</v>
      </c>
    </row>
    <row r="62" spans="1:17" ht="19.5" customHeight="1">
      <c r="A62" s="209" t="s">
        <v>43</v>
      </c>
      <c r="B62" s="209" t="str">
        <f>VLOOKUP(A62,門市主檔!A:B,2,FALSE)</f>
        <v>車麗屋蘆洲店</v>
      </c>
      <c r="C62" s="303" t="str">
        <f>IF(COUNTIFS(IM!$F:$F,A62,IM!$AD:$AD,"O",IM!$X:$X,"&gt;="&amp;$R$1, IM!$X:$X,"&lt;="&amp;$S$1)&gt;0,"V","")</f>
        <v/>
      </c>
      <c r="D62" s="303" t="str">
        <f>IF(AND(C62&lt;&gt;"V", COUNTIFS(IM!$F:$F,A62, IM!$AD:$AD, "O", IM!$X:$X, "&gt;="&amp;$R$2, IM!$X:$X, "&lt;="&amp;$S$2)&gt;0), "V", "")</f>
        <v/>
      </c>
      <c r="E62" s="303" t="str">
        <f>IF(AND(C62&lt;&gt;"V",D62&lt;&gt;"V", COUNTIFS(IM!$F:$F, A62, IM!$AD:$AD, "O", IM!$X:$X, "&gt;="&amp;$R$3, IM!$X:$X, "&lt;="&amp;$S$3)&gt;0), "V", "")</f>
        <v/>
      </c>
      <c r="F62" s="209" t="str">
        <f>IF(COUNTBLANK(C62:E62)=3,"未保養","")</f>
        <v>未保養</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蘆洲區</v>
      </c>
      <c r="J62" s="217">
        <v>45720.59375</v>
      </c>
      <c r="K62" s="210"/>
      <c r="L62" s="210"/>
      <c r="M62" s="210"/>
      <c r="N62" s="210"/>
      <c r="O62" s="210"/>
      <c r="P62" s="204" t="s">
        <v>52</v>
      </c>
      <c r="Q62" s="214" t="s">
        <v>4114</v>
      </c>
    </row>
    <row r="63" spans="1:17" ht="19.5" customHeight="1">
      <c r="A63" s="209">
        <v>3892</v>
      </c>
      <c r="B63" s="209" t="str">
        <f>VLOOKUP(A63,門市主檔!A:B,2,FALSE)</f>
        <v>蘆洲光榮店</v>
      </c>
      <c r="C63" s="303" t="str">
        <f>IF(COUNTIFS(IM!$F:$F,A63,IM!$AD:$AD,"O",IM!$X:$X,"&gt;="&amp;$R$1, IM!$X:$X,"&lt;="&amp;$S$1)&gt;0,"V","")</f>
        <v/>
      </c>
      <c r="D63" s="303" t="str">
        <f>IF(AND(C63&lt;&gt;"V", COUNTIFS(IM!$F:$F,A63, IM!$AD:$AD, "O", IM!$X:$X, "&gt;="&amp;$R$2, IM!$X:$X, "&lt;="&amp;$S$2)&gt;0), "V", "")</f>
        <v/>
      </c>
      <c r="E63" s="303" t="str">
        <f>IF(AND(C63&lt;&gt;"V",D63&lt;&gt;"V", COUNTIFS(IM!$F:$F, A63, IM!$AD:$AD, "O", IM!$X:$X, "&gt;="&amp;$R$3, IM!$X:$X, "&lt;="&amp;$S$3)&gt;0), "V", "")</f>
        <v/>
      </c>
      <c r="F63" s="209" t="str">
        <f>IF(COUNTBLANK(C63:E63)=3,"未保養","")</f>
        <v>未保養</v>
      </c>
      <c r="G63" s="209" t="str">
        <f>IF(AND(VLOOKUP(A63,門市主檔!A:Y,25,FALSE)="STAR", VLOOKUP(A63,門市主檔!A:N,14,FALSE)=""),
    IF(OR(C63="V", D63="V", E63="V"), "已PM未更換", "未更換"),
    IF(VLOOKUP(A63,門市主檔!A:Y,25,FALSE)&lt;&gt;"STAR", "無專案", "已更換")
)</f>
        <v>無專案</v>
      </c>
      <c r="H63" s="287">
        <f>VLOOKUP(A63,門市主檔!A:U,21,FALSE)</f>
        <v>0</v>
      </c>
      <c r="I63" s="209" t="str">
        <f>VLOOKUP(A63,'0919門市清單主檔'!B:V,21,FALSE)</f>
        <v>蘆洲區</v>
      </c>
      <c r="J63" s="217">
        <v>45709.490277777775</v>
      </c>
      <c r="K63" s="210"/>
      <c r="L63" s="210"/>
      <c r="M63" s="210"/>
      <c r="N63" s="210"/>
      <c r="O63" s="210"/>
      <c r="P63" s="204"/>
      <c r="Q63" s="214" t="s">
        <v>4114</v>
      </c>
    </row>
    <row r="64" spans="1:17" ht="19.5" customHeight="1">
      <c r="A64" s="209">
        <v>4218</v>
      </c>
      <c r="B64" s="209" t="str">
        <f>VLOOKUP(A64,門市主檔!A:B,2,FALSE)</f>
        <v>蘆洲湧蓮店</v>
      </c>
      <c r="C64" s="303" t="str">
        <f>IF(COUNTIFS(IM!$F:$F,A64,IM!$AD:$AD,"O",IM!$X:$X,"&gt;="&amp;$R$1, IM!$X:$X,"&lt;="&amp;$S$1)&gt;0,"V","")</f>
        <v/>
      </c>
      <c r="D64" s="303" t="str">
        <f>IF(AND(C64&lt;&gt;"V", COUNTIFS(IM!$F:$F,A64, IM!$AD:$AD, "O", IM!$X:$X, "&gt;="&amp;$R$2, IM!$X:$X, "&lt;="&amp;$S$2)&gt;0), "V", "")</f>
        <v/>
      </c>
      <c r="E64" s="303" t="str">
        <f>IF(AND(C64&lt;&gt;"V",D64&lt;&gt;"V", COUNTIFS(IM!$F:$F, A64, IM!$AD:$AD, "O", IM!$X:$X, "&gt;="&amp;$R$3, IM!$X:$X, "&lt;="&amp;$S$3)&gt;0), "V", "")</f>
        <v/>
      </c>
      <c r="F64" s="209" t="str">
        <f>IF(COUNTBLANK(C64:E64)=3,"未保養","")</f>
        <v>未保養</v>
      </c>
      <c r="G64" s="209" t="str">
        <f>IF(AND(VLOOKUP(A64,門市主檔!A:Y,25,FALSE)="STAR", VLOOKUP(A64,門市主檔!A:N,14,FALSE)=""),
    IF(OR(C64="V", D64="V", E64="V"), "已PM未更換", "未更換"),
    IF(VLOOKUP(A64,門市主檔!A:Y,25,FALSE)&lt;&gt;"STAR", "無專案", "已更換")
)</f>
        <v>未更換</v>
      </c>
      <c r="H64" s="287">
        <f>VLOOKUP(A64,門市主檔!A:U,21,FALSE)</f>
        <v>1</v>
      </c>
      <c r="I64" s="209" t="str">
        <f>VLOOKUP(A64,'0919門市清單主檔'!B:V,21,FALSE)</f>
        <v>蘆洲區</v>
      </c>
      <c r="J64" s="217">
        <v>45721.678472222222</v>
      </c>
      <c r="K64" s="210"/>
      <c r="L64" s="210"/>
      <c r="M64" s="210"/>
      <c r="N64" s="210"/>
      <c r="O64" s="210"/>
      <c r="P64" s="204" t="s">
        <v>52</v>
      </c>
      <c r="Q64" s="214" t="s">
        <v>4114</v>
      </c>
    </row>
    <row r="65" spans="1:17" ht="19.5" customHeight="1">
      <c r="A65" s="209">
        <v>4125</v>
      </c>
      <c r="B65" s="209" t="str">
        <f>VLOOKUP(A65,門市主檔!A:B,2,FALSE)</f>
        <v>蘆洲長樂店</v>
      </c>
      <c r="C65" s="303" t="str">
        <f>IF(COUNTIFS(IM!$F:$F,A65,IM!$AD:$AD,"O",IM!$X:$X,"&gt;="&amp;$R$1, IM!$X:$X,"&lt;="&amp;$S$1)&gt;0,"V","")</f>
        <v/>
      </c>
      <c r="D65" s="303" t="str">
        <f>IF(AND(C65&lt;&gt;"V", COUNTIFS(IM!$F:$F,A65, IM!$AD:$AD, "O", IM!$X:$X, "&gt;="&amp;$R$2, IM!$X:$X, "&lt;="&amp;$S$2)&gt;0), "V", "")</f>
        <v/>
      </c>
      <c r="E65" s="303" t="str">
        <f>IF(AND(C65&lt;&gt;"V",D65&lt;&gt;"V", COUNTIFS(IM!$F:$F, A65, IM!$AD:$AD, "O", IM!$X:$X, "&gt;="&amp;$R$3, IM!$X:$X, "&lt;="&amp;$S$3)&gt;0), "V", "")</f>
        <v/>
      </c>
      <c r="F65" s="209" t="str">
        <f>IF(COUNTBLANK(C65:E65)=3,"未保養","")</f>
        <v>未保養</v>
      </c>
      <c r="G65" s="209" t="str">
        <f>IF(AND(VLOOKUP(A65,門市主檔!A:Y,25,FALSE)="STAR", VLOOKUP(A65,門市主檔!A:N,14,FALSE)=""),
    IF(OR(C65="V", D65="V", E65="V"), "已PM未更換", "未更換"),
    IF(VLOOKUP(A65,門市主檔!A:Y,25,FALSE)&lt;&gt;"STAR", "無專案", "已更換")
)</f>
        <v>未更換</v>
      </c>
      <c r="H65" s="287">
        <f>VLOOKUP(A65,門市主檔!A:U,21,FALSE)</f>
        <v>2</v>
      </c>
      <c r="I65" s="209" t="str">
        <f>VLOOKUP(A65,'0919門市清單主檔'!B:V,21,FALSE)</f>
        <v>蘆洲區</v>
      </c>
      <c r="J65" s="217">
        <v>45709.506944444445</v>
      </c>
      <c r="K65" s="210"/>
      <c r="L65" s="210"/>
      <c r="M65" s="210"/>
      <c r="N65" s="210"/>
      <c r="O65" s="210"/>
      <c r="P65" s="204"/>
      <c r="Q65" s="214" t="s">
        <v>4114</v>
      </c>
    </row>
    <row r="66" spans="1:17" ht="19.5" customHeight="1">
      <c r="A66" s="209">
        <v>4609</v>
      </c>
      <c r="B66" s="209" t="str">
        <f>VLOOKUP(A66,門市主檔!A:B,2,FALSE)</f>
        <v>蘆洲洲正店</v>
      </c>
      <c r="C66" s="303" t="str">
        <f>IF(COUNTIFS(IM!$F:$F,A66,IM!$AD:$AD,"O",IM!$X:$X,"&gt;="&amp;$R$1, IM!$X:$X,"&lt;="&amp;$S$1)&gt;0,"V","")</f>
        <v/>
      </c>
      <c r="D66" s="303" t="str">
        <f>IF(AND(C66&lt;&gt;"V", COUNTIFS(IM!$F:$F,A66, IM!$AD:$AD, "O", IM!$X:$X, "&gt;="&amp;$R$2, IM!$X:$X, "&lt;="&amp;$S$2)&gt;0), "V", "")</f>
        <v/>
      </c>
      <c r="E66" s="303" t="str">
        <f>IF(AND(C66&lt;&gt;"V",D66&lt;&gt;"V", COUNTIFS(IM!$F:$F, A66, IM!$AD:$AD, "O", IM!$X:$X, "&gt;="&amp;$R$3, IM!$X:$X, "&lt;="&amp;$S$3)&gt;0), "V", "")</f>
        <v/>
      </c>
      <c r="F66" s="209" t="str">
        <f>IF(COUNTBLANK(C66:E66)=3,"未保養","")</f>
        <v>未保養</v>
      </c>
      <c r="G66" s="209" t="str">
        <f>IF(AND(VLOOKUP(A66,門市主檔!A:Y,25,FALSE)="STAR", VLOOKUP(A66,門市主檔!A:N,14,FALSE)=""),
    IF(OR(C66="V", D66="V", E66="V"), "已PM未更換", "未更換"),
    IF(VLOOKUP(A66,門市主檔!A:Y,25,FALSE)&lt;&gt;"STAR", "無專案", "已更換")
)</f>
        <v>未更換</v>
      </c>
      <c r="H66" s="287">
        <f>VLOOKUP(A66,門市主檔!A:U,21,FALSE)</f>
        <v>2</v>
      </c>
      <c r="I66" s="209" t="str">
        <f>VLOOKUP(A66,'0919門市清單主檔'!B:V,21,FALSE)</f>
        <v>蘆洲區</v>
      </c>
      <c r="J66" s="217">
        <v>45709.600694444445</v>
      </c>
      <c r="K66" s="210"/>
      <c r="L66" s="210"/>
      <c r="M66" s="210"/>
      <c r="N66" s="210"/>
      <c r="O66" s="210"/>
      <c r="P66" s="204"/>
      <c r="Q66" s="214" t="s">
        <v>4114</v>
      </c>
    </row>
    <row r="67" spans="1:17" ht="19.5" customHeight="1">
      <c r="A67" s="209">
        <v>3452</v>
      </c>
      <c r="B67" s="209" t="str">
        <f>VLOOKUP(A67,門市主檔!A:B,2,FALSE)</f>
        <v>北縣蘆信店</v>
      </c>
      <c r="C67" s="303" t="str">
        <f>IF(COUNTIFS(IM!$F:$F,A67,IM!$AD:$AD,"O",IM!$X:$X,"&gt;="&amp;$R$1, IM!$X:$X,"&lt;="&amp;$S$1)&gt;0,"V","")</f>
        <v/>
      </c>
      <c r="D67" s="303" t="str">
        <f>IF(AND(C67&lt;&gt;"V", COUNTIFS(IM!$F:$F,A67, IM!$AD:$AD, "O", IM!$X:$X, "&gt;="&amp;$R$2, IM!$X:$X, "&lt;="&amp;$S$2)&gt;0), "V", "")</f>
        <v/>
      </c>
      <c r="E67" s="303" t="str">
        <f>IF(AND(C67&lt;&gt;"V",D67&lt;&gt;"V", COUNTIFS(IM!$F:$F, A67, IM!$AD:$AD, "O", IM!$X:$X, "&gt;="&amp;$R$3, IM!$X:$X, "&lt;="&amp;$S$3)&gt;0), "V", "")</f>
        <v/>
      </c>
      <c r="F67" s="209" t="str">
        <f>IF(COUNTBLANK(C67:E67)=3,"未保養","")</f>
        <v>未保養</v>
      </c>
      <c r="G67" s="209" t="str">
        <f>IF(AND(VLOOKUP(A67,門市主檔!A:Y,25,FALSE)="STAR", VLOOKUP(A67,門市主檔!A:N,14,FALSE)=""),
    IF(OR(C67="V", D67="V", E67="V"), "已PM未更換", "未更換"),
    IF(VLOOKUP(A67,門市主檔!A:Y,25,FALSE)&lt;&gt;"STAR", "無專案", "已更換")
)</f>
        <v>未更換</v>
      </c>
      <c r="H67" s="287">
        <f>VLOOKUP(A67,門市主檔!A:U,21,FALSE)</f>
        <v>2</v>
      </c>
      <c r="I67" s="209" t="str">
        <f>VLOOKUP(A67,'0919門市清單主檔'!B:V,21,FALSE)</f>
        <v>蘆洲區</v>
      </c>
      <c r="J67" s="217">
        <v>45720.671527777777</v>
      </c>
      <c r="K67" s="210"/>
      <c r="L67" s="210"/>
      <c r="M67" s="210"/>
      <c r="N67" s="210"/>
      <c r="O67" s="210"/>
      <c r="P67" s="204" t="s">
        <v>52</v>
      </c>
      <c r="Q67" s="214" t="s">
        <v>4114</v>
      </c>
    </row>
    <row r="68" spans="1:17" ht="19.5" customHeight="1">
      <c r="A68" s="209">
        <v>2890</v>
      </c>
      <c r="B68" s="209" t="str">
        <f>VLOOKUP(A68,門市主檔!A:B,2,FALSE)</f>
        <v>蘆洲鷺江店</v>
      </c>
      <c r="C68" s="303" t="str">
        <f>IF(COUNTIFS(IM!$F:$F,A68,IM!$AD:$AD,"O",IM!$X:$X,"&gt;="&amp;$R$1, IM!$X:$X,"&lt;="&amp;$S$1)&gt;0,"V","")</f>
        <v/>
      </c>
      <c r="D68" s="303" t="str">
        <f>IF(AND(C68&lt;&gt;"V", COUNTIFS(IM!$F:$F,A68, IM!$AD:$AD, "O", IM!$X:$X, "&gt;="&amp;$R$2, IM!$X:$X, "&lt;="&amp;$S$2)&gt;0), "V", "")</f>
        <v/>
      </c>
      <c r="E68" s="303" t="str">
        <f>IF(AND(C68&lt;&gt;"V",D68&lt;&gt;"V", COUNTIFS(IM!$F:$F, A68, IM!$AD:$AD, "O", IM!$X:$X, "&gt;="&amp;$R$3, IM!$X:$X, "&lt;="&amp;$S$3)&gt;0), "V", "")</f>
        <v/>
      </c>
      <c r="F68" s="209" t="str">
        <f>IF(COUNTBLANK(C68:E68)=3,"未保養","")</f>
        <v>未保養</v>
      </c>
      <c r="G68" s="209" t="str">
        <f>IF(AND(VLOOKUP(A68,門市主檔!A:Y,25,FALSE)="STAR", VLOOKUP(A68,門市主檔!A:N,14,FALSE)=""),
    IF(OR(C68="V", D68="V", E68="V"), "已PM未更換", "未更換"),
    IF(VLOOKUP(A68,門市主檔!A:Y,25,FALSE)&lt;&gt;"STAR", "無專案", "已更換")
)</f>
        <v>未更換</v>
      </c>
      <c r="H68" s="287">
        <f>VLOOKUP(A68,門市主檔!A:U,21,FALSE)</f>
        <v>2</v>
      </c>
      <c r="I68" s="209" t="str">
        <f>VLOOKUP(A68,'0919門市清單主檔'!B:V,21,FALSE)</f>
        <v>蘆洲區</v>
      </c>
      <c r="J68" s="217">
        <v>45705.520833333336</v>
      </c>
      <c r="K68" s="210"/>
      <c r="L68" s="210"/>
      <c r="M68" s="210"/>
      <c r="N68" s="210"/>
      <c r="O68" s="210"/>
      <c r="P68" s="204" t="s">
        <v>52</v>
      </c>
      <c r="Q68" s="214" t="s">
        <v>4114</v>
      </c>
    </row>
    <row r="69" spans="1:17" ht="19.5" customHeight="1">
      <c r="A69" s="209">
        <v>2958</v>
      </c>
      <c r="B69" s="209" t="str">
        <f>VLOOKUP(A69,門市主檔!A:B,2,FALSE)</f>
        <v>北縣蘆旺店</v>
      </c>
      <c r="C69" s="303" t="str">
        <f>IF(COUNTIFS(IM!$F:$F,A69,IM!$AD:$AD,"O",IM!$X:$X,"&gt;="&amp;$R$1, IM!$X:$X,"&lt;="&amp;$S$1)&gt;0,"V","")</f>
        <v/>
      </c>
      <c r="D69" s="303" t="str">
        <f>IF(AND(C69&lt;&gt;"V", COUNTIFS(IM!$F:$F,A69, IM!$AD:$AD, "O", IM!$X:$X, "&gt;="&amp;$R$2, IM!$X:$X, "&lt;="&amp;$S$2)&gt;0), "V", "")</f>
        <v/>
      </c>
      <c r="E69" s="303" t="str">
        <f>IF(AND(C69&lt;&gt;"V",D69&lt;&gt;"V", COUNTIFS(IM!$F:$F, A69, IM!$AD:$AD, "O", IM!$X:$X, "&gt;="&amp;$R$3, IM!$X:$X, "&lt;="&amp;$S$3)&gt;0), "V", "")</f>
        <v/>
      </c>
      <c r="F69" s="209" t="str">
        <f>IF(COUNTBLANK(C69:E69)=3,"未保養","")</f>
        <v>未保養</v>
      </c>
      <c r="G69" s="209" t="str">
        <f>IF(AND(VLOOKUP(A69,門市主檔!A:Y,25,FALSE)="STAR", VLOOKUP(A69,門市主檔!A:N,14,FALSE)=""),
    IF(OR(C69="V", D69="V", E69="V"), "已PM未更換", "未更換"),
    IF(VLOOKUP(A69,門市主檔!A:Y,25,FALSE)&lt;&gt;"STAR", "無專案", "已更換")
)</f>
        <v>未更換</v>
      </c>
      <c r="H69" s="287">
        <f>VLOOKUP(A69,門市主檔!A:U,21,FALSE)</f>
        <v>2</v>
      </c>
      <c r="I69" s="209" t="str">
        <f>VLOOKUP(A69,'0919門市清單主檔'!B:V,21,FALSE)</f>
        <v>蘆洲區</v>
      </c>
      <c r="J69" s="217">
        <v>45709.619444444441</v>
      </c>
      <c r="K69" s="210"/>
      <c r="L69" s="210"/>
      <c r="M69" s="210"/>
      <c r="N69" s="210"/>
      <c r="O69" s="210"/>
      <c r="P69" s="204" t="s">
        <v>52</v>
      </c>
      <c r="Q69" s="214" t="s">
        <v>4114</v>
      </c>
    </row>
    <row r="70" spans="1:17" ht="19.5" customHeight="1">
      <c r="A70" s="209">
        <v>3929</v>
      </c>
      <c r="B70" s="209" t="str">
        <f>VLOOKUP(A70,門市主檔!A:B,2,FALSE)</f>
        <v>蘆洲中山一</v>
      </c>
      <c r="C70" s="303" t="str">
        <f>IF(COUNTIFS(IM!$F:$F,A70,IM!$AD:$AD,"O",IM!$X:$X,"&gt;="&amp;$R$1, IM!$X:$X,"&lt;="&amp;$S$1)&gt;0,"V","")</f>
        <v/>
      </c>
      <c r="D70" s="303" t="str">
        <f>IF(AND(C70&lt;&gt;"V", COUNTIFS(IM!$F:$F,A70, IM!$AD:$AD, "O", IM!$X:$X, "&gt;="&amp;$R$2, IM!$X:$X, "&lt;="&amp;$S$2)&gt;0), "V", "")</f>
        <v/>
      </c>
      <c r="E70" s="303" t="str">
        <f>IF(AND(C70&lt;&gt;"V",D70&lt;&gt;"V", COUNTIFS(IM!$F:$F, A70, IM!$AD:$AD, "O", IM!$X:$X, "&gt;="&amp;$R$3, IM!$X:$X, "&lt;="&amp;$S$3)&gt;0), "V", "")</f>
        <v/>
      </c>
      <c r="F70" s="209" t="str">
        <f>IF(COUNTBLANK(C70:E70)=3,"未保養","")</f>
        <v>未保養</v>
      </c>
      <c r="G70" s="209" t="str">
        <f>IF(AND(VLOOKUP(A70,門市主檔!A:Y,25,FALSE)="STAR", VLOOKUP(A70,門市主檔!A:N,14,FALSE)=""),
    IF(OR(C70="V", D70="V", E70="V"), "已PM未更換", "未更換"),
    IF(VLOOKUP(A70,門市主檔!A:Y,25,FALSE)&lt;&gt;"STAR", "無專案", "已更換")
)</f>
        <v>未更換</v>
      </c>
      <c r="H70" s="287">
        <f>VLOOKUP(A70,門市主檔!A:U,21,FALSE)</f>
        <v>1</v>
      </c>
      <c r="I70" s="209" t="str">
        <f>VLOOKUP(A70,'0919門市清單主檔'!B:V,21,FALSE)</f>
        <v>蘆洲區</v>
      </c>
      <c r="J70" s="217">
        <v>45721.706944444442</v>
      </c>
      <c r="K70" s="210"/>
      <c r="L70" s="210"/>
      <c r="M70" s="210"/>
      <c r="N70" s="210"/>
      <c r="O70" s="210"/>
      <c r="P70" s="204" t="s">
        <v>52</v>
      </c>
      <c r="Q70" s="214" t="s">
        <v>4114</v>
      </c>
    </row>
    <row r="71" spans="1:17" ht="19.5" customHeight="1">
      <c r="A71" s="209">
        <v>4923</v>
      </c>
      <c r="B71" s="209" t="str">
        <f>VLOOKUP(A71,門市主檔!A:B,2,FALSE)</f>
        <v>蘆洲永平店</v>
      </c>
      <c r="C71" s="303" t="str">
        <f>IF(COUNTIFS(IM!$F:$F,A71,IM!$AD:$AD,"O",IM!$X:$X,"&gt;="&amp;$R$1, IM!$X:$X,"&lt;="&amp;$S$1)&gt;0,"V","")</f>
        <v/>
      </c>
      <c r="D71" s="303" t="str">
        <f>IF(AND(C71&lt;&gt;"V", COUNTIFS(IM!$F:$F,A71, IM!$AD:$AD, "O", IM!$X:$X, "&gt;="&amp;$R$2, IM!$X:$X, "&lt;="&amp;$S$2)&gt;0), "V", "")</f>
        <v/>
      </c>
      <c r="E71" s="303" t="str">
        <f>IF(AND(C71&lt;&gt;"V",D71&lt;&gt;"V", COUNTIFS(IM!$F:$F, A71, IM!$AD:$AD, "O", IM!$X:$X, "&gt;="&amp;$R$3, IM!$X:$X, "&lt;="&amp;$S$3)&gt;0), "V", "")</f>
        <v/>
      </c>
      <c r="F71" s="209" t="str">
        <f>IF(COUNTBLANK(C71:E71)=3,"未保養","")</f>
        <v>未保養</v>
      </c>
      <c r="G71" s="209" t="str">
        <f>IF(AND(VLOOKUP(A71,門市主檔!A:Y,25,FALSE)="STAR", VLOOKUP(A71,門市主檔!A:N,14,FALSE)=""),
    IF(OR(C71="V", D71="V", E71="V"), "已PM未更換", "未更換"),
    IF(VLOOKUP(A71,門市主檔!A:Y,25,FALSE)&lt;&gt;"STAR", "無專案", "已更換")
)</f>
        <v>未更換</v>
      </c>
      <c r="H71" s="287">
        <f>VLOOKUP(A71,門市主檔!A:U,21,FALSE)</f>
        <v>1</v>
      </c>
      <c r="I71" s="209" t="str">
        <f>VLOOKUP(A71,'0919門市清單主檔'!B:V,21,FALSE)</f>
        <v>蘆洲區</v>
      </c>
      <c r="J71" s="217">
        <v>45706.719444444447</v>
      </c>
      <c r="K71" s="210"/>
      <c r="L71" s="210"/>
      <c r="M71" s="210"/>
      <c r="N71" s="210"/>
      <c r="O71" s="210"/>
      <c r="P71" s="204"/>
      <c r="Q71" s="214" t="s">
        <v>4114</v>
      </c>
    </row>
    <row r="72" spans="1:17" ht="19.5" customHeight="1">
      <c r="A72" s="209" t="s">
        <v>17</v>
      </c>
      <c r="B72" s="209" t="str">
        <f>VLOOKUP(A72,門市主檔!A:B,2,FALSE)</f>
        <v>蘆洲權義店</v>
      </c>
      <c r="C72" s="303" t="str">
        <f>IF(COUNTIFS(IM!$F:$F,A72,IM!$AD:$AD,"O",IM!$X:$X,"&gt;="&amp;$R$1, IM!$X:$X,"&lt;="&amp;$S$1)&gt;0,"V","")</f>
        <v/>
      </c>
      <c r="D72" s="303" t="str">
        <f>IF(AND(C72&lt;&gt;"V", COUNTIFS(IM!$F:$F,A72, IM!$AD:$AD, "O", IM!$X:$X, "&gt;="&amp;$R$2, IM!$X:$X, "&lt;="&amp;$S$2)&gt;0), "V", "")</f>
        <v/>
      </c>
      <c r="E72" s="303" t="str">
        <f>IF(AND(C72&lt;&gt;"V",D72&lt;&gt;"V", COUNTIFS(IM!$F:$F, A72, IM!$AD:$AD, "O", IM!$X:$X, "&gt;="&amp;$R$3, IM!$X:$X, "&lt;="&amp;$S$3)&gt;0), "V", "")</f>
        <v/>
      </c>
      <c r="F72" s="209" t="str">
        <f>IF(COUNTBLANK(C72:E72)=3,"未保養","")</f>
        <v>未保養</v>
      </c>
      <c r="G72" s="209" t="str">
        <f>IF(AND(VLOOKUP(A72,門市主檔!A:Y,25,FALSE)="STAR", VLOOKUP(A72,門市主檔!A:N,14,FALSE)=""),
    IF(OR(C72="V", D72="V", E72="V"), "已PM未更換", "未更換"),
    IF(VLOOKUP(A72,門市主檔!A:Y,25,FALSE)&lt;&gt;"STAR", "無專案", "已更換")
)</f>
        <v>未更換</v>
      </c>
      <c r="H72" s="287">
        <f>VLOOKUP(A72,門市主檔!A:U,21,FALSE)</f>
        <v>2</v>
      </c>
      <c r="I72" s="209" t="str">
        <f>VLOOKUP(A72,'0919門市清單主檔'!B:V,21,FALSE)</f>
        <v>蘆洲區</v>
      </c>
      <c r="J72" s="217">
        <v>45664.484027777777</v>
      </c>
      <c r="K72" s="210"/>
      <c r="L72" s="210"/>
      <c r="M72" s="210"/>
      <c r="N72" s="210"/>
      <c r="O72" s="210"/>
      <c r="P72" s="204"/>
      <c r="Q72" s="214" t="s">
        <v>4114</v>
      </c>
    </row>
    <row r="73" spans="1:17" ht="19.5" customHeight="1">
      <c r="A73" s="209">
        <v>4036</v>
      </c>
      <c r="B73" s="209" t="str">
        <f>VLOOKUP(A73,門市主檔!A:B,2,FALSE)</f>
        <v>蘆洲永樂店</v>
      </c>
      <c r="C73" s="303" t="str">
        <f>IF(COUNTIFS(IM!$F:$F,A73,IM!$AD:$AD,"O",IM!$X:$X,"&gt;="&amp;$R$1, IM!$X:$X,"&lt;="&amp;$S$1)&gt;0,"V","")</f>
        <v/>
      </c>
      <c r="D73" s="303" t="str">
        <f>IF(AND(C73&lt;&gt;"V", COUNTIFS(IM!$F:$F,A73, IM!$AD:$AD, "O", IM!$X:$X, "&gt;="&amp;$R$2, IM!$X:$X, "&lt;="&amp;$S$2)&gt;0), "V", "")</f>
        <v/>
      </c>
      <c r="E73" s="303" t="str">
        <f>IF(AND(C73&lt;&gt;"V",D73&lt;&gt;"V", COUNTIFS(IM!$F:$F, A73, IM!$AD:$AD, "O", IM!$X:$X, "&gt;="&amp;$R$3, IM!$X:$X, "&lt;="&amp;$S$3)&gt;0), "V", "")</f>
        <v/>
      </c>
      <c r="F73" s="209" t="str">
        <f>IF(COUNTBLANK(C73:E73)=3,"未保養","")</f>
        <v>未保養</v>
      </c>
      <c r="G73" s="209" t="str">
        <f>IF(AND(VLOOKUP(A73,門市主檔!A:Y,25,FALSE)="STAR", VLOOKUP(A73,門市主檔!A:N,14,FALSE)=""),
    IF(OR(C73="V", D73="V", E73="V"), "已PM未更換", "未更換"),
    IF(VLOOKUP(A73,門市主檔!A:Y,25,FALSE)&lt;&gt;"STAR", "無專案", "已更換")
)</f>
        <v>未更換</v>
      </c>
      <c r="H73" s="287">
        <f>VLOOKUP(A73,門市主檔!A:U,21,FALSE)</f>
        <v>1</v>
      </c>
      <c r="I73" s="209" t="str">
        <f>VLOOKUP(A73,'0919門市清單主檔'!B:V,21,FALSE)</f>
        <v>蘆洲區</v>
      </c>
      <c r="J73" s="217">
        <v>45663.603472222225</v>
      </c>
      <c r="K73" s="210"/>
      <c r="L73" s="210"/>
      <c r="M73" s="210"/>
      <c r="N73" s="210"/>
      <c r="O73" s="210"/>
      <c r="P73" s="204" t="s">
        <v>52</v>
      </c>
      <c r="Q73" s="214" t="s">
        <v>4114</v>
      </c>
    </row>
    <row r="74" spans="1:17" ht="19.5" customHeight="1">
      <c r="A74" s="209">
        <v>2301</v>
      </c>
      <c r="B74" s="209" t="str">
        <f>VLOOKUP(A74,門市主檔!A:B,2,FALSE)</f>
        <v>蘆洲樂平店</v>
      </c>
      <c r="C74" s="303" t="str">
        <f>IF(COUNTIFS(IM!$F:$F,A74,IM!$AD:$AD,"O",IM!$X:$X,"&gt;="&amp;$R$1, IM!$X:$X,"&lt;="&amp;$S$1)&gt;0,"V","")</f>
        <v/>
      </c>
      <c r="D74" s="303" t="str">
        <f>IF(AND(C74&lt;&gt;"V", COUNTIFS(IM!$F:$F,A74, IM!$AD:$AD, "O", IM!$X:$X, "&gt;="&amp;$R$2, IM!$X:$X, "&lt;="&amp;$S$2)&gt;0), "V", "")</f>
        <v/>
      </c>
      <c r="E74" s="303" t="str">
        <f>IF(AND(C74&lt;&gt;"V",D74&lt;&gt;"V", COUNTIFS(IM!$F:$F, A74, IM!$AD:$AD, "O", IM!$X:$X, "&gt;="&amp;$R$3, IM!$X:$X, "&lt;="&amp;$S$3)&gt;0), "V", "")</f>
        <v/>
      </c>
      <c r="F74" s="209" t="str">
        <f>IF(COUNTBLANK(C74:E74)=3,"未保養","")</f>
        <v>未保養</v>
      </c>
      <c r="G74" s="209" t="str">
        <f>IF(AND(VLOOKUP(A74,門市主檔!A:Y,25,FALSE)="STAR", VLOOKUP(A74,門市主檔!A:N,14,FALSE)=""),
    IF(OR(C74="V", D74="V", E74="V"), "已PM未更換", "未更換"),
    IF(VLOOKUP(A74,門市主檔!A:Y,25,FALSE)&lt;&gt;"STAR", "無專案", "已更換")
)</f>
        <v>未更換</v>
      </c>
      <c r="H74" s="287">
        <f>VLOOKUP(A74,門市主檔!A:U,21,FALSE)</f>
        <v>2</v>
      </c>
      <c r="I74" s="209" t="str">
        <f>VLOOKUP(A74,'0919門市清單主檔'!B:V,21,FALSE)</f>
        <v>蘆洲區</v>
      </c>
      <c r="J74" s="217">
        <v>45664.546527777777</v>
      </c>
      <c r="K74" s="210"/>
      <c r="L74" s="210"/>
      <c r="M74" s="210"/>
      <c r="N74" s="210"/>
      <c r="O74" s="210"/>
      <c r="P74" s="204"/>
      <c r="Q74" s="214" t="s">
        <v>4114</v>
      </c>
    </row>
    <row r="75" spans="1:17" ht="19.5" customHeight="1">
      <c r="A75" s="209">
        <v>5082</v>
      </c>
      <c r="B75" s="209" t="str">
        <f>VLOOKUP(A75,門市主檔!A:B,2,FALSE)</f>
        <v>蘆洲水湳店</v>
      </c>
      <c r="C75" s="303" t="str">
        <f>IF(COUNTIFS(IM!$F:$F,A75,IM!$AD:$AD,"O",IM!$X:$X,"&gt;="&amp;$R$1, IM!$X:$X,"&lt;="&amp;$S$1)&gt;0,"V","")</f>
        <v/>
      </c>
      <c r="D75" s="303" t="str">
        <f>IF(AND(C75&lt;&gt;"V", COUNTIFS(IM!$F:$F,A75, IM!$AD:$AD, "O", IM!$X:$X, "&gt;="&amp;$R$2, IM!$X:$X, "&lt;="&amp;$S$2)&gt;0), "V", "")</f>
        <v/>
      </c>
      <c r="E75" s="303" t="str">
        <f>IF(AND(C75&lt;&gt;"V",D75&lt;&gt;"V", COUNTIFS(IM!$F:$F, A75, IM!$AD:$AD, "O", IM!$X:$X, "&gt;="&amp;$R$3, IM!$X:$X, "&lt;="&amp;$S$3)&gt;0), "V", "")</f>
        <v/>
      </c>
      <c r="F75" s="209" t="str">
        <f>IF(COUNTBLANK(C75:E75)=3,"未保養","")</f>
        <v>未保養</v>
      </c>
      <c r="G75" s="209" t="str">
        <f>IF(AND(VLOOKUP(A75,門市主檔!A:Y,25,FALSE)="STAR", VLOOKUP(A75,門市主檔!A:N,14,FALSE)=""),
    IF(OR(C75="V", D75="V", E75="V"), "已PM未更換", "未更換"),
    IF(VLOOKUP(A75,門市主檔!A:Y,25,FALSE)&lt;&gt;"STAR", "無專案", "已更換")
)</f>
        <v>無專案</v>
      </c>
      <c r="H75" s="287">
        <f>VLOOKUP(A75,門市主檔!A:U,21,FALSE)</f>
        <v>0</v>
      </c>
      <c r="I75" s="209" t="str">
        <f>VLOOKUP(A75,'0919門市清單主檔'!B:V,21,FALSE)</f>
        <v>蘆洲區</v>
      </c>
      <c r="J75" s="217">
        <v>45664.530555555553</v>
      </c>
      <c r="K75" s="210"/>
      <c r="L75" s="210"/>
      <c r="M75" s="210"/>
      <c r="N75" s="210"/>
      <c r="O75" s="210"/>
      <c r="P75" s="204"/>
      <c r="Q75" s="214" t="s">
        <v>4114</v>
      </c>
    </row>
    <row r="76" spans="1:17" ht="19.5" customHeight="1">
      <c r="A76" s="209">
        <v>5197</v>
      </c>
      <c r="B76" s="209" t="str">
        <f>VLOOKUP(A76,門市主檔!A:B,2,FALSE)</f>
        <v>蘆洲鴻悅店</v>
      </c>
      <c r="C76" s="303" t="str">
        <f>IF(COUNTIFS(IM!$F:$F,A76,IM!$AD:$AD,"O",IM!$X:$X,"&gt;="&amp;$R$1, IM!$X:$X,"&lt;="&amp;$S$1)&gt;0,"V","")</f>
        <v/>
      </c>
      <c r="D76" s="303" t="str">
        <f>IF(AND(C76&lt;&gt;"V", COUNTIFS(IM!$F:$F,A76, IM!$AD:$AD, "O", IM!$X:$X, "&gt;="&amp;$R$2, IM!$X:$X, "&lt;="&amp;$S$2)&gt;0), "V", "")</f>
        <v/>
      </c>
      <c r="E76" s="303" t="str">
        <f>IF(AND(C76&lt;&gt;"V",D76&lt;&gt;"V", COUNTIFS(IM!$F:$F, A76, IM!$AD:$AD, "O", IM!$X:$X, "&gt;="&amp;$R$3, IM!$X:$X, "&lt;="&amp;$S$3)&gt;0), "V", "")</f>
        <v/>
      </c>
      <c r="F76" s="209" t="str">
        <f>IF(COUNTBLANK(C76:E76)=3,"未保養","")</f>
        <v>未保養</v>
      </c>
      <c r="G76" s="209" t="str">
        <f>IF(AND(VLOOKUP(A76,門市主檔!A:Y,25,FALSE)="STAR", VLOOKUP(A76,門市主檔!A:N,14,FALSE)=""),
    IF(OR(C76="V", D76="V", E76="V"), "已PM未更換", "未更換"),
    IF(VLOOKUP(A76,門市主檔!A:Y,25,FALSE)&lt;&gt;"STAR", "無專案", "已更換")
)</f>
        <v>無專案</v>
      </c>
      <c r="H76" s="287">
        <f>VLOOKUP(A76,門市主檔!A:U,21,FALSE)</f>
        <v>0</v>
      </c>
      <c r="I76" s="209" t="str">
        <f>VLOOKUP(A76,'0919門市清單主檔'!B:V,21,FALSE)</f>
        <v>蘆洲區</v>
      </c>
      <c r="J76" s="217">
        <v>45673.673611111109</v>
      </c>
      <c r="K76" s="210"/>
      <c r="L76" s="210"/>
      <c r="M76" s="210"/>
      <c r="N76" s="210"/>
      <c r="O76" s="210"/>
      <c r="P76" s="204"/>
      <c r="Q76" s="214" t="s">
        <v>4114</v>
      </c>
    </row>
    <row r="77" spans="1:17" ht="19.5" customHeight="1">
      <c r="A77" s="209">
        <v>2349</v>
      </c>
      <c r="B77" s="209" t="str">
        <f>VLOOKUP(A77,門市主檔!A:B,2,FALSE)</f>
        <v>三重永福店</v>
      </c>
      <c r="C77" s="303" t="str">
        <f>IF(COUNTIFS(IM!$F:$F,A77,IM!$AD:$AD,"O",IM!$X:$X,"&gt;="&amp;$R$1, IM!$X:$X,"&lt;="&amp;$S$1)&gt;0,"V","")</f>
        <v/>
      </c>
      <c r="D77" s="303" t="str">
        <f>IF(AND(C77&lt;&gt;"V", COUNTIFS(IM!$F:$F,A77, IM!$AD:$AD, "O", IM!$X:$X, "&gt;="&amp;$R$2, IM!$X:$X, "&lt;="&amp;$S$2)&gt;0), "V", "")</f>
        <v>V</v>
      </c>
      <c r="E77" s="303" t="str">
        <f>IF(AND(C77&lt;&gt;"V",D77&lt;&gt;"V", COUNTIFS(IM!$F:$F, A77, IM!$AD:$AD, "O", IM!$X:$X, "&gt;="&amp;$R$3, IM!$X:$X, "&lt;="&amp;$S$3)&gt;0), "V", "")</f>
        <v/>
      </c>
      <c r="F77" s="209" t="str">
        <f>IF(COUNTBLANK(C77:E77)=3,"未保養","")</f>
        <v/>
      </c>
      <c r="G77" s="209" t="str">
        <f>IF(AND(VLOOKUP(A77,門市主檔!A:Y,25,FALSE)="STAR", VLOOKUP(A77,門市主檔!A:N,14,FALSE)=""),
    IF(OR(C77="V", D77="V", E77="V"), "已PM未更換", "未更換"),
    IF(VLOOKUP(A77,門市主檔!A:Y,25,FALSE)&lt;&gt;"STAR", "無專案", "已更換")
)</f>
        <v>已PM未更換</v>
      </c>
      <c r="H77" s="287">
        <f>VLOOKUP(A77,門市主檔!A:U,21,FALSE)</f>
        <v>2</v>
      </c>
      <c r="I77" s="209" t="str">
        <f>VLOOKUP(A77,'0919門市清單主檔'!B:V,21,FALSE)</f>
        <v>三重區</v>
      </c>
      <c r="J77" s="217">
        <v>45708.47152777778</v>
      </c>
      <c r="K77" s="210"/>
      <c r="L77" s="210"/>
      <c r="M77" s="210"/>
      <c r="N77" s="210"/>
      <c r="O77" s="210"/>
      <c r="P77" s="204"/>
      <c r="Q77" s="214" t="s">
        <v>4114</v>
      </c>
    </row>
    <row r="78" spans="1:17" ht="19.5" customHeight="1">
      <c r="A78" s="209">
        <v>3623</v>
      </c>
      <c r="B78" s="209" t="str">
        <f>VLOOKUP(A78,門市主檔!A:B,2,FALSE)</f>
        <v>三重自強店</v>
      </c>
      <c r="C78" s="303" t="str">
        <f>IF(COUNTIFS(IM!$F:$F,A78,IM!$AD:$AD,"O",IM!$X:$X,"&gt;="&amp;$R$1, IM!$X:$X,"&lt;="&amp;$S$1)&gt;0,"V","")</f>
        <v>V</v>
      </c>
      <c r="D78" s="303" t="str">
        <f>IF(AND(C78&lt;&gt;"V", COUNTIFS(IM!$F:$F,A78, IM!$AD:$AD, "O", IM!$X:$X, "&gt;="&amp;$R$2, IM!$X:$X, "&lt;="&amp;$S$2)&gt;0), "V", "")</f>
        <v/>
      </c>
      <c r="E78" s="303" t="str">
        <f>IF(AND(C78&lt;&gt;"V",D78&lt;&gt;"V", COUNTIFS(IM!$F:$F, A78, IM!$AD:$AD, "O", IM!$X:$X, "&gt;="&amp;$R$3, IM!$X:$X, "&lt;="&amp;$S$3)&gt;0), "V", "")</f>
        <v/>
      </c>
      <c r="F78" s="209" t="str">
        <f>IF(COUNTBLANK(C78:E78)=3,"未保養","")</f>
        <v/>
      </c>
      <c r="G78" s="209" t="str">
        <f>IF(AND(VLOOKUP(A78,門市主檔!A:Y,25,FALSE)="STAR", VLOOKUP(A78,門市主檔!A:N,14,FALSE)=""),
    IF(OR(C78="V", D78="V", E78="V"), "已PM未更換", "未更換"),
    IF(VLOOKUP(A78,門市主檔!A:Y,25,FALSE)&lt;&gt;"STAR", "無專案", "已更換")
)</f>
        <v>已更換</v>
      </c>
      <c r="H78" s="287">
        <f>VLOOKUP(A78,門市主檔!A:U,21,FALSE)</f>
        <v>2</v>
      </c>
      <c r="I78" s="209" t="str">
        <f>VLOOKUP(A78,'0919門市清單主檔'!B:V,21,FALSE)</f>
        <v>三重區</v>
      </c>
      <c r="J78" s="217">
        <v>45702.64166666667</v>
      </c>
      <c r="K78" s="210"/>
      <c r="L78" s="210"/>
      <c r="M78" s="210"/>
      <c r="N78" s="210"/>
      <c r="O78" s="210"/>
      <c r="P78" s="204" t="s">
        <v>52</v>
      </c>
      <c r="Q78" s="214" t="s">
        <v>4114</v>
      </c>
    </row>
    <row r="79" spans="1:17" ht="19.5" customHeight="1">
      <c r="A79" s="209">
        <v>4191</v>
      </c>
      <c r="B79" s="209" t="str">
        <f>VLOOKUP(A79,門市主檔!A:B,2,FALSE)</f>
        <v>三重溪美店</v>
      </c>
      <c r="C79" s="303" t="str">
        <f>IF(COUNTIFS(IM!$F:$F,A79,IM!$AD:$AD,"O",IM!$X:$X,"&gt;="&amp;$R$1, IM!$X:$X,"&lt;="&amp;$S$1)&gt;0,"V","")</f>
        <v/>
      </c>
      <c r="D79" s="303" t="str">
        <f>IF(AND(C79&lt;&gt;"V", COUNTIFS(IM!$F:$F,A79, IM!$AD:$AD, "O", IM!$X:$X, "&gt;="&amp;$R$2, IM!$X:$X, "&lt;="&amp;$S$2)&gt;0), "V", "")</f>
        <v>V</v>
      </c>
      <c r="E79" s="303" t="str">
        <f>IF(AND(C79&lt;&gt;"V",D79&lt;&gt;"V", COUNTIFS(IM!$F:$F, A79, IM!$AD:$AD, "O", IM!$X:$X, "&gt;="&amp;$R$3, IM!$X:$X, "&lt;="&amp;$S$3)&gt;0), "V", "")</f>
        <v/>
      </c>
      <c r="F79" s="209" t="str">
        <f>IF(COUNTBLANK(C79:E79)=3,"未保養","")</f>
        <v/>
      </c>
      <c r="G79" s="209" t="str">
        <f>IF(AND(VLOOKUP(A79,門市主檔!A:Y,25,FALSE)="STAR", VLOOKUP(A79,門市主檔!A:N,14,FALSE)=""),
    IF(OR(C79="V", D79="V", E79="V"), "已PM未更換", "未更換"),
    IF(VLOOKUP(A79,門市主檔!A:Y,25,FALSE)&lt;&gt;"STAR", "無專案", "已更換")
)</f>
        <v>已PM未更換</v>
      </c>
      <c r="H79" s="287">
        <f>VLOOKUP(A79,門市主檔!A:U,21,FALSE)</f>
        <v>2</v>
      </c>
      <c r="I79" s="209" t="str">
        <f>VLOOKUP(A79,'0919門市清單主檔'!B:V,21,FALSE)</f>
        <v>三重區</v>
      </c>
      <c r="J79" s="217">
        <v>45660.51666666667</v>
      </c>
      <c r="K79" s="210"/>
      <c r="L79" s="210"/>
      <c r="M79" s="210"/>
      <c r="N79" s="210"/>
      <c r="O79" s="210"/>
      <c r="P79" s="204" t="s">
        <v>52</v>
      </c>
      <c r="Q79" s="214" t="s">
        <v>4114</v>
      </c>
    </row>
    <row r="80" spans="1:17" ht="19.5" customHeight="1">
      <c r="A80" s="209">
        <v>4586</v>
      </c>
      <c r="B80" s="209" t="str">
        <f>VLOOKUP(A80,門市主檔!A:B,2,FALSE)</f>
        <v>三重三文店</v>
      </c>
      <c r="C80" s="303" t="str">
        <f>IF(COUNTIFS(IM!$F:$F,A80,IM!$AD:$AD,"O",IM!$X:$X,"&gt;="&amp;$R$1, IM!$X:$X,"&lt;="&amp;$S$1)&gt;0,"V","")</f>
        <v/>
      </c>
      <c r="D80" s="303" t="str">
        <f>IF(AND(C80&lt;&gt;"V", COUNTIFS(IM!$F:$F,A80, IM!$AD:$AD, "O", IM!$X:$X, "&gt;="&amp;$R$2, IM!$X:$X, "&lt;="&amp;$S$2)&gt;0), "V", "")</f>
        <v>V</v>
      </c>
      <c r="E80" s="303" t="str">
        <f>IF(AND(C80&lt;&gt;"V",D80&lt;&gt;"V", COUNTIFS(IM!$F:$F, A80, IM!$AD:$AD, "O", IM!$X:$X, "&gt;="&amp;$R$3, IM!$X:$X, "&lt;="&amp;$S$3)&gt;0), "V", "")</f>
        <v/>
      </c>
      <c r="F80" s="209" t="str">
        <f>IF(COUNTBLANK(C80:E80)=3,"未保養","")</f>
        <v/>
      </c>
      <c r="G80" s="209" t="str">
        <f>IF(AND(VLOOKUP(A80,門市主檔!A:Y,25,FALSE)="STAR", VLOOKUP(A80,門市主檔!A:N,14,FALSE)=""),
    IF(OR(C80="V", D80="V", E80="V"), "已PM未更換", "未更換"),
    IF(VLOOKUP(A80,門市主檔!A:Y,25,FALSE)&lt;&gt;"STAR", "無專案", "已更換")
)</f>
        <v>無專案</v>
      </c>
      <c r="H80" s="287">
        <f>VLOOKUP(A80,門市主檔!A:U,21,FALSE)</f>
        <v>0</v>
      </c>
      <c r="I80" s="209" t="str">
        <f>VLOOKUP(A80,'0919門市清單主檔'!B:V,21,FALSE)</f>
        <v>三重區</v>
      </c>
      <c r="J80" s="217">
        <v>45667.591666666667</v>
      </c>
      <c r="K80" s="210"/>
      <c r="L80" s="210"/>
      <c r="M80" s="210"/>
      <c r="N80" s="210"/>
      <c r="O80" s="210"/>
      <c r="P80" s="204" t="s">
        <v>52</v>
      </c>
      <c r="Q80" s="214" t="s">
        <v>4114</v>
      </c>
    </row>
    <row r="81" spans="1:17" ht="19.5" customHeight="1">
      <c r="A81" s="209" t="s">
        <v>18</v>
      </c>
      <c r="B81" s="209" t="str">
        <f>VLOOKUP(A81,門市主檔!A:B,2,FALSE)</f>
        <v>三重溪尾店</v>
      </c>
      <c r="C81" s="303" t="str">
        <f>IF(COUNTIFS(IM!$F:$F,A81,IM!$AD:$AD,"O",IM!$X:$X,"&gt;="&amp;$R$1, IM!$X:$X,"&lt;="&amp;$S$1)&gt;0,"V","")</f>
        <v/>
      </c>
      <c r="D81" s="303" t="str">
        <f>IF(AND(C81&lt;&gt;"V", COUNTIFS(IM!$F:$F,A81, IM!$AD:$AD, "O", IM!$X:$X, "&gt;="&amp;$R$2, IM!$X:$X, "&lt;="&amp;$S$2)&gt;0), "V", "")</f>
        <v>V</v>
      </c>
      <c r="E81" s="303" t="str">
        <f>IF(AND(C81&lt;&gt;"V",D81&lt;&gt;"V", COUNTIFS(IM!$F:$F, A81, IM!$AD:$AD, "O", IM!$X:$X, "&gt;="&amp;$R$3, IM!$X:$X, "&lt;="&amp;$S$3)&gt;0), "V", "")</f>
        <v/>
      </c>
      <c r="F81" s="209" t="str">
        <f>IF(COUNTBLANK(C81:E81)=3,"未保養","")</f>
        <v/>
      </c>
      <c r="G81" s="209" t="str">
        <f>IF(AND(VLOOKUP(A81,門市主檔!A:Y,25,FALSE)="STAR", VLOOKUP(A81,門市主檔!A:N,14,FALSE)=""),
    IF(OR(C81="V", D81="V", E81="V"), "已PM未更換", "未更換"),
    IF(VLOOKUP(A81,門市主檔!A:Y,25,FALSE)&lt;&gt;"STAR", "無專案", "已更換")
)</f>
        <v>無專案</v>
      </c>
      <c r="H81" s="287">
        <f>VLOOKUP(A81,門市主檔!A:U,21,FALSE)</f>
        <v>0</v>
      </c>
      <c r="I81" s="209" t="str">
        <f>VLOOKUP(A81,'0919門市清單主檔'!B:V,21,FALSE)</f>
        <v>三重區</v>
      </c>
      <c r="J81" s="217">
        <v>45691.513888888891</v>
      </c>
      <c r="K81" s="210"/>
      <c r="L81" s="210"/>
      <c r="M81" s="210"/>
      <c r="N81" s="210"/>
      <c r="O81" s="210"/>
      <c r="P81" s="204" t="s">
        <v>52</v>
      </c>
      <c r="Q81" s="214" t="s">
        <v>4114</v>
      </c>
    </row>
    <row r="82" spans="1:17" ht="19.5" customHeight="1">
      <c r="A82" s="209">
        <v>3359</v>
      </c>
      <c r="B82" s="209" t="str">
        <f>VLOOKUP(A82,門市主檔!A:B,2,FALSE)</f>
        <v>三重金陵店</v>
      </c>
      <c r="C82" s="303" t="str">
        <f>IF(COUNTIFS(IM!$F:$F,A82,IM!$AD:$AD,"O",IM!$X:$X,"&gt;="&amp;$R$1, IM!$X:$X,"&lt;="&amp;$S$1)&gt;0,"V","")</f>
        <v>V</v>
      </c>
      <c r="D82" s="303" t="str">
        <f>IF(AND(C82&lt;&gt;"V", COUNTIFS(IM!$F:$F,A82, IM!$AD:$AD, "O", IM!$X:$X, "&gt;="&amp;$R$2, IM!$X:$X, "&lt;="&amp;$S$2)&gt;0), "V", "")</f>
        <v/>
      </c>
      <c r="E82" s="303" t="str">
        <f>IF(AND(C82&lt;&gt;"V",D82&lt;&gt;"V", COUNTIFS(IM!$F:$F, A82, IM!$AD:$AD, "O", IM!$X:$X, "&gt;="&amp;$R$3, IM!$X:$X, "&lt;="&amp;$S$3)&gt;0), "V", "")</f>
        <v/>
      </c>
      <c r="F82" s="209" t="str">
        <f>IF(COUNTBLANK(C82:E82)=3,"未保養","")</f>
        <v/>
      </c>
      <c r="G82" s="209" t="str">
        <f>IF(AND(VLOOKUP(A82,門市主檔!A:Y,25,FALSE)="STAR", VLOOKUP(A82,門市主檔!A:N,14,FALSE)=""),
    IF(OR(C82="V", D82="V", E82="V"), "已PM未更換", "未更換"),
    IF(VLOOKUP(A82,門市主檔!A:Y,25,FALSE)&lt;&gt;"STAR", "無專案", "已更換")
)</f>
        <v>已更換</v>
      </c>
      <c r="H82" s="287">
        <f>VLOOKUP(A82,門市主檔!A:U,21,FALSE)</f>
        <v>2</v>
      </c>
      <c r="I82" s="209" t="str">
        <f>VLOOKUP(A82,'0919門市清單主檔'!B:V,21,FALSE)</f>
        <v>三重區</v>
      </c>
      <c r="J82" s="217">
        <v>45691.614583333336</v>
      </c>
      <c r="K82" s="210"/>
      <c r="L82" s="210"/>
      <c r="M82" s="210"/>
      <c r="N82" s="210"/>
      <c r="O82" s="210"/>
      <c r="P82" s="204"/>
      <c r="Q82" s="214" t="s">
        <v>4114</v>
      </c>
    </row>
    <row r="83" spans="1:17" ht="19.5" customHeight="1">
      <c r="A83" s="209" t="s">
        <v>25</v>
      </c>
      <c r="B83" s="209" t="str">
        <f>VLOOKUP(A83,門市主檔!A:B,2,FALSE)</f>
        <v>三重興德店</v>
      </c>
      <c r="C83" s="303" t="str">
        <f>IF(COUNTIFS(IM!$F:$F,A83,IM!$AD:$AD,"O",IM!$X:$X,"&gt;="&amp;$R$1, IM!$X:$X,"&lt;="&amp;$S$1)&gt;0,"V","")</f>
        <v>V</v>
      </c>
      <c r="D83" s="303" t="str">
        <f>IF(AND(C83&lt;&gt;"V", COUNTIFS(IM!$F:$F,A83, IM!$AD:$AD, "O", IM!$X:$X, "&gt;="&amp;$R$2, IM!$X:$X, "&lt;="&amp;$S$2)&gt;0), "V", "")</f>
        <v/>
      </c>
      <c r="E83" s="303" t="str">
        <f>IF(AND(C83&lt;&gt;"V",D83&lt;&gt;"V", COUNTIFS(IM!$F:$F, A83, IM!$AD:$AD, "O", IM!$X:$X, "&gt;="&amp;$R$3, IM!$X:$X, "&lt;="&amp;$S$3)&gt;0), "V", "")</f>
        <v/>
      </c>
      <c r="F83" s="209" t="str">
        <f>IF(COUNTBLANK(C83:E83)=3,"未保養","")</f>
        <v/>
      </c>
      <c r="G83" s="209" t="str">
        <f>IF(AND(VLOOKUP(A83,門市主檔!A:Y,25,FALSE)="STAR", VLOOKUP(A83,門市主檔!A:N,14,FALSE)=""),
    IF(OR(C83="V", D83="V", E83="V"), "已PM未更換", "未更換"),
    IF(VLOOKUP(A83,門市主檔!A:Y,25,FALSE)&lt;&gt;"STAR", "無專案", "已更換")
)</f>
        <v>已更換</v>
      </c>
      <c r="H83" s="287">
        <f>VLOOKUP(A83,門市主檔!A:U,21,FALSE)</f>
        <v>2</v>
      </c>
      <c r="I83" s="209" t="str">
        <f>VLOOKUP(A83,'0919門市清單主檔'!B:V,21,FALSE)</f>
        <v>三重區</v>
      </c>
      <c r="J83" s="217">
        <v>45691.65</v>
      </c>
      <c r="K83" s="210"/>
      <c r="L83" s="210"/>
      <c r="M83" s="210"/>
      <c r="N83" s="210"/>
      <c r="O83" s="210"/>
      <c r="P83" s="204"/>
      <c r="Q83" s="214" t="s">
        <v>4114</v>
      </c>
    </row>
    <row r="84" spans="1:17" ht="19.5" customHeight="1">
      <c r="A84" s="209">
        <v>2267</v>
      </c>
      <c r="B84" s="209" t="str">
        <f>VLOOKUP(A84,門市主檔!A:B,2,FALSE)</f>
        <v>北縣金陽店</v>
      </c>
      <c r="C84" s="303" t="str">
        <f>IF(COUNTIFS(IM!$F:$F,A84,IM!$AD:$AD,"O",IM!$X:$X,"&gt;="&amp;$R$1, IM!$X:$X,"&lt;="&amp;$S$1)&gt;0,"V","")</f>
        <v>V</v>
      </c>
      <c r="D84" s="303" t="str">
        <f>IF(AND(C84&lt;&gt;"V", COUNTIFS(IM!$F:$F,A84, IM!$AD:$AD, "O", IM!$X:$X, "&gt;="&amp;$R$2, IM!$X:$X, "&lt;="&amp;$S$2)&gt;0), "V", "")</f>
        <v/>
      </c>
      <c r="E84" s="303" t="str">
        <f>IF(AND(C84&lt;&gt;"V",D84&lt;&gt;"V", COUNTIFS(IM!$F:$F, A84, IM!$AD:$AD, "O", IM!$X:$X, "&gt;="&amp;$R$3, IM!$X:$X, "&lt;="&amp;$S$3)&gt;0), "V", "")</f>
        <v/>
      </c>
      <c r="F84" s="209" t="str">
        <f>IF(COUNTBLANK(C84:E84)=3,"未保養","")</f>
        <v/>
      </c>
      <c r="G84" s="209" t="str">
        <f>IF(AND(VLOOKUP(A84,門市主檔!A:Y,25,FALSE)="STAR", VLOOKUP(A84,門市主檔!A:N,14,FALSE)=""),
    IF(OR(C84="V", D84="V", E84="V"), "已PM未更換", "未更換"),
    IF(VLOOKUP(A84,門市主檔!A:Y,25,FALSE)&lt;&gt;"STAR", "無專案", "已更換")
)</f>
        <v>已更換</v>
      </c>
      <c r="H84" s="287">
        <f>VLOOKUP(A84,門市主檔!A:U,21,FALSE)</f>
        <v>2</v>
      </c>
      <c r="I84" s="209" t="str">
        <f>VLOOKUP(A84,'0919門市清單主檔'!B:V,21,FALSE)</f>
        <v>金山區</v>
      </c>
      <c r="J84" s="217">
        <v>45679.558333333334</v>
      </c>
      <c r="K84" s="210"/>
      <c r="L84" s="210"/>
      <c r="M84" s="210"/>
      <c r="N84" s="210"/>
      <c r="O84" s="210"/>
      <c r="P84" s="204" t="s">
        <v>52</v>
      </c>
      <c r="Q84" s="214" t="s">
        <v>4114</v>
      </c>
    </row>
    <row r="85" spans="1:17" ht="19.5" customHeight="1">
      <c r="A85" s="209">
        <v>5060</v>
      </c>
      <c r="B85" s="209" t="str">
        <f>VLOOKUP(A85,門市主檔!A:B,2,FALSE)</f>
        <v>淡水魚市店</v>
      </c>
      <c r="C85" s="303" t="str">
        <f>IF(COUNTIFS(IM!$F:$F,A85,IM!$AD:$AD,"O",IM!$X:$X,"&gt;="&amp;$R$1, IM!$X:$X,"&lt;="&amp;$S$1)&gt;0,"V","")</f>
        <v>V</v>
      </c>
      <c r="D85" s="303" t="str">
        <f>IF(AND(C85&lt;&gt;"V", COUNTIFS(IM!$F:$F,A85, IM!$AD:$AD, "O", IM!$X:$X, "&gt;="&amp;$R$2, IM!$X:$X, "&lt;="&amp;$S$2)&gt;0), "V", "")</f>
        <v/>
      </c>
      <c r="E85" s="303" t="str">
        <f>IF(AND(C85&lt;&gt;"V",D85&lt;&gt;"V", COUNTIFS(IM!$F:$F, A85, IM!$AD:$AD, "O", IM!$X:$X, "&gt;="&amp;$R$3, IM!$X:$X, "&lt;="&amp;$S$3)&gt;0), "V", "")</f>
        <v/>
      </c>
      <c r="F85" s="209" t="str">
        <f>IF(COUNTBLANK(C85:E85)=3,"未保養","")</f>
        <v/>
      </c>
      <c r="G85" s="209" t="str">
        <f>IF(AND(VLOOKUP(A85,門市主檔!A:Y,25,FALSE)="STAR", VLOOKUP(A85,門市主檔!A:N,14,FALSE)=""),
    IF(OR(C85="V", D85="V", E85="V"), "已PM未更換", "未更換"),
    IF(VLOOKUP(A85,門市主檔!A:Y,25,FALSE)&lt;&gt;"STAR", "無專案", "已更換")
)</f>
        <v>無專案</v>
      </c>
      <c r="H85" s="287">
        <f>VLOOKUP(A85,門市主檔!A:U,21,FALSE)</f>
        <v>0</v>
      </c>
      <c r="I85" s="209" t="str">
        <f>VLOOKUP(A85,'0919門市清單主檔'!B:V,21,FALSE)</f>
        <v>淡水區</v>
      </c>
      <c r="J85" s="217">
        <v>45730.652777777781</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"&gt;="&amp;$R$2, IM!$X:$X, "&lt;="&amp;$S$2)&gt;0), "V", "")</f>
        <v/>
      </c>
      <c r="E86" s="303" t="str">
        <f>IF(AND(C86&lt;&gt;"V",D86&lt;&gt;"V", COUNTIFS(IM!$F:$F, A86, IM!$AD:$AD, "O", IM!$X:$X, "&gt;="&amp;$R$3, IM!$X:$X, "&lt;="&amp;$S$3)&gt;0), "V", "")</f>
        <v/>
      </c>
      <c r="F86" s="209" t="str">
        <f>IF(COUNTBLANK(C86:E86)=3,"未保養","")</f>
        <v/>
      </c>
      <c r="G86" s="209" t="str">
        <f>IF(AND(VLOOKUP(A86,門市主檔!A:Y,25,FALSE)="STAR", VLOOKUP(A86,門市主檔!A:N,14,FALSE)=""),
    IF(OR(C86="V", D86="V", E86="V"), "已PM未更換", "未更換"),
    IF(VLOOKUP(A86,門市主檔!A:Y,25,FALSE)&lt;&gt;"STAR", "無專案", "已更換")
)</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"&gt;="&amp;$R$2, IM!$X:$X, "&lt;="&amp;$S$2)&gt;0), "V", "")</f>
        <v/>
      </c>
      <c r="E87" s="303" t="str">
        <f>IF(AND(C87&lt;&gt;"V",D87&lt;&gt;"V", COUNTIFS(IM!$F:$F, A87, IM!$AD:$AD, "O", IM!$X:$X, "&gt;="&amp;$R$3, IM!$X:$X, "&lt;="&amp;$S$3)&gt;0), "V", "")</f>
        <v/>
      </c>
      <c r="F87" s="209" t="str">
        <f>IF(COUNTBLANK(C87:E87)=3,"未保養","")</f>
        <v/>
      </c>
      <c r="G87" s="209" t="str">
        <f>IF(AND(VLOOKUP(A87,門市主檔!A:Y,25,FALSE)="STAR", VLOOKUP(A87,門市主檔!A:N,14,FALSE)=""),
    IF(OR(C87="V", D87="V", E87="V"), "已PM未更換", "未更換"),
    IF(VLOOKUP(A87,門市主檔!A:Y,25,FALSE)&lt;&gt;"STAR", "無專案", "已更換")
)</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"&gt;="&amp;$R$2, IM!$X:$X, "&lt;="&amp;$S$2)&gt;0), "V", "")</f>
        <v/>
      </c>
      <c r="E88" s="303" t="str">
        <f>IF(AND(C88&lt;&gt;"V",D88&lt;&gt;"V", COUNTIFS(IM!$F:$F, A88, IM!$AD:$AD, "O", IM!$X:$X, "&gt;="&amp;$R$3, IM!$X:$X, "&lt;="&amp;$S$3)&gt;0), "V", "")</f>
        <v/>
      </c>
      <c r="F88" s="209" t="str">
        <f>IF(COUNTBLANK(C88:E88)=3,"未保養","")</f>
        <v/>
      </c>
      <c r="G88" s="209" t="str">
        <f>IF(AND(VLOOKUP(A88,門市主檔!A:Y,25,FALSE)="STAR", VLOOKUP(A88,門市主檔!A:N,14,FALSE)=""),
    IF(OR(C88="V", D88="V", E88="V"), "已PM未更換", "未更換"),
    IF(VLOOKUP(A88,門市主檔!A:Y,25,FALSE)&lt;&gt;"STAR", "無專案", "已更換")
)</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"&gt;="&amp;$R$2, IM!$X:$X, "&lt;="&amp;$S$2)&gt;0), "V", "")</f>
        <v/>
      </c>
      <c r="E89" s="303" t="str">
        <f>IF(AND(C89&lt;&gt;"V",D89&lt;&gt;"V", COUNTIFS(IM!$F:$F, A89, IM!$AD:$AD, "O", IM!$X:$X, "&gt;="&amp;$R$3, IM!$X:$X, "&lt;="&amp;$S$3)&gt;0), "V", "")</f>
        <v/>
      </c>
      <c r="F89" s="209" t="str">
        <f>IF(COUNTBLANK(C89:E89)=3,"未保養","")</f>
        <v/>
      </c>
      <c r="G89" s="209" t="str">
        <f>IF(AND(VLOOKUP(A89,門市主檔!A:Y,25,FALSE)="STAR", VLOOKUP(A89,門市主檔!A:N,14,FALSE)=""),
    IF(OR(C89="V", D89="V", E89="V"), "已PM未更換", "未更換"),
    IF(VLOOKUP(A89,門市主檔!A:Y,25,FALSE)&lt;&gt;"STAR", "無專案", "已更換")
)</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"&gt;="&amp;$R$2, IM!$X:$X, "&lt;="&amp;$S$2)&gt;0), "V", "")</f>
        <v/>
      </c>
      <c r="E90" s="303" t="str">
        <f>IF(AND(C90&lt;&gt;"V",D90&lt;&gt;"V", COUNTIFS(IM!$F:$F, A90, IM!$AD:$AD, "O", IM!$X:$X, "&gt;="&amp;$R$3, IM!$X:$X, "&lt;="&amp;$S$3)&gt;0), "V", "")</f>
        <v/>
      </c>
      <c r="F90" s="209" t="str">
        <f>IF(COUNTBLANK(C90:E90)=3,"未保養","")</f>
        <v/>
      </c>
      <c r="G90" s="209" t="str">
        <f>IF(AND(VLOOKUP(A90,門市主檔!A:Y,25,FALSE)="STAR", VLOOKUP(A90,門市主檔!A:N,14,FALSE)=""),
    IF(OR(C90="V", D90="V", E90="V"), "已PM未更換", "未更換"),
    IF(VLOOKUP(A90,門市主檔!A:Y,25,FALSE)&lt;&gt;"STAR", "無專案", "已更換")
)</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"&gt;="&amp;$R$2, IM!$X:$X, "&lt;="&amp;$S$2)&gt;0), "V", "")</f>
        <v/>
      </c>
      <c r="E91" s="303" t="str">
        <f>IF(AND(C91&lt;&gt;"V",D91&lt;&gt;"V", COUNTIFS(IM!$F:$F, A91, IM!$AD:$AD, "O", IM!$X:$X, "&gt;="&amp;$R$3, IM!$X:$X, "&lt;="&amp;$S$3)&gt;0), "V", "")</f>
        <v/>
      </c>
      <c r="F91" s="209" t="str">
        <f>IF(COUNTBLANK(C91:E91)=3,"未保養","")</f>
        <v/>
      </c>
      <c r="G91" s="209" t="str">
        <f>IF(AND(VLOOKUP(A91,門市主檔!A:Y,25,FALSE)="STAR", VLOOKUP(A91,門市主檔!A:N,14,FALSE)=""),
    IF(OR(C91="V", D91="V", E91="V"), "已PM未更換", "未更換"),
    IF(VLOOKUP(A91,門市主檔!A:Y,25,FALSE)&lt;&gt;"STAR", "無專案", "已更換")
)</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"&gt;="&amp;$R$2, IM!$X:$X, "&lt;="&amp;$S$2)&gt;0), "V", "")</f>
        <v/>
      </c>
      <c r="E92" s="303" t="str">
        <f>IF(AND(C92&lt;&gt;"V",D92&lt;&gt;"V", COUNTIFS(IM!$F:$F, A92, IM!$AD:$AD, "O", IM!$X:$X, "&gt;="&amp;$R$3, IM!$X:$X, "&lt;="&amp;$S$3)&gt;0), "V", "")</f>
        <v/>
      </c>
      <c r="F92" s="209" t="str">
        <f>IF(COUNTBLANK(C92:E92)=3,"未保養","")</f>
        <v/>
      </c>
      <c r="G92" s="209" t="str">
        <f>IF(AND(VLOOKUP(A92,門市主檔!A:Y,25,FALSE)="STAR", VLOOKUP(A92,門市主檔!A:N,14,FALSE)=""),
    IF(OR(C92="V", D92="V", E92="V"), "已PM未更換", "未更換"),
    IF(VLOOKUP(A92,門市主檔!A:Y,25,FALSE)&lt;&gt;"STAR", "無專案", "已更換")
)</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"&gt;="&amp;$R$2, IM!$X:$X, "&lt;="&amp;$S$2)&gt;0), "V", "")</f>
        <v/>
      </c>
      <c r="E93" s="303" t="str">
        <f>IF(AND(C93&lt;&gt;"V",D93&lt;&gt;"V", COUNTIFS(IM!$F:$F, A93, IM!$AD:$AD, "O", IM!$X:$X, "&gt;="&amp;$R$3, IM!$X:$X, "&lt;="&amp;$S$3)&gt;0), "V", "")</f>
        <v/>
      </c>
      <c r="F93" s="209" t="str">
        <f>IF(COUNTBLANK(C93:E93)=3,"未保養","")</f>
        <v/>
      </c>
      <c r="G93" s="209" t="str">
        <f>IF(AND(VLOOKUP(A93,門市主檔!A:Y,25,FALSE)="STAR", VLOOKUP(A93,門市主檔!A:N,14,FALSE)=""),
    IF(OR(C93="V", D93="V", E93="V"), "已PM未更換", "未更換"),
    IF(VLOOKUP(A93,門市主檔!A:Y,25,FALSE)&lt;&gt;"STAR", "無專案", "已更換")
)</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"&gt;="&amp;$R$2, IM!$X:$X, "&lt;="&amp;$S$2)&gt;0), "V", "")</f>
        <v/>
      </c>
      <c r="E94" s="303" t="str">
        <f>IF(AND(C94&lt;&gt;"V",D94&lt;&gt;"V", COUNTIFS(IM!$F:$F, A94, IM!$AD:$AD, "O", IM!$X:$X, "&gt;="&amp;$R$3, IM!$X:$X, "&lt;="&amp;$S$3)&gt;0), "V", "")</f>
        <v/>
      </c>
      <c r="F94" s="209" t="str">
        <f>IF(COUNTBLANK(C94:E94)=3,"未保養","")</f>
        <v/>
      </c>
      <c r="G94" s="209" t="str">
        <f>IF(AND(VLOOKUP(A94,門市主檔!A:Y,25,FALSE)="STAR", VLOOKUP(A94,門市主檔!A:N,14,FALSE)=""),
    IF(OR(C94="V", D94="V", E94="V"), "已PM未更換", "未更換"),
    IF(VLOOKUP(A94,門市主檔!A:Y,25,FALSE)&lt;&gt;"STAR", "無專案", "已更換")
)</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"&gt;="&amp;$R$2, IM!$X:$X, "&lt;="&amp;$S$2)&gt;0), "V", "")</f>
        <v/>
      </c>
      <c r="E95" s="303" t="str">
        <f>IF(AND(C95&lt;&gt;"V",D95&lt;&gt;"V", COUNTIFS(IM!$F:$F, A95, IM!$AD:$AD, "O", IM!$X:$X, "&gt;="&amp;$R$3, IM!$X:$X, "&lt;="&amp;$S$3)&gt;0), "V", "")</f>
        <v/>
      </c>
      <c r="F95" s="209" t="str">
        <f>IF(COUNTBLANK(C95:E95)=3,"未保養","")</f>
        <v/>
      </c>
      <c r="G95" s="209" t="str">
        <f>IF(AND(VLOOKUP(A95,門市主檔!A:Y,25,FALSE)="STAR", VLOOKUP(A95,門市主檔!A:N,14,FALSE)=""),
    IF(OR(C95="V", D95="V", E95="V"), "已PM未更換", "未更換"),
    IF(VLOOKUP(A95,門市主檔!A:Y,25,FALSE)&lt;&gt;"STAR", "無專案", "已更換")
)</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"&gt;="&amp;$R$2, IM!$X:$X, "&lt;="&amp;$S$2)&gt;0), "V", "")</f>
        <v/>
      </c>
      <c r="E96" s="303" t="str">
        <f>IF(AND(C96&lt;&gt;"V",D96&lt;&gt;"V", COUNTIFS(IM!$F:$F, A96, IM!$AD:$AD, "O", IM!$X:$X, "&gt;="&amp;$R$3, IM!$X:$X, "&lt;="&amp;$S$3)&gt;0), "V", "")</f>
        <v/>
      </c>
      <c r="F96" s="209" t="str">
        <f>IF(COUNTBLANK(C96:E96)=3,"未保養","")</f>
        <v/>
      </c>
      <c r="G96" s="209" t="str">
        <f>IF(AND(VLOOKUP(A96,門市主檔!A:Y,25,FALSE)="STAR", VLOOKUP(A96,門市主檔!A:N,14,FALSE)=""),
    IF(OR(C96="V", D96="V", E96="V"), "已PM未更換", "未更換"),
    IF(VLOOKUP(A96,門市主檔!A:Y,25,FALSE)&lt;&gt;"STAR", "無專案", "已更換")
)</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"&gt;="&amp;$R$2, IM!$X:$X, "&lt;="&amp;$S$2)&gt;0), "V", "")</f>
        <v/>
      </c>
      <c r="E97" s="303" t="str">
        <f>IF(AND(C97&lt;&gt;"V",D97&lt;&gt;"V", COUNTIFS(IM!$F:$F, A97, IM!$AD:$AD, "O", IM!$X:$X, "&gt;="&amp;$R$3, IM!$X:$X, "&lt;="&amp;$S$3)&gt;0), "V", "")</f>
        <v/>
      </c>
      <c r="F97" s="209" t="str">
        <f>IF(COUNTBLANK(C97:E97)=3,"未保養","")</f>
        <v/>
      </c>
      <c r="G97" s="209" t="str">
        <f>IF(AND(VLOOKUP(A97,門市主檔!A:Y,25,FALSE)="STAR", VLOOKUP(A97,門市主檔!A:N,14,FALSE)=""),
    IF(OR(C97="V", D97="V", E97="V"), "已PM未更換", "未更換"),
    IF(VLOOKUP(A97,門市主檔!A:Y,25,FALSE)&lt;&gt;"STAR", "無專案", "已更換")
)</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"&gt;="&amp;$R$2, IM!$X:$X, "&lt;="&amp;$S$2)&gt;0), "V", "")</f>
        <v/>
      </c>
      <c r="E98" s="303" t="str">
        <f>IF(AND(C98&lt;&gt;"V",D98&lt;&gt;"V", COUNTIFS(IM!$F:$F, A98, IM!$AD:$AD, "O", IM!$X:$X, "&gt;="&amp;$R$3, IM!$X:$X, "&lt;="&amp;$S$3)&gt;0), "V", "")</f>
        <v/>
      </c>
      <c r="F98" s="209" t="str">
        <f>IF(COUNTBLANK(C98:E98)=3,"未保養","")</f>
        <v/>
      </c>
      <c r="G98" s="209" t="str">
        <f>IF(AND(VLOOKUP(A98,門市主檔!A:Y,25,FALSE)="STAR", VLOOKUP(A98,門市主檔!A:N,14,FALSE)=""),
    IF(OR(C98="V", D98="V", E98="V"), "已PM未更換", "未更換"),
    IF(VLOOKUP(A98,門市主檔!A:Y,25,FALSE)&lt;&gt;"STAR", "無專案", "已更換")
)</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"&gt;="&amp;$R$2, IM!$X:$X, "&lt;="&amp;$S$2)&gt;0), "V", "")</f>
        <v/>
      </c>
      <c r="E99" s="303" t="str">
        <f>IF(AND(C99&lt;&gt;"V",D99&lt;&gt;"V", COUNTIFS(IM!$F:$F, A99, IM!$AD:$AD, "O", IM!$X:$X, "&gt;="&amp;$R$3, IM!$X:$X, "&lt;="&amp;$S$3)&gt;0), "V", "")</f>
        <v/>
      </c>
      <c r="F99" s="209" t="str">
        <f>IF(COUNTBLANK(C99:E99)=3,"未保養","")</f>
        <v/>
      </c>
      <c r="G99" s="209" t="str">
        <f>IF(AND(VLOOKUP(A99,門市主檔!A:Y,25,FALSE)="STAR", VLOOKUP(A99,門市主檔!A:N,14,FALSE)=""),
    IF(OR(C99="V", D99="V", E99="V"), "已PM未更換", "未更換"),
    IF(VLOOKUP(A99,門市主檔!A:Y,25,FALSE)&lt;&gt;"STAR", "無專案", "已更換")
)</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"&gt;="&amp;$R$2, IM!$X:$X, "&lt;="&amp;$S$2)&gt;0), "V", "")</f>
        <v/>
      </c>
      <c r="E100" s="303" t="str">
        <f>IF(AND(C100&lt;&gt;"V",D100&lt;&gt;"V", COUNTIFS(IM!$F:$F, A100, IM!$AD:$AD, "O", IM!$X:$X, "&gt;="&amp;$R$3, IM!$X:$X, "&lt;="&amp;$S$3)&gt;0), "V", "")</f>
        <v/>
      </c>
      <c r="F100" s="209" t="str">
        <f>IF(COUNTBLANK(C100:E100)=3,"未保養","")</f>
        <v/>
      </c>
      <c r="G100" s="209" t="str">
        <f>IF(AND(VLOOKUP(A100,門市主檔!A:Y,25,FALSE)="STAR", VLOOKUP(A100,門市主檔!A:N,14,FALSE)=""),
    IF(OR(C100="V", D100="V", E100="V"), "已PM未更換", "未更換"),
    IF(VLOOKUP(A100,門市主檔!A:Y,25,FALSE)&lt;&gt;"STAR", "無專案", "已更換")
)</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"&gt;="&amp;$R$2, IM!$X:$X, "&lt;="&amp;$S$2)&gt;0), "V", "")</f>
        <v/>
      </c>
      <c r="E101" s="303" t="str">
        <f>IF(AND(C101&lt;&gt;"V",D101&lt;&gt;"V", COUNTIFS(IM!$F:$F, A101, IM!$AD:$AD, "O", IM!$X:$X, "&gt;="&amp;$R$3, IM!$X:$X, "&lt;="&amp;$S$3)&gt;0), "V", "")</f>
        <v/>
      </c>
      <c r="F101" s="209" t="str">
        <f>IF(COUNTBLANK(C101:E101)=3,"未保養","")</f>
        <v/>
      </c>
      <c r="G101" s="209" t="str">
        <f>IF(AND(VLOOKUP(A101,門市主檔!A:Y,25,FALSE)="STAR", VLOOKUP(A101,門市主檔!A:N,14,FALSE)=""),
    IF(OR(C101="V", D101="V", E101="V"), "已PM未更換", "未更換"),
    IF(VLOOKUP(A101,門市主檔!A:Y,25,FALSE)&lt;&gt;"STAR", "無專案", "已更換")
)</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"&gt;="&amp;$R$2, IM!$X:$X, "&lt;="&amp;$S$2)&gt;0), "V", "")</f>
        <v/>
      </c>
      <c r="E102" s="303" t="str">
        <f>IF(AND(C102&lt;&gt;"V",D102&lt;&gt;"V", COUNTIFS(IM!$F:$F, A102, IM!$AD:$AD, "O", IM!$X:$X, "&gt;="&amp;$R$3, IM!$X:$X, "&lt;="&amp;$S$3)&gt;0), "V", "")</f>
        <v/>
      </c>
      <c r="F102" s="209" t="str">
        <f>IF(COUNTBLANK(C102:E102)=3,"未保養","")</f>
        <v/>
      </c>
      <c r="G102" s="209" t="str">
        <f>IF(AND(VLOOKUP(A102,門市主檔!A:Y,25,FALSE)="STAR", VLOOKUP(A102,門市主檔!A:N,14,FALSE)=""),
    IF(OR(C102="V", D102="V", E102="V"), "已PM未更換", "未更換"),
    IF(VLOOKUP(A102,門市主檔!A:Y,25,FALSE)&lt;&gt;"STAR", "無專案", "已更換")
)</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"&gt;="&amp;$R$2, IM!$X:$X, "&lt;="&amp;$S$2)&gt;0), "V", "")</f>
        <v/>
      </c>
      <c r="E103" s="303" t="str">
        <f>IF(AND(C103&lt;&gt;"V",D103&lt;&gt;"V", COUNTIFS(IM!$F:$F, A103, IM!$AD:$AD, "O", IM!$X:$X, "&gt;="&amp;$R$3, IM!$X:$X, "&lt;="&amp;$S$3)&gt;0), "V", "")</f>
        <v/>
      </c>
      <c r="F103" s="209" t="str">
        <f>IF(COUNTBLANK(C103:E103)=3,"未保養","")</f>
        <v/>
      </c>
      <c r="G103" s="209" t="str">
        <f>IF(AND(VLOOKUP(A103,門市主檔!A:Y,25,FALSE)="STAR", VLOOKUP(A103,門市主檔!A:N,14,FALSE)=""),
    IF(OR(C103="V", D103="V", E103="V"), "已PM未更換", "未更換"),
    IF(VLOOKUP(A103,門市主檔!A:Y,25,FALSE)&lt;&gt;"STAR", "無專案", "已更換")
)</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"&gt;="&amp;$R$2, IM!$X:$X, "&lt;="&amp;$S$2)&gt;0), "V", "")</f>
        <v/>
      </c>
      <c r="E104" s="303" t="str">
        <f>IF(AND(C104&lt;&gt;"V",D104&lt;&gt;"V", COUNTIFS(IM!$F:$F, A104, IM!$AD:$AD, "O", IM!$X:$X, "&gt;="&amp;$R$3, IM!$X:$X, "&lt;="&amp;$S$3)&gt;0), "V", "")</f>
        <v/>
      </c>
      <c r="F104" s="209" t="str">
        <f>IF(COUNTBLANK(C104:E104)=3,"未保養","")</f>
        <v/>
      </c>
      <c r="G104" s="209" t="str">
        <f>IF(AND(VLOOKUP(A104,門市主檔!A:Y,25,FALSE)="STAR", VLOOKUP(A104,門市主檔!A:N,14,FALSE)=""),
    IF(OR(C104="V", D104="V", E104="V"), "已PM未更換", "未更換"),
    IF(VLOOKUP(A104,門市主檔!A:Y,25,FALSE)&lt;&gt;"STAR", "無專案", "已更換")
)</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"&gt;="&amp;$R$2, IM!$X:$X, "&lt;="&amp;$S$2)&gt;0), "V", "")</f>
        <v/>
      </c>
      <c r="E105" s="303" t="str">
        <f>IF(AND(C105&lt;&gt;"V",D105&lt;&gt;"V", COUNTIFS(IM!$F:$F, A105, IM!$AD:$AD, "O", IM!$X:$X, "&gt;="&amp;$R$3, IM!$X:$X, "&lt;="&amp;$S$3)&gt;0), "V", "")</f>
        <v/>
      </c>
      <c r="F105" s="209" t="str">
        <f>IF(COUNTBLANK(C105:E105)=3,"未保養","")</f>
        <v/>
      </c>
      <c r="G105" s="209" t="str">
        <f>IF(AND(VLOOKUP(A105,門市主檔!A:Y,25,FALSE)="STAR", VLOOKUP(A105,門市主檔!A:N,14,FALSE)=""),
    IF(OR(C105="V", D105="V", E105="V"), "已PM未更換", "未更換"),
    IF(VLOOKUP(A105,門市主檔!A:Y,25,FALSE)&lt;&gt;"STAR", "無專案", "已更換")
)</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"&gt;="&amp;$R$2, IM!$X:$X, "&lt;="&amp;$S$2)&gt;0), "V", "")</f>
        <v/>
      </c>
      <c r="E106" s="303" t="str">
        <f>IF(AND(C106&lt;&gt;"V",D106&lt;&gt;"V", COUNTIFS(IM!$F:$F, A106, IM!$AD:$AD, "O", IM!$X:$X, "&gt;="&amp;$R$3, IM!$X:$X, "&lt;="&amp;$S$3)&gt;0), "V", "")</f>
        <v/>
      </c>
      <c r="F106" s="209" t="str">
        <f>IF(COUNTBLANK(C106:E106)=3,"未保養","")</f>
        <v/>
      </c>
      <c r="G106" s="209" t="str">
        <f>IF(AND(VLOOKUP(A106,門市主檔!A:Y,25,FALSE)="STAR", VLOOKUP(A106,門市主檔!A:N,14,FALSE)=""),
    IF(OR(C106="V", D106="V", E106="V"), "已PM未更換", "未更換"),
    IF(VLOOKUP(A106,門市主檔!A:Y,25,FALSE)&lt;&gt;"STAR", "無專案", "已更換")
)</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"&gt;="&amp;$R$2, IM!$X:$X, "&lt;="&amp;$S$2)&gt;0), "V", "")</f>
        <v/>
      </c>
      <c r="E107" s="303" t="str">
        <f>IF(AND(C107&lt;&gt;"V",D107&lt;&gt;"V", COUNTIFS(IM!$F:$F, A107, IM!$AD:$AD, "O", IM!$X:$X, "&gt;="&amp;$R$3, IM!$X:$X, "&lt;="&amp;$S$3)&gt;0), "V", "")</f>
        <v/>
      </c>
      <c r="F107" s="209" t="str">
        <f>IF(COUNTBLANK(C107:E107)=3,"未保養","")</f>
        <v/>
      </c>
      <c r="G107" s="209" t="str">
        <f>IF(AND(VLOOKUP(A107,門市主檔!A:Y,25,FALSE)="STAR", VLOOKUP(A107,門市主檔!A:N,14,FALSE)=""),
    IF(OR(C107="V", D107="V", E107="V"), "已PM未更換", "未更換"),
    IF(VLOOKUP(A107,門市主檔!A:Y,25,FALSE)&lt;&gt;"STAR", "無專案", "已更換")
)</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"&gt;="&amp;$R$2, IM!$X:$X, "&lt;="&amp;$S$2)&gt;0), "V", "")</f>
        <v/>
      </c>
      <c r="E108" s="303" t="str">
        <f>IF(AND(C108&lt;&gt;"V",D108&lt;&gt;"V", COUNTIFS(IM!$F:$F, A108, IM!$AD:$AD, "O", IM!$X:$X, "&gt;="&amp;$R$3, IM!$X:$X, "&lt;="&amp;$S$3)&gt;0), "V", "")</f>
        <v/>
      </c>
      <c r="F108" s="209" t="str">
        <f>IF(COUNTBLANK(C108:E108)=3,"未保養","")</f>
        <v/>
      </c>
      <c r="G108" s="209" t="str">
        <f>IF(AND(VLOOKUP(A108,門市主檔!A:Y,25,FALSE)="STAR", VLOOKUP(A108,門市主檔!A:N,14,FALSE)=""),
    IF(OR(C108="V", D108="V", E108="V"), "已PM未更換", "未更換"),
    IF(VLOOKUP(A108,門市主檔!A:Y,25,FALSE)&lt;&gt;"STAR", "無專案", "已更換")
)</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"&gt;="&amp;$R$2, IM!$X:$X, "&lt;="&amp;$S$2)&gt;0), "V", "")</f>
        <v/>
      </c>
      <c r="E109" s="303" t="str">
        <f>IF(AND(C109&lt;&gt;"V",D109&lt;&gt;"V", COUNTIFS(IM!$F:$F, A109, IM!$AD:$AD, "O", IM!$X:$X, "&gt;="&amp;$R$3, IM!$X:$X, "&lt;="&amp;$S$3)&gt;0), "V", "")</f>
        <v/>
      </c>
      <c r="F109" s="209" t="str">
        <f>IF(COUNTBLANK(C109:E109)=3,"未保養","")</f>
        <v/>
      </c>
      <c r="G109" s="209" t="str">
        <f>IF(AND(VLOOKUP(A109,門市主檔!A:Y,25,FALSE)="STAR", VLOOKUP(A109,門市主檔!A:N,14,FALSE)=""),
    IF(OR(C109="V", D109="V", E109="V"), "已PM未更換", "未更換"),
    IF(VLOOKUP(A109,門市主檔!A:Y,25,FALSE)&lt;&gt;"STAR", "無專案", "已更換")
)</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"&gt;="&amp;$R$2, IM!$X:$X, "&lt;="&amp;$S$2)&gt;0), "V", "")</f>
        <v/>
      </c>
      <c r="E110" s="303" t="str">
        <f>IF(AND(C110&lt;&gt;"V",D110&lt;&gt;"V", COUNTIFS(IM!$F:$F, A110, IM!$AD:$AD, "O", IM!$X:$X, "&gt;="&amp;$R$3, IM!$X:$X, "&lt;="&amp;$S$3)&gt;0), "V", "")</f>
        <v/>
      </c>
      <c r="F110" s="209" t="str">
        <f>IF(COUNTBLANK(C110:E110)=3,"未保養","")</f>
        <v/>
      </c>
      <c r="G110" s="209" t="str">
        <f>IF(AND(VLOOKUP(A110,門市主檔!A:Y,25,FALSE)="STAR", VLOOKUP(A110,門市主檔!A:N,14,FALSE)=""),
    IF(OR(C110="V", D110="V", E110="V"), "已PM未更換", "未更換"),
    IF(VLOOKUP(A110,門市主檔!A:Y,25,FALSE)&lt;&gt;"STAR", "無專案", "已更換")
)</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"&gt;="&amp;$R$2, IM!$X:$X, "&lt;="&amp;$S$2)&gt;0), "V", "")</f>
        <v/>
      </c>
      <c r="E111" s="303" t="str">
        <f>IF(AND(C111&lt;&gt;"V",D111&lt;&gt;"V", COUNTIFS(IM!$F:$F, A111, IM!$AD:$AD, "O", IM!$X:$X, "&gt;="&amp;$R$3, IM!$X:$X, "&lt;="&amp;$S$3)&gt;0), "V", "")</f>
        <v/>
      </c>
      <c r="F111" s="209" t="str">
        <f>IF(COUNTBLANK(C111:E111)=3,"未保養","")</f>
        <v/>
      </c>
      <c r="G111" s="209" t="str">
        <f>IF(AND(VLOOKUP(A111,門市主檔!A:Y,25,FALSE)="STAR", VLOOKUP(A111,門市主檔!A:N,14,FALSE)=""),
    IF(OR(C111="V", D111="V", E111="V"), "已PM未更換", "未更換"),
    IF(VLOOKUP(A111,門市主檔!A:Y,25,FALSE)&lt;&gt;"STAR", "無專案", "已更換")
)</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"&gt;="&amp;$R$2, IM!$X:$X, "&lt;="&amp;$S$2)&gt;0), "V", "")</f>
        <v/>
      </c>
      <c r="E112" s="303" t="str">
        <f>IF(AND(C112&lt;&gt;"V",D112&lt;&gt;"V", COUNTIFS(IM!$F:$F, A112, IM!$AD:$AD, "O", IM!$X:$X, "&gt;="&amp;$R$3, IM!$X:$X, "&lt;="&amp;$S$3)&gt;0), "V", "")</f>
        <v/>
      </c>
      <c r="F112" s="209" t="str">
        <f>IF(COUNTBLANK(C112:E112)=3,"未保養","")</f>
        <v/>
      </c>
      <c r="G112" s="209" t="str">
        <f>IF(AND(VLOOKUP(A112,門市主檔!A:Y,25,FALSE)="STAR", VLOOKUP(A112,門市主檔!A:N,14,FALSE)=""),
    IF(OR(C112="V", D112="V", E112="V"), "已PM未更換", "未更換"),
    IF(VLOOKUP(A112,門市主檔!A:Y,25,FALSE)&lt;&gt;"STAR", "無專案", "已更換")
)</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"&gt;="&amp;$R$2, IM!$X:$X, "&lt;="&amp;$S$2)&gt;0), "V", "")</f>
        <v/>
      </c>
      <c r="E113" s="303" t="str">
        <f>IF(AND(C113&lt;&gt;"V",D113&lt;&gt;"V", COUNTIFS(IM!$F:$F, A113, IM!$AD:$AD, "O", IM!$X:$X, "&gt;="&amp;$R$3, IM!$X:$X, "&lt;="&amp;$S$3)&gt;0), "V", "")</f>
        <v/>
      </c>
      <c r="F113" s="209" t="str">
        <f>IF(COUNTBLANK(C113:E113)=3,"未保養","")</f>
        <v/>
      </c>
      <c r="G113" s="209" t="str">
        <f>IF(AND(VLOOKUP(A113,門市主檔!A:Y,25,FALSE)="STAR", VLOOKUP(A113,門市主檔!A:N,14,FALSE)=""),
    IF(OR(C113="V", D113="V", E113="V"), "已PM未更換", "未更換"),
    IF(VLOOKUP(A113,門市主檔!A:Y,25,FALSE)&lt;&gt;"STAR", "無專案", "已更換")
)</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"&gt;="&amp;$R$2, IM!$X:$X, "&lt;="&amp;$S$2)&gt;0), "V", "")</f>
        <v/>
      </c>
      <c r="E114" s="303" t="str">
        <f>IF(AND(C114&lt;&gt;"V",D114&lt;&gt;"V", COUNTIFS(IM!$F:$F, A114, IM!$AD:$AD, "O", IM!$X:$X, "&gt;="&amp;$R$3, IM!$X:$X, "&lt;="&amp;$S$3)&gt;0), "V", "")</f>
        <v/>
      </c>
      <c r="F114" s="209" t="str">
        <f>IF(COUNTBLANK(C114:E114)=3,"未保養","")</f>
        <v/>
      </c>
      <c r="G114" s="209" t="str">
        <f>IF(AND(VLOOKUP(A114,門市主檔!A:Y,25,FALSE)="STAR", VLOOKUP(A114,門市主檔!A:N,14,FALSE)=""),
    IF(OR(C114="V", D114="V", E114="V"), "已PM未更換", "未更換"),
    IF(VLOOKUP(A114,門市主檔!A:Y,25,FALSE)&lt;&gt;"STAR", "無專案", "已更換")
)</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"&gt;="&amp;$R$2, IM!$X:$X, "&lt;="&amp;$S$2)&gt;0), "V", "")</f>
        <v/>
      </c>
      <c r="E115" s="303" t="str">
        <f>IF(AND(C115&lt;&gt;"V",D115&lt;&gt;"V", COUNTIFS(IM!$F:$F, A115, IM!$AD:$AD, "O", IM!$X:$X, "&gt;="&amp;$R$3, IM!$X:$X, "&lt;="&amp;$S$3)&gt;0), "V", "")</f>
        <v/>
      </c>
      <c r="F115" s="209" t="str">
        <f>IF(COUNTBLANK(C115:E115)=3,"未保養","")</f>
        <v/>
      </c>
      <c r="G115" s="209" t="str">
        <f>IF(AND(VLOOKUP(A115,門市主檔!A:Y,25,FALSE)="STAR", VLOOKUP(A115,門市主檔!A:N,14,FALSE)=""),
    IF(OR(C115="V", D115="V", E115="V"), "已PM未更換", "未更換"),
    IF(VLOOKUP(A115,門市主檔!A:Y,25,FALSE)&lt;&gt;"STAR", "無專案", "已更換")
)</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"&gt;="&amp;$R$2, IM!$X:$X, "&lt;="&amp;$S$2)&gt;0), "V", "")</f>
        <v/>
      </c>
      <c r="E116" s="303" t="str">
        <f>IF(AND(C116&lt;&gt;"V",D116&lt;&gt;"V", COUNTIFS(IM!$F:$F, A116, IM!$AD:$AD, "O", IM!$X:$X, "&gt;="&amp;$R$3, IM!$X:$X, "&lt;="&amp;$S$3)&gt;0), "V", "")</f>
        <v/>
      </c>
      <c r="F116" s="209" t="str">
        <f>IF(COUNTBLANK(C116:E116)=3,"未保養","")</f>
        <v/>
      </c>
      <c r="G116" s="209" t="str">
        <f>IF(AND(VLOOKUP(A116,門市主檔!A:Y,25,FALSE)="STAR", VLOOKUP(A116,門市主檔!A:N,14,FALSE)=""),
    IF(OR(C116="V", D116="V", E116="V"), "已PM未更換", "未更換"),
    IF(VLOOKUP(A116,門市主檔!A:Y,25,FALSE)&lt;&gt;"STAR", "無專案", "已更換")
)</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"&gt;="&amp;$R$2, IM!$X:$X, "&lt;="&amp;$S$2)&gt;0), "V", "")</f>
        <v/>
      </c>
      <c r="E117" s="303" t="str">
        <f>IF(AND(C117&lt;&gt;"V",D117&lt;&gt;"V", COUNTIFS(IM!$F:$F, A117, IM!$AD:$AD, "O", IM!$X:$X, "&gt;="&amp;$R$3, IM!$X:$X, "&lt;="&amp;$S$3)&gt;0), "V", "")</f>
        <v/>
      </c>
      <c r="F117" s="209" t="str">
        <f>IF(COUNTBLANK(C117:E117)=3,"未保養","")</f>
        <v/>
      </c>
      <c r="G117" s="209" t="str">
        <f>IF(AND(VLOOKUP(A117,門市主檔!A:Y,25,FALSE)="STAR", VLOOKUP(A117,門市主檔!A:N,14,FALSE)=""),
    IF(OR(C117="V", D117="V", E117="V"), "已PM未更換", "未更換"),
    IF(VLOOKUP(A117,門市主檔!A:Y,25,FALSE)&lt;&gt;"STAR", "無專案", "已更換")
)</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"&gt;="&amp;$R$2, IM!$X:$X, "&lt;="&amp;$S$2)&gt;0), "V", "")</f>
        <v/>
      </c>
      <c r="E118" s="303" t="str">
        <f>IF(AND(C118&lt;&gt;"V",D118&lt;&gt;"V", COUNTIFS(IM!$F:$F, A118, IM!$AD:$AD, "O", IM!$X:$X, "&gt;="&amp;$R$3, IM!$X:$X, "&lt;="&amp;$S$3)&gt;0), "V", "")</f>
        <v/>
      </c>
      <c r="F118" s="209" t="str">
        <f>IF(COUNTBLANK(C118:E118)=3,"未保養","")</f>
        <v/>
      </c>
      <c r="G118" s="209" t="str">
        <f>IF(AND(VLOOKUP(A118,門市主檔!A:Y,25,FALSE)="STAR", VLOOKUP(A118,門市主檔!A:N,14,FALSE)=""),
    IF(OR(C118="V", D118="V", E118="V"), "已PM未更換", "未更換"),
    IF(VLOOKUP(A118,門市主檔!A:Y,25,FALSE)&lt;&gt;"STAR", "無專案", "已更換")
)</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"&gt;="&amp;$R$2, IM!$X:$X, "&lt;="&amp;$S$2)&gt;0), "V", "")</f>
        <v/>
      </c>
      <c r="E119" s="303" t="str">
        <f>IF(AND(C119&lt;&gt;"V",D119&lt;&gt;"V", COUNTIFS(IM!$F:$F, A119, IM!$AD:$AD, "O", IM!$X:$X, "&gt;="&amp;$R$3, IM!$X:$X, "&lt;="&amp;$S$3)&gt;0), "V", "")</f>
        <v/>
      </c>
      <c r="F119" s="209" t="str">
        <f>IF(COUNTBLANK(C119:E119)=3,"未保養","")</f>
        <v/>
      </c>
      <c r="G119" s="209" t="str">
        <f>IF(AND(VLOOKUP(A119,門市主檔!A:Y,25,FALSE)="STAR", VLOOKUP(A119,門市主檔!A:N,14,FALSE)=""),
    IF(OR(C119="V", D119="V", E119="V"), "已PM未更換", "未更換"),
    IF(VLOOKUP(A119,門市主檔!A:Y,25,FALSE)&lt;&gt;"STAR", "無專案", "已更換")
)</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"&gt;="&amp;$R$2, IM!$X:$X, "&lt;="&amp;$S$2)&gt;0), "V", "")</f>
        <v/>
      </c>
      <c r="E120" s="303" t="str">
        <f>IF(AND(C120&lt;&gt;"V",D120&lt;&gt;"V", COUNTIFS(IM!$F:$F, A120, IM!$AD:$AD, "O", IM!$X:$X, "&gt;="&amp;$R$3, IM!$X:$X, "&lt;="&amp;$S$3)&gt;0), "V", "")</f>
        <v/>
      </c>
      <c r="F120" s="209" t="str">
        <f>IF(COUNTBLANK(C120:E120)=3,"未保養","")</f>
        <v/>
      </c>
      <c r="G120" s="209" t="str">
        <f>IF(AND(VLOOKUP(A120,門市主檔!A:Y,25,FALSE)="STAR", VLOOKUP(A120,門市主檔!A:N,14,FALSE)=""),
    IF(OR(C120="V", D120="V", E120="V"), "已PM未更換", "未更換"),
    IF(VLOOKUP(A120,門市主檔!A:Y,25,FALSE)&lt;&gt;"STAR", "無專案", "已更換")
)</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"&gt;="&amp;$R$2, IM!$X:$X, "&lt;="&amp;$S$2)&gt;0), "V", "")</f>
        <v/>
      </c>
      <c r="E121" s="303" t="str">
        <f>IF(AND(C121&lt;&gt;"V",D121&lt;&gt;"V", COUNTIFS(IM!$F:$F, A121, IM!$AD:$AD, "O", IM!$X:$X, "&gt;="&amp;$R$3, IM!$X:$X, "&lt;="&amp;$S$3)&gt;0), "V", "")</f>
        <v/>
      </c>
      <c r="F121" s="209" t="str">
        <f>IF(COUNTBLANK(C121:E121)=3,"未保養","")</f>
        <v/>
      </c>
      <c r="G121" s="209" t="str">
        <f>IF(AND(VLOOKUP(A121,門市主檔!A:Y,25,FALSE)="STAR", VLOOKUP(A121,門市主檔!A:N,14,FALSE)=""),
    IF(OR(C121="V", D121="V", E121="V"), "已PM未更換", "未更換"),
    IF(VLOOKUP(A121,門市主檔!A:Y,25,FALSE)&lt;&gt;"STAR", "無專案", "已更換")
)</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"&gt;="&amp;$R$2, IM!$X:$X, "&lt;="&amp;$S$2)&gt;0), "V", "")</f>
        <v/>
      </c>
      <c r="E122" s="303" t="str">
        <f>IF(AND(C122&lt;&gt;"V",D122&lt;&gt;"V", COUNTIFS(IM!$F:$F, A122, IM!$AD:$AD, "O", IM!$X:$X, "&gt;="&amp;$R$3, IM!$X:$X, "&lt;="&amp;$S$3)&gt;0), "V", "")</f>
        <v/>
      </c>
      <c r="F122" s="209" t="str">
        <f>IF(COUNTBLANK(C122:E122)=3,"未保養","")</f>
        <v/>
      </c>
      <c r="G122" s="209" t="str">
        <f>IF(AND(VLOOKUP(A122,門市主檔!A:Y,25,FALSE)="STAR", VLOOKUP(A122,門市主檔!A:N,14,FALSE)=""),
    IF(OR(C122="V", D122="V", E122="V"), "已PM未更換", "未更換"),
    IF(VLOOKUP(A122,門市主檔!A:Y,25,FALSE)&lt;&gt;"STAR", "無專案", "已更換")
)</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"&gt;="&amp;$R$2, IM!$X:$X, "&lt;="&amp;$S$2)&gt;0), "V", "")</f>
        <v/>
      </c>
      <c r="E123" s="303" t="str">
        <f>IF(AND(C123&lt;&gt;"V",D123&lt;&gt;"V", COUNTIFS(IM!$F:$F, A123, IM!$AD:$AD, "O", IM!$X:$X, "&gt;="&amp;$R$3, IM!$X:$X, "&lt;="&amp;$S$3)&gt;0), "V", "")</f>
        <v/>
      </c>
      <c r="F123" s="209" t="str">
        <f>IF(COUNTBLANK(C123:E123)=3,"未保養","")</f>
        <v/>
      </c>
      <c r="G123" s="209" t="str">
        <f>IF(AND(VLOOKUP(A123,門市主檔!A:Y,25,FALSE)="STAR", VLOOKUP(A123,門市主檔!A:N,14,FALSE)=""),
    IF(OR(C123="V", D123="V", E123="V"), "已PM未更換", "未更換"),
    IF(VLOOKUP(A123,門市主檔!A:Y,25,FALSE)&lt;&gt;"STAR", "無專案", "已更換")
)</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D1">
    <cfRule type="expression" dxfId="357" priority="7">
      <formula>COUNTIF($A5:$A5, "Yes") = 1</formula>
    </cfRule>
  </conditionalFormatting>
  <conditionalFormatting sqref="A1 E1">
    <cfRule type="expression" dxfId="356" priority="8">
      <formula>COUNTIF(#REF!, "Yes") = 1</formula>
    </cfRule>
  </conditionalFormatting>
  <conditionalFormatting sqref="B1">
    <cfRule type="expression" dxfId="355" priority="9">
      <formula>COUNTIF($A4:$A4, "Yes") = 1</formula>
    </cfRule>
  </conditionalFormatting>
  <conditionalFormatting sqref="F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G7" sqref="G7"/>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19</v>
      </c>
      <c r="E2" s="323">
        <f>IF((C2-D2)&lt;0,"0",(C2-D2))</f>
        <v>1</v>
      </c>
      <c r="F2" s="325" t="str">
        <f>ROUND(IF((D2/C2)&gt;1,1,(D2/C2))*100,0)&amp;"%"</f>
        <v>95%</v>
      </c>
      <c r="G2" s="324">
        <f>COUNTIFS(門市主檔!E:E,J1,門市主檔!Y:Y,"STAR")</f>
        <v>42</v>
      </c>
      <c r="H2" s="324">
        <f>COUNTIF($G$7:$G$150,"已更換")</f>
        <v>15</v>
      </c>
      <c r="I2" s="324">
        <f>COUNTIF($G$7:$G$150,"未更換")</f>
        <v>26</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1</v>
      </c>
      <c r="E3" s="323">
        <f t="shared" ref="E3:E4" si="0">IF((C3-D3)&lt;0,"0",(C3-D3))</f>
        <v>18</v>
      </c>
      <c r="F3" s="325" t="str">
        <f t="shared" ref="F3:F4" si="1">ROUND(IF((D3/C3)&gt;1,1,(D3/C3))*100,0)&amp;"%"</f>
        <v>5%</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20</v>
      </c>
      <c r="E5" s="363">
        <f t="shared" si="2"/>
        <v>38</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IF(COUNTBLANK(C29:E29)=3,"未保養","")</f>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IF(COUNTBLANK(C30:E30)=3,"未保養","")</f>
        <v>未保養</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IF(COUNTBLANK(C31:E31)=3,"未保養","")</f>
        <v>未保養</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IF(COUNTBLANK(C32:E32)=3,"未保養","")</f>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IF(COUNTBLANK(C33:E33)=3,"未保養","")</f>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5057</v>
      </c>
      <c r="B34" s="209" t="str">
        <f>VLOOKUP(A34,門市主檔!A:B,2,FALSE)</f>
        <v>新莊中港店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IF(COUNTBLANK(C34:E34)=3,"未保養","")</f>
        <v>未保養</v>
      </c>
      <c r="G34" s="209" t="str">
        <f>IF(AND(VLOOKUP(A34,門市主檔!A:Y,25,FALSE)="STAR", VLOOKUP(A34,門市主檔!A:N,14,FALSE)=""),
    IF(OR(C34="V", D34="V", E34="V"), "已PM未更換", "未更換"),
    IF(VLOOKUP(A34,門市主檔!A:Y,25,FALSE)&lt;&gt;"STAR", "無專案", "已更換")
)</f>
        <v>未更換</v>
      </c>
      <c r="H34" s="287">
        <f>VLOOKUP(A34,門市主檔!A:U,21,FALSE)</f>
        <v>2</v>
      </c>
      <c r="I34" s="209" t="str">
        <f>VLOOKUP(A34,'0919門市清單主檔'!B:V,21,FALSE)</f>
        <v>新莊區</v>
      </c>
      <c r="J34" s="217">
        <v>45730.666666666664</v>
      </c>
      <c r="K34" s="204"/>
      <c r="L34" s="204"/>
      <c r="M34" s="204"/>
      <c r="N34" s="204"/>
      <c r="O34" s="204"/>
      <c r="P34" s="204" t="s">
        <v>52</v>
      </c>
      <c r="Q34" s="204"/>
    </row>
    <row r="35" spans="1:17" ht="21.6" customHeight="1">
      <c r="A35" s="209">
        <v>4194</v>
      </c>
      <c r="B35" s="209" t="str">
        <f>VLOOKUP(A35,門市主檔!A:B,2,FALSE)</f>
        <v>新莊鼎苑店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IF(COUNTBLANK(C35:E35)=3,"未保養","")</f>
        <v>未保養</v>
      </c>
      <c r="G35" s="209" t="str">
        <f>IF(AND(VLOOKUP(A35,門市主檔!A:Y,25,FALSE)="STAR", VLOOKUP(A35,門市主檔!A:N,14,FALSE)=""),
    IF(OR(C35="V", D35="V", E35="V"), "已PM未更換", "未更換"),
    IF(VLOOKUP(A35,門市主檔!A:Y,25,FALSE)&lt;&gt;"STAR", "無專案", "已更換")
)</f>
        <v>未更換</v>
      </c>
      <c r="H35" s="287">
        <f>VLOOKUP(A35,門市主檔!A:U,21,FALSE)</f>
        <v>2</v>
      </c>
      <c r="I35" s="209" t="str">
        <f>VLOOKUP(A35,'0919門市清單主檔'!B:V,21,FALSE)</f>
        <v>新莊區</v>
      </c>
      <c r="J35" s="217">
        <v>45700.604166666664</v>
      </c>
      <c r="K35" s="204"/>
      <c r="L35" s="204"/>
      <c r="M35" s="204"/>
      <c r="N35" s="204"/>
      <c r="O35" s="204"/>
      <c r="P35" s="204" t="s">
        <v>52</v>
      </c>
      <c r="Q35" s="204"/>
    </row>
    <row r="36" spans="1:17" ht="21.6" customHeight="1">
      <c r="A36" s="209">
        <v>4701</v>
      </c>
      <c r="B36" s="209" t="str">
        <f>VLOOKUP(A36,門市主檔!A:B,2,FALSE)</f>
        <v>新莊昌平店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IF(COUNTBLANK(C36:E36)=3,"未保養","")</f>
        <v>未保養</v>
      </c>
      <c r="G36" s="209" t="str">
        <f>IF(AND(VLOOKUP(A36,門市主檔!A:Y,25,FALSE)="STAR", VLOOKUP(A36,門市主檔!A:N,14,FALSE)=""),
    IF(OR(C36="V", D36="V", E36="V"), "已PM未更換", "未更換"),
    IF(VLOOKUP(A36,門市主檔!A:Y,25,FALSE)&lt;&gt;"STAR", "無專案", "已更換")
)</f>
        <v>無專案</v>
      </c>
      <c r="H36" s="287">
        <f>VLOOKUP(A36,門市主檔!A:U,21,FALSE)</f>
        <v>0</v>
      </c>
      <c r="I36" s="209" t="str">
        <f>VLOOKUP(A36,'0919門市清單主檔'!B:V,21,FALSE)</f>
        <v>新莊區</v>
      </c>
      <c r="J36" s="217">
        <v>45712.604166666664</v>
      </c>
      <c r="K36" s="204"/>
      <c r="L36" s="204"/>
      <c r="M36" s="204"/>
      <c r="N36" s="204"/>
      <c r="O36" s="204"/>
      <c r="P36" s="204" t="s">
        <v>52</v>
      </c>
      <c r="Q36" s="204"/>
    </row>
    <row r="37" spans="1:17" ht="21.6" customHeight="1">
      <c r="A37" s="209">
        <v>3999</v>
      </c>
      <c r="B37" s="209" t="str">
        <f>VLOOKUP(A37,門市主檔!A:B,2,FALSE)</f>
        <v>新莊福祐店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IF(COUNTBLANK(C37:E37)=3,"未保養","")</f>
        <v>未保養</v>
      </c>
      <c r="G37" s="209" t="str">
        <f>IF(AND(VLOOKUP(A37,門市主檔!A:Y,25,FALSE)="STAR", VLOOKUP(A37,門市主檔!A:N,14,FALSE)=""),
    IF(OR(C37="V", D37="V", E37="V"), "已PM未更換", "未更換"),
    IF(VLOOKUP(A37,門市主檔!A:Y,25,FALSE)&lt;&gt;"STAR", "無專案", "已更換")
)</f>
        <v>未更換</v>
      </c>
      <c r="H37" s="287">
        <f>VLOOKUP(A37,門市主檔!A:U,21,FALSE)</f>
        <v>1</v>
      </c>
      <c r="I37" s="209" t="str">
        <f>VLOOKUP(A37,'0919門市清單主檔'!B:V,21,FALSE)</f>
        <v>新莊區</v>
      </c>
      <c r="J37" s="217">
        <v>45712.618055555555</v>
      </c>
      <c r="K37" s="204"/>
      <c r="L37" s="204"/>
      <c r="M37" s="204"/>
      <c r="N37" s="204"/>
      <c r="O37" s="204"/>
      <c r="P37" s="204" t="s">
        <v>52</v>
      </c>
      <c r="Q37" s="204"/>
    </row>
    <row r="38" spans="1:17" ht="21.6" customHeight="1">
      <c r="A38" s="209">
        <v>4856</v>
      </c>
      <c r="B38" s="209" t="str">
        <f>VLOOKUP(A38,門市主檔!A:B,2,FALSE)</f>
        <v>新莊小胖店</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IF(COUNTBLANK(C38:E38)=3,"未保養","")</f>
        <v>未保養</v>
      </c>
      <c r="G38" s="209" t="str">
        <f>IF(AND(VLOOKUP(A38,門市主檔!A:Y,25,FALSE)="STAR", VLOOKUP(A38,門市主檔!A:N,14,FALSE)=""),
    IF(OR(C38="V", D38="V", E38="V"), "已PM未更換", "未更換"),
    IF(VLOOKUP(A38,門市主檔!A:Y,25,FALSE)&lt;&gt;"STAR", "無專案", "已更換")
)</f>
        <v>未更換</v>
      </c>
      <c r="H38" s="287">
        <f>VLOOKUP(A38,門市主檔!A:U,21,FALSE)</f>
        <v>1</v>
      </c>
      <c r="I38" s="209" t="str">
        <f>VLOOKUP(A38,'0919門市清單主檔'!B:V,21,FALSE)</f>
        <v>新莊區</v>
      </c>
      <c r="J38" s="217">
        <v>45665.444444444445</v>
      </c>
      <c r="K38" s="204"/>
      <c r="L38" s="204"/>
      <c r="M38" s="204"/>
      <c r="N38" s="204"/>
      <c r="O38" s="204"/>
      <c r="P38" s="204" t="s">
        <v>52</v>
      </c>
      <c r="Q38" s="204"/>
    </row>
    <row r="39" spans="1:17" ht="21.6" customHeight="1">
      <c r="A39" s="209">
        <v>3380</v>
      </c>
      <c r="B39" s="209" t="str">
        <f>VLOOKUP(A39,門市主檔!A:B,2,FALSE)</f>
        <v>北縣莊勝店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新莊區</v>
      </c>
      <c r="J39" s="217">
        <v>45663.673611111109</v>
      </c>
      <c r="K39" s="204"/>
      <c r="L39" s="204"/>
      <c r="M39" s="204"/>
      <c r="N39" s="204"/>
      <c r="O39" s="204"/>
      <c r="P39" s="204" t="s">
        <v>52</v>
      </c>
      <c r="Q39" s="204"/>
    </row>
    <row r="40" spans="1:17" ht="21.6" customHeight="1">
      <c r="A40" s="209">
        <v>4144</v>
      </c>
      <c r="B40" s="209" t="str">
        <f>VLOOKUP(A40,門市主檔!A:B,2,FALSE)</f>
        <v>新莊頭前店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IF(COUNTBLANK(C40:E40)=3,"未保養","")</f>
        <v>未保養</v>
      </c>
      <c r="G40" s="209" t="str">
        <f>IF(AND(VLOOKUP(A40,門市主檔!A:Y,25,FALSE)="STAR", VLOOKUP(A40,門市主檔!A:N,14,FALSE)=""),
    IF(OR(C40="V", D40="V", E40="V"), "已PM未更換", "未更換"),
    IF(VLOOKUP(A40,門市主檔!A:Y,25,FALSE)&lt;&gt;"STAR", "無專案", "已更換")
)</f>
        <v>未更換</v>
      </c>
      <c r="H40" s="287">
        <f>VLOOKUP(A40,門市主檔!A:U,21,FALSE)</f>
        <v>2</v>
      </c>
      <c r="I40" s="209" t="str">
        <f>VLOOKUP(A40,'0919門市清單主檔'!B:V,21,FALSE)</f>
        <v>新莊區</v>
      </c>
      <c r="J40" s="217">
        <v>45691.5625</v>
      </c>
      <c r="K40" s="204"/>
      <c r="L40" s="204"/>
      <c r="M40" s="204"/>
      <c r="N40" s="204"/>
      <c r="O40" s="204"/>
      <c r="P40" s="204" t="s">
        <v>52</v>
      </c>
      <c r="Q40" s="204"/>
    </row>
    <row r="41" spans="1:17" ht="21.6" customHeight="1">
      <c r="A41" s="209">
        <v>3785</v>
      </c>
      <c r="B41" s="209" t="str">
        <f>VLOOKUP(A41,門市主檔!A:B,2,FALSE)</f>
        <v>北縣莊榮店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IF(COUNTBLANK(C41:E41)=3,"未保養","")</f>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新莊區</v>
      </c>
      <c r="J41" s="217">
        <v>45695.652777777781</v>
      </c>
      <c r="K41" s="204"/>
      <c r="L41" s="204"/>
      <c r="M41" s="204"/>
      <c r="N41" s="204"/>
      <c r="O41" s="204"/>
      <c r="P41" s="204" t="s">
        <v>52</v>
      </c>
      <c r="Q41" s="204"/>
    </row>
    <row r="42" spans="1:17" ht="21.6" customHeight="1">
      <c r="A42" s="209">
        <v>2743</v>
      </c>
      <c r="B42" s="209" t="str">
        <f>VLOOKUP(A42,門市主檔!A:B,2,FALSE)</f>
        <v>新莊豐年店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IF(COUNTBLANK(C42:E42)=3,"未保養","")</f>
        <v>未保養</v>
      </c>
      <c r="G42" s="209" t="str">
        <f>IF(AND(VLOOKUP(A42,門市主檔!A:Y,25,FALSE)="STAR", VLOOKUP(A42,門市主檔!A:N,14,FALSE)=""),
    IF(OR(C42="V", D42="V", E42="V"), "已PM未更換", "未更換"),
    IF(VLOOKUP(A42,門市主檔!A:Y,25,FALSE)&lt;&gt;"STAR", "無專案", "已更換")
)</f>
        <v>未更換</v>
      </c>
      <c r="H42" s="287">
        <f>VLOOKUP(A42,門市主檔!A:U,21,FALSE)</f>
        <v>1</v>
      </c>
      <c r="I42" s="209" t="str">
        <f>VLOOKUP(A42,'0919門市清單主檔'!B:V,21,FALSE)</f>
        <v>新莊區</v>
      </c>
      <c r="J42" s="217">
        <v>45695.635416666664</v>
      </c>
      <c r="K42" s="204"/>
      <c r="L42" s="204"/>
      <c r="M42" s="204"/>
      <c r="N42" s="204"/>
      <c r="O42" s="204"/>
      <c r="P42" s="204" t="s">
        <v>52</v>
      </c>
      <c r="Q42" s="204"/>
    </row>
    <row r="43" spans="1:17" ht="21.6" customHeight="1">
      <c r="A43" s="209">
        <v>2109</v>
      </c>
      <c r="B43" s="209" t="str">
        <f>VLOOKUP(A43,門市主檔!A:B,2,FALSE)</f>
        <v>北縣瓊林南店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IF(COUNTBLANK(C43:E43)=3,"未保養","")</f>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新莊區</v>
      </c>
      <c r="J43" s="217">
        <v>45695.604166666664</v>
      </c>
      <c r="K43" s="204"/>
      <c r="L43" s="204"/>
      <c r="M43" s="204"/>
      <c r="N43" s="204"/>
      <c r="O43" s="204"/>
      <c r="P43" s="204" t="s">
        <v>52</v>
      </c>
      <c r="Q43" s="204"/>
    </row>
    <row r="44" spans="1:17" ht="21.6" customHeight="1">
      <c r="A44" s="209">
        <v>4208</v>
      </c>
      <c r="B44" s="209" t="str">
        <f>VLOOKUP(A44,門市主檔!A:B,2,FALSE)</f>
        <v>新莊瓊泰店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IF(COUNTBLANK(C44:E44)=3,"未保養","")</f>
        <v>未保養</v>
      </c>
      <c r="G44" s="209" t="str">
        <f>IF(AND(VLOOKUP(A44,門市主檔!A:Y,25,FALSE)="STAR", VLOOKUP(A44,門市主檔!A:N,14,FALSE)=""),
    IF(OR(C44="V", D44="V", E44="V"), "已PM未更換", "未更換"),
    IF(VLOOKUP(A44,門市主檔!A:Y,25,FALSE)&lt;&gt;"STAR", "無專案", "已更換")
)</f>
        <v>無專案</v>
      </c>
      <c r="H44" s="287">
        <f>VLOOKUP(A44,門市主檔!A:U,21,FALSE)</f>
        <v>0</v>
      </c>
      <c r="I44" s="209" t="str">
        <f>VLOOKUP(A44,'0919門市清單主檔'!B:V,21,FALSE)</f>
        <v>新莊區</v>
      </c>
      <c r="J44" s="217">
        <v>45695.618055555555</v>
      </c>
      <c r="K44" s="204"/>
      <c r="L44" s="204"/>
      <c r="M44" s="204"/>
      <c r="N44" s="204"/>
      <c r="O44" s="204"/>
      <c r="P44" s="204"/>
      <c r="Q44" s="204"/>
    </row>
    <row r="45" spans="1:17" ht="21.6" customHeight="1">
      <c r="A45" s="209">
        <v>3358</v>
      </c>
      <c r="B45" s="209" t="str">
        <f>VLOOKUP(A45,門市主檔!A:B,2,FALSE)</f>
        <v>新莊棒球場</v>
      </c>
      <c r="C45" s="303" t="str">
        <f>IF(COUNTIFS(IM!$F:$F,A45,IM!$AD:$AD,"O",IM!$X:$X,"&gt;="&amp;$R$1, IM!$X:$X,"&lt;="&amp;$S$1)&gt;0,"V","")</f>
        <v>V</v>
      </c>
      <c r="D45" s="303" t="str">
        <f>IF(AND(C45&lt;&gt;"V", COUNTIFS(IM!$F:$F,A45, IM!$AD:$AD, "O", IM!$X:$X, "&gt;="&amp;$R$2, IM!$X:$X, "&lt;="&amp;$S$2)&gt;0), "V", "")</f>
        <v/>
      </c>
      <c r="E45" s="303" t="str">
        <f>IF(AND(C45&lt;&gt;"V",D45&lt;&gt;"V", COUNTIFS(IM!$F:$F, A45, IM!$AD:$AD, "O", IM!$X:$X, "&gt;="&amp;$R$3, IM!$X:$X, "&lt;="&amp;$S$3)&gt;0), "V", "")</f>
        <v/>
      </c>
      <c r="F45" s="209" t="str">
        <f>IF(COUNTBLANK(C45:E45)=3,"未保養","")</f>
        <v/>
      </c>
      <c r="G45" s="209" t="str">
        <f>IF(AND(VLOOKUP(A45,門市主檔!A:Y,25,FALSE)="STAR", VLOOKUP(A45,門市主檔!A:N,14,FALSE)=""),
    IF(OR(C45="V", D45="V", E45="V"), "已PM未更換", "未更換"),
    IF(VLOOKUP(A45,門市主檔!A:Y,25,FALSE)&lt;&gt;"STAR", "無專案", "已更換")
)</f>
        <v>無專案</v>
      </c>
      <c r="H45" s="287">
        <f>VLOOKUP(A45,門市主檔!A:U,21,FALSE)</f>
        <v>0</v>
      </c>
      <c r="I45" s="209" t="str">
        <f>VLOOKUP(A45,'0919門市清單主檔'!B:V,21,FALSE)</f>
        <v>新莊區</v>
      </c>
      <c r="J45" s="217">
        <v>45736.6875</v>
      </c>
      <c r="K45" s="204"/>
      <c r="L45" s="204"/>
      <c r="M45" s="204"/>
      <c r="N45" s="204"/>
      <c r="O45" s="204"/>
      <c r="P45" s="204"/>
      <c r="Q45" s="204"/>
    </row>
    <row r="46" spans="1:17" ht="21.6" customHeight="1">
      <c r="A46" s="209">
        <v>3052</v>
      </c>
      <c r="B46" s="209" t="str">
        <f>VLOOKUP(A46,門市主檔!A:B,2,FALSE)</f>
        <v>北縣莊玲店</v>
      </c>
      <c r="C46" s="303" t="str">
        <f>IF(COUNTIFS(IM!$F:$F,A46,IM!$AD:$AD,"O",IM!$X:$X,"&gt;="&amp;$R$1, IM!$X:$X,"&lt;="&amp;$S$1)&gt;0,"V","")</f>
        <v/>
      </c>
      <c r="D46" s="303" t="str">
        <f>IF(AND(C46&lt;&gt;"V", COUNTIFS(IM!$F:$F,A46, IM!$AD:$AD, "O", IM!$X:$X, "&gt;="&amp;$R$2, IM!$X:$X, "&lt;="&amp;$S$2)&gt;0), "V", "")</f>
        <v>V</v>
      </c>
      <c r="E46" s="303" t="str">
        <f>IF(AND(C46&lt;&gt;"V",D46&lt;&gt;"V", COUNTIFS(IM!$F:$F, A46, IM!$AD:$AD, "O", IM!$X:$X, "&gt;="&amp;$R$3, IM!$X:$X, "&lt;="&amp;$S$3)&gt;0), "V", "")</f>
        <v/>
      </c>
      <c r="F46" s="209" t="str">
        <f>IF(COUNTBLANK(C46:E46)=3,"未保養","")</f>
        <v/>
      </c>
      <c r="G46" s="209" t="str">
        <f>IF(AND(VLOOKUP(A46,門市主檔!A:Y,25,FALSE)="STAR", VLOOKUP(A46,門市主檔!A:N,14,FALSE)=""),
    IF(OR(C46="V", D46="V", E46="V"), "已PM未更換", "未更換"),
    IF(VLOOKUP(A46,門市主檔!A:Y,25,FALSE)&lt;&gt;"STAR", "無專案", "已更換")
)</f>
        <v>已PM未更換</v>
      </c>
      <c r="H46" s="287">
        <f>VLOOKUP(A46,門市主檔!A:U,21,FALSE)</f>
        <v>2</v>
      </c>
      <c r="I46" s="209" t="str">
        <f>VLOOKUP(A46,'0919門市清單主檔'!B:V,21,FALSE)</f>
        <v>新莊區</v>
      </c>
      <c r="J46" s="217">
        <v>45663.635416666664</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"&gt;="&amp;$R$2, IM!$X:$X, "&lt;="&amp;$S$2)&gt;0), "V", "")</f>
        <v/>
      </c>
      <c r="E47" s="303" t="str">
        <f>IF(AND(C47&lt;&gt;"V",D47&lt;&gt;"V", COUNTIFS(IM!$F:$F, A47, IM!$AD:$AD, "O", IM!$X:$X, "&gt;="&amp;$R$3, IM!$X:$X, "&lt;="&amp;$S$3)&gt;0), "V", "")</f>
        <v/>
      </c>
      <c r="F47" s="209" t="str">
        <f>IF(COUNTBLANK(C47:E47)=3,"未保養","")</f>
        <v/>
      </c>
      <c r="G47" s="209" t="str">
        <f>IF(AND(VLOOKUP(A47,門市主檔!A:Y,25,FALSE)="STAR", VLOOKUP(A47,門市主檔!A:N,14,FALSE)=""),
    IF(OR(C47="V", D47="V", E47="V"), "已PM未更換", "未更換"),
    IF(VLOOKUP(A47,門市主檔!A:Y,25,FALSE)&lt;&gt;"STAR", "無專案", "已更換")
)</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"&gt;="&amp;$R$2, IM!$X:$X, "&lt;="&amp;$S$2)&gt;0), "V", "")</f>
        <v/>
      </c>
      <c r="E48" s="303" t="str">
        <f>IF(AND(C48&lt;&gt;"V",D48&lt;&gt;"V", COUNTIFS(IM!$F:$F, A48, IM!$AD:$AD, "O", IM!$X:$X, "&gt;="&amp;$R$3, IM!$X:$X, "&lt;="&amp;$S$3)&gt;0), "V", "")</f>
        <v/>
      </c>
      <c r="F48" s="209" t="str">
        <f>IF(COUNTBLANK(C48:E48)=3,"未保養","")</f>
        <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"&gt;="&amp;$R$2, IM!$X:$X, "&lt;="&amp;$S$2)&gt;0), "V", "")</f>
        <v/>
      </c>
      <c r="E49" s="303" t="str">
        <f>IF(AND(C49&lt;&gt;"V",D49&lt;&gt;"V", COUNTIFS(IM!$F:$F, A49, IM!$AD:$AD, "O", IM!$X:$X, "&gt;="&amp;$R$3, IM!$X:$X, "&lt;="&amp;$S$3)&gt;0), "V", "")</f>
        <v/>
      </c>
      <c r="F49" s="209" t="str">
        <f>IF(COUNTBLANK(C49:E49)=3,"未保養","")</f>
        <v/>
      </c>
      <c r="G49" s="209" t="str">
        <f>IF(AND(VLOOKUP(A49,門市主檔!A:Y,25,FALSE)="STAR", VLOOKUP(A49,門市主檔!A:N,14,FALSE)=""),
    IF(OR(C49="V", D49="V", E49="V"), "已PM未更換", "未更換"),
    IF(VLOOKUP(A49,門市主檔!A:Y,25,FALSE)&lt;&gt;"STAR", "無專案", "已更換")
)</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"&gt;="&amp;$R$2, IM!$X:$X, "&lt;="&amp;$S$2)&gt;0), "V", "")</f>
        <v/>
      </c>
      <c r="E50" s="303" t="str">
        <f>IF(AND(C50&lt;&gt;"V",D50&lt;&gt;"V", COUNTIFS(IM!$F:$F, A50, IM!$AD:$AD, "O", IM!$X:$X, "&gt;="&amp;$R$3, IM!$X:$X, "&lt;="&amp;$S$3)&gt;0), "V", "")</f>
        <v/>
      </c>
      <c r="F50" s="209" t="str">
        <f>IF(COUNTBLANK(C50:E50)=3,"未保養","")</f>
        <v/>
      </c>
      <c r="G50" s="209" t="str">
        <f>IF(AND(VLOOKUP(A50,門市主檔!A:Y,25,FALSE)="STAR", VLOOKUP(A50,門市主檔!A:N,14,FALSE)=""),
    IF(OR(C50="V", D50="V", E50="V"), "已PM未更換", "未更換"),
    IF(VLOOKUP(A50,門市主檔!A:Y,25,FALSE)&lt;&gt;"STAR", "無專案", "已更換")
)</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"&gt;="&amp;$R$2, IM!$X:$X, "&lt;="&amp;$S$2)&gt;0), "V", "")</f>
        <v/>
      </c>
      <c r="E51" s="303" t="str">
        <f>IF(AND(C51&lt;&gt;"V",D51&lt;&gt;"V", COUNTIFS(IM!$F:$F, A51, IM!$AD:$AD, "O", IM!$X:$X, "&gt;="&amp;$R$3, IM!$X:$X, "&lt;="&amp;$S$3)&gt;0), "V", "")</f>
        <v/>
      </c>
      <c r="F51" s="209" t="str">
        <f>IF(COUNTBLANK(C51:E51)=3,"未保養","")</f>
        <v/>
      </c>
      <c r="G51" s="209" t="str">
        <f>IF(AND(VLOOKUP(A51,門市主檔!A:Y,25,FALSE)="STAR", VLOOKUP(A51,門市主檔!A:N,14,FALSE)=""),
    IF(OR(C51="V", D51="V", E51="V"), "已PM未更換", "未更換"),
    IF(VLOOKUP(A51,門市主檔!A:Y,25,FALSE)&lt;&gt;"STAR", "無專案", "已更換")
)</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"&gt;="&amp;$R$2, IM!$X:$X, "&lt;="&amp;$S$2)&gt;0), "V", "")</f>
        <v/>
      </c>
      <c r="E52" s="303" t="str">
        <f>IF(AND(C52&lt;&gt;"V",D52&lt;&gt;"V", COUNTIFS(IM!$F:$F, A52, IM!$AD:$AD, "O", IM!$X:$X, "&gt;="&amp;$R$3, IM!$X:$X, "&lt;="&amp;$S$3)&gt;0), "V", "")</f>
        <v/>
      </c>
      <c r="F52" s="209" t="str">
        <f>IF(COUNTBLANK(C52:E52)=3,"未保養","")</f>
        <v/>
      </c>
      <c r="G52" s="209" t="str">
        <f>IF(AND(VLOOKUP(A52,門市主檔!A:Y,25,FALSE)="STAR", VLOOKUP(A52,門市主檔!A:N,14,FALSE)=""),
    IF(OR(C52="V", D52="V", E52="V"), "已PM未更換", "未更換"),
    IF(VLOOKUP(A52,門市主檔!A:Y,25,FALSE)&lt;&gt;"STAR", "無專案", "已更換")
)</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"&gt;="&amp;$R$2, IM!$X:$X, "&lt;="&amp;$S$2)&gt;0), "V", "")</f>
        <v/>
      </c>
      <c r="E53" s="303" t="str">
        <f>IF(AND(C53&lt;&gt;"V",D53&lt;&gt;"V", COUNTIFS(IM!$F:$F, A53, IM!$AD:$AD, "O", IM!$X:$X, "&gt;="&amp;$R$3, IM!$X:$X, "&lt;="&amp;$S$3)&gt;0), "V", "")</f>
        <v/>
      </c>
      <c r="F53" s="209" t="str">
        <f>IF(COUNTBLANK(C53:E53)=3,"未保養","")</f>
        <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"&gt;="&amp;$R$2, IM!$X:$X, "&lt;="&amp;$S$2)&gt;0), "V", "")</f>
        <v/>
      </c>
      <c r="E54" s="303" t="str">
        <f>IF(AND(C54&lt;&gt;"V",D54&lt;&gt;"V", COUNTIFS(IM!$F:$F, A54, IM!$AD:$AD, "O", IM!$X:$X, "&gt;="&amp;$R$3, IM!$X:$X, "&lt;="&amp;$S$3)&gt;0), "V", "")</f>
        <v/>
      </c>
      <c r="F54" s="209" t="str">
        <f>IF(COUNTBLANK(C54:E54)=3,"未保養","")</f>
        <v/>
      </c>
      <c r="G54" s="209" t="str">
        <f>IF(AND(VLOOKUP(A54,門市主檔!A:Y,25,FALSE)="STAR", VLOOKUP(A54,門市主檔!A:N,14,FALSE)=""),
    IF(OR(C54="V", D54="V", E54="V"), "已PM未更換", "未更換"),
    IF(VLOOKUP(A54,門市主檔!A:Y,25,FALSE)&lt;&gt;"STAR", "無專案", "已更換")
)</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"&gt;="&amp;$R$2, IM!$X:$X, "&lt;="&amp;$S$2)&gt;0), "V", "")</f>
        <v/>
      </c>
      <c r="E55" s="303" t="str">
        <f>IF(AND(C55&lt;&gt;"V",D55&lt;&gt;"V", COUNTIFS(IM!$F:$F, A55, IM!$AD:$AD, "O", IM!$X:$X, "&gt;="&amp;$R$3, IM!$X:$X, "&lt;="&amp;$S$3)&gt;0), "V", "")</f>
        <v/>
      </c>
      <c r="F55" s="209" t="str">
        <f>IF(COUNTBLANK(C55:E55)=3,"未保養","")</f>
        <v/>
      </c>
      <c r="G55" s="209" t="str">
        <f>IF(AND(VLOOKUP(A55,門市主檔!A:Y,25,FALSE)="STAR", VLOOKUP(A55,門市主檔!A:N,14,FALSE)=""),
    IF(OR(C55="V", D55="V", E55="V"), "已PM未更換", "未更換"),
    IF(VLOOKUP(A55,門市主檔!A:Y,25,FALSE)&lt;&gt;"STAR", "無專案", "已更換")
)</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"&gt;="&amp;$R$2, IM!$X:$X, "&lt;="&amp;$S$2)&gt;0), "V", "")</f>
        <v/>
      </c>
      <c r="E56" s="303" t="str">
        <f>IF(AND(C56&lt;&gt;"V",D56&lt;&gt;"V", COUNTIFS(IM!$F:$F, A56, IM!$AD:$AD, "O", IM!$X:$X, "&gt;="&amp;$R$3, IM!$X:$X, "&lt;="&amp;$S$3)&gt;0), "V", "")</f>
        <v/>
      </c>
      <c r="F56" s="209" t="str">
        <f>IF(COUNTBLANK(C56:E56)=3,"未保養","")</f>
        <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"&gt;="&amp;$R$2, IM!$X:$X, "&lt;="&amp;$S$2)&gt;0), "V", "")</f>
        <v/>
      </c>
      <c r="E57" s="303" t="str">
        <f>IF(AND(C57&lt;&gt;"V",D57&lt;&gt;"V", COUNTIFS(IM!$F:$F, A57, IM!$AD:$AD, "O", IM!$X:$X, "&gt;="&amp;$R$3, IM!$X:$X, "&lt;="&amp;$S$3)&gt;0), "V", "")</f>
        <v/>
      </c>
      <c r="F57" s="209" t="str">
        <f>IF(COUNTBLANK(C57:E57)=3,"未保養","")</f>
        <v/>
      </c>
      <c r="G57" s="209" t="str">
        <f>IF(AND(VLOOKUP(A57,門市主檔!A:Y,25,FALSE)="STAR", VLOOKUP(A57,門市主檔!A:N,14,FALSE)=""),
    IF(OR(C57="V", D57="V", E57="V"), "已PM未更換", "未更換"),
    IF(VLOOKUP(A57,門市主檔!A:Y,25,FALSE)&lt;&gt;"STAR", "無專案", "已更換")
)</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"&gt;="&amp;$R$2, IM!$X:$X, "&lt;="&amp;$S$2)&gt;0), "V", "")</f>
        <v/>
      </c>
      <c r="E58" s="303" t="str">
        <f>IF(AND(C58&lt;&gt;"V",D58&lt;&gt;"V", COUNTIFS(IM!$F:$F, A58, IM!$AD:$AD, "O", IM!$X:$X, "&gt;="&amp;$R$3, IM!$X:$X, "&lt;="&amp;$S$3)&gt;0), "V", "")</f>
        <v/>
      </c>
      <c r="F58" s="209" t="str">
        <f>IF(COUNTBLANK(C58:E58)=3,"未保養","")</f>
        <v/>
      </c>
      <c r="G58" s="209" t="str">
        <f>IF(AND(VLOOKUP(A58,門市主檔!A:Y,25,FALSE)="STAR", VLOOKUP(A58,門市主檔!A:N,14,FALSE)=""),
    IF(OR(C58="V", D58="V", E58="V"), "已PM未更換", "未更換"),
    IF(VLOOKUP(A58,門市主檔!A:Y,25,FALSE)&lt;&gt;"STAR", "無專案", "已更換")
)</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"&gt;="&amp;$R$2, IM!$X:$X, "&lt;="&amp;$S$2)&gt;0), "V", "")</f>
        <v/>
      </c>
      <c r="E59" s="303" t="str">
        <f>IF(AND(C59&lt;&gt;"V",D59&lt;&gt;"V", COUNTIFS(IM!$F:$F, A59, IM!$AD:$AD, "O", IM!$X:$X, "&gt;="&amp;$R$3, IM!$X:$X, "&lt;="&amp;$S$3)&gt;0), "V", "")</f>
        <v/>
      </c>
      <c r="F59" s="209" t="str">
        <f>IF(COUNTBLANK(C59:E59)=3,"未保養","")</f>
        <v/>
      </c>
      <c r="G59" s="209" t="str">
        <f>IF(AND(VLOOKUP(A59,門市主檔!A:Y,25,FALSE)="STAR", VLOOKUP(A59,門市主檔!A:N,14,FALSE)=""),
    IF(OR(C59="V", D59="V", E59="V"), "已PM未更換", "未更換"),
    IF(VLOOKUP(A59,門市主檔!A:Y,25,FALSE)&lt;&gt;"STAR", "無專案", "已更換")
)</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"&gt;="&amp;$R$2, IM!$X:$X, "&lt;="&amp;$S$2)&gt;0), "V", "")</f>
        <v/>
      </c>
      <c r="E60" s="303" t="str">
        <f>IF(AND(C60&lt;&gt;"V",D60&lt;&gt;"V", COUNTIFS(IM!$F:$F, A60, IM!$AD:$AD, "O", IM!$X:$X, "&gt;="&amp;$R$3, IM!$X:$X, "&lt;="&amp;$S$3)&gt;0), "V", "")</f>
        <v/>
      </c>
      <c r="F60" s="209" t="str">
        <f>IF(COUNTBLANK(C60:E60)=3,"未保養","")</f>
        <v/>
      </c>
      <c r="G60" s="209" t="str">
        <f>IF(AND(VLOOKUP(A60,門市主檔!A:Y,25,FALSE)="STAR", VLOOKUP(A60,門市主檔!A:N,14,FALSE)=""),
    IF(OR(C60="V", D60="V", E60="V"), "已PM未更換", "未更換"),
    IF(VLOOKUP(A60,門市主檔!A:Y,25,FALSE)&lt;&gt;"STAR", "無專案", "已更換")
)</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"&gt;="&amp;$R$2, IM!$X:$X, "&lt;="&amp;$S$2)&gt;0), "V", "")</f>
        <v/>
      </c>
      <c r="E61" s="303" t="str">
        <f>IF(AND(C61&lt;&gt;"V",D61&lt;&gt;"V", COUNTIFS(IM!$F:$F, A61, IM!$AD:$AD, "O", IM!$X:$X, "&gt;="&amp;$R$3, IM!$X:$X, "&lt;="&amp;$S$3)&gt;0), "V", "")</f>
        <v/>
      </c>
      <c r="F61" s="209" t="str">
        <f>IF(COUNTBLANK(C61:E61)=3,"未保養","")</f>
        <v/>
      </c>
      <c r="G61" s="209" t="str">
        <f>IF(AND(VLOOKUP(A61,門市主檔!A:Y,25,FALSE)="STAR", VLOOKUP(A61,門市主檔!A:N,14,FALSE)=""),
    IF(OR(C61="V", D61="V", E61="V"), "已PM未更換", "未更換"),
    IF(VLOOKUP(A61,門市主檔!A:Y,25,FALSE)&lt;&gt;"STAR", "無專案", "已更換")
)</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"&gt;="&amp;$R$2, IM!$X:$X, "&lt;="&amp;$S$2)&gt;0), "V", "")</f>
        <v/>
      </c>
      <c r="E62" s="303" t="str">
        <f>IF(AND(C62&lt;&gt;"V",D62&lt;&gt;"V", COUNTIFS(IM!$F:$F, A62, IM!$AD:$AD, "O", IM!$X:$X, "&gt;="&amp;$R$3, IM!$X:$X, "&lt;="&amp;$S$3)&gt;0), "V", "")</f>
        <v/>
      </c>
      <c r="F62" s="209" t="str">
        <f>IF(COUNTBLANK(C62:E62)=3,"未保養","")</f>
        <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"&gt;="&amp;$R$2, IM!$X:$X, "&lt;="&amp;$S$2)&gt;0), "V", "")</f>
        <v/>
      </c>
      <c r="E63" s="303" t="str">
        <f>IF(AND(C63&lt;&gt;"V",D63&lt;&gt;"V", COUNTIFS(IM!$F:$F, A63, IM!$AD:$AD, "O", IM!$X:$X, "&gt;="&amp;$R$3, IM!$X:$X, "&lt;="&amp;$S$3)&gt;0), "V", "")</f>
        <v/>
      </c>
      <c r="F63" s="209" t="str">
        <f>IF(COUNTBLANK(C63:E63)=3,"未保養","")</f>
        <v/>
      </c>
      <c r="G63" s="209" t="str">
        <f>IF(AND(VLOOKUP(A63,門市主檔!A:Y,25,FALSE)="STAR", VLOOKUP(A63,門市主檔!A:N,14,FALSE)=""),
    IF(OR(C63="V", D63="V", E63="V"), "已PM未更換", "未更換"),
    IF(VLOOKUP(A63,門市主檔!A:Y,25,FALSE)&lt;&gt;"STAR", "無專案", "已更換")
)</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"&gt;="&amp;$R$2, IM!$X:$X, "&lt;="&amp;$S$2)&gt;0), "V", "")</f>
        <v/>
      </c>
      <c r="E64" s="303" t="str">
        <f>IF(AND(C64&lt;&gt;"V",D64&lt;&gt;"V", COUNTIFS(IM!$F:$F, A64, IM!$AD:$AD, "O", IM!$X:$X, "&gt;="&amp;$R$3, IM!$X:$X, "&lt;="&amp;$S$3)&gt;0), "V", "")</f>
        <v/>
      </c>
      <c r="F64" s="209" t="str">
        <f>IF(COUNTBLANK(C64:E64)=3,"未保養","")</f>
        <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8">
      <formula>OR($J65="不保養", $J65="代保養")</formula>
    </cfRule>
  </conditionalFormatting>
  <conditionalFormatting sqref="F65:H986">
    <cfRule type="expression" dxfId="349" priority="39">
      <formula>OR($F65="不保養", $F65="代保養")</formula>
    </cfRule>
  </conditionalFormatting>
  <conditionalFormatting sqref="B65:B986 B6:B63">
    <cfRule type="expression" dxfId="348" priority="465">
      <formula>COUNTIF(#REF!, "Yes") = 1</formula>
    </cfRule>
  </conditionalFormatting>
  <conditionalFormatting sqref="J7:J63">
    <cfRule type="expression" dxfId="347" priority="16">
      <formula>IF(J7="不保養","true","FALSE")</formula>
    </cfRule>
  </conditionalFormatting>
  <conditionalFormatting sqref="B64">
    <cfRule type="expression" dxfId="346" priority="13">
      <formula>COUNTIF(#REF!, "Yes") = 1</formula>
    </cfRule>
  </conditionalFormatting>
  <conditionalFormatting sqref="J64">
    <cfRule type="expression" dxfId="345" priority="12">
      <formula>IF(J64="不保養","true","FALSE")</formula>
    </cfRule>
  </conditionalFormatting>
  <conditionalFormatting sqref="G7:G64">
    <cfRule type="expression" dxfId="344" priority="6">
      <formula>G7="未更換"</formula>
    </cfRule>
    <cfRule type="expression" dxfId="343" priority="7">
      <formula>G7="已更換"</formula>
    </cfRule>
  </conditionalFormatting>
  <conditionalFormatting sqref="D1">
    <cfRule type="expression" dxfId="342" priority="3">
      <formula>COUNTIF($A5:$A5, "Yes") = 1</formula>
    </cfRule>
  </conditionalFormatting>
  <conditionalFormatting sqref="A1 E1">
    <cfRule type="expression" dxfId="341" priority="4">
      <formula>COUNTIF(#REF!, "Yes") = 1</formula>
    </cfRule>
  </conditionalFormatting>
  <conditionalFormatting sqref="B1">
    <cfRule type="expression" dxfId="340" priority="5">
      <formula>COUNTIF($A4:$A4, "Yes") = 1</formula>
    </cfRule>
  </conditionalFormatting>
  <conditionalFormatting sqref="F1">
    <cfRule type="expression" dxfId="339" priority="2">
      <formula>COUNTIF(#REF!, "Yes") = 1</formula>
    </cfRule>
  </conditionalFormatting>
  <conditionalFormatting sqref="G1:G1048576">
    <cfRule type="expression" dxfId="338" priority="1">
      <formula>G1="已PM未更換"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16</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1</v>
      </c>
      <c r="E3" s="323">
        <f t="shared" ref="E3:E4" si="0">IF((C3-D3)&lt;0,"0",(C3-D3))</f>
        <v>11</v>
      </c>
      <c r="F3" s="325" t="str">
        <f t="shared" ref="F3:F4" si="1">ROUND(IF((D3/C3)&gt;1,1,(D3/C3))*100,0)&amp;"%"</f>
        <v>8%</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13</v>
      </c>
      <c r="E5" s="363">
        <f t="shared" si="2"/>
        <v>22</v>
      </c>
      <c r="F5" s="364" t="str">
        <f>ROUND(IF((D5/C5)&gt;1,1,(D5/C5))*100,0)&amp;"%"</f>
        <v>37%</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t="s">
        <v>33</v>
      </c>
      <c r="B22" s="209" t="str">
        <f>VLOOKUP(A22,門市主檔!A:B,2,FALSE)</f>
        <v>板橋大興店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板橋區</v>
      </c>
      <c r="J22" s="217">
        <v>45736.682638888888</v>
      </c>
      <c r="K22" s="204"/>
      <c r="L22" s="204"/>
      <c r="M22" s="204"/>
      <c r="N22" s="204"/>
      <c r="O22" s="204"/>
      <c r="P22" s="204" t="s">
        <v>52</v>
      </c>
      <c r="Q22" s="204"/>
    </row>
    <row r="23" spans="1:17" ht="21.6" customHeight="1">
      <c r="A23" s="209">
        <v>3955</v>
      </c>
      <c r="B23" s="209" t="str">
        <f>VLOOKUP(A23,門市主檔!A:B,2,FALSE)</f>
        <v>板橋海龍店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2</v>
      </c>
      <c r="I23" s="209" t="str">
        <f>VLOOKUP(A23,'0919門市清單主檔'!B:V,21,FALSE)</f>
        <v>板橋區</v>
      </c>
      <c r="J23" s="217">
        <v>45737.600694444445</v>
      </c>
      <c r="K23" s="204"/>
      <c r="L23" s="204"/>
      <c r="M23" s="204"/>
      <c r="N23" s="204"/>
      <c r="O23" s="204"/>
      <c r="P23" s="204" t="s">
        <v>52</v>
      </c>
      <c r="Q23" s="204"/>
    </row>
    <row r="24" spans="1:17" ht="21.6" customHeight="1">
      <c r="A24" s="209">
        <v>3962</v>
      </c>
      <c r="B24" s="209" t="str">
        <f>VLOOKUP(A24,門市主檔!A:B,2,FALSE)</f>
        <v>板橋仁化店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板橋區</v>
      </c>
      <c r="J24" s="217">
        <v>45742.477777777778</v>
      </c>
      <c r="K24" s="204"/>
      <c r="L24" s="204"/>
      <c r="M24" s="204"/>
      <c r="N24" s="204"/>
      <c r="O24" s="204"/>
      <c r="P24" s="204" t="s">
        <v>52</v>
      </c>
      <c r="Q24" s="204"/>
    </row>
    <row r="25" spans="1:17" ht="21.6" customHeight="1">
      <c r="A25" s="209">
        <v>3399</v>
      </c>
      <c r="B25" s="209" t="str">
        <f>VLOOKUP(A25,門市主檔!A:B,2,FALSE)</f>
        <v>板橋藝文中心</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未更換</v>
      </c>
      <c r="H25" s="287">
        <f>VLOOKUP(A25,門市主檔!A:U,21,FALSE)</f>
        <v>2</v>
      </c>
      <c r="I25" s="209" t="str">
        <f>VLOOKUP(A25,'0919門市清單主檔'!B:V,21,FALSE)</f>
        <v>板橋區</v>
      </c>
      <c r="J25" s="217">
        <v>45742.495138888888</v>
      </c>
      <c r="K25" s="204"/>
      <c r="L25" s="204"/>
      <c r="M25" s="204"/>
      <c r="N25" s="204"/>
      <c r="O25" s="204"/>
      <c r="P25" s="204" t="s">
        <v>52</v>
      </c>
      <c r="Q25" s="204"/>
    </row>
    <row r="26" spans="1:17" ht="21.6" customHeight="1">
      <c r="A26" s="209">
        <v>3551</v>
      </c>
      <c r="B26" s="209" t="str">
        <f>VLOOKUP(A26,門市主檔!A:B,2,FALSE)</f>
        <v>北縣板豐店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板橋區</v>
      </c>
      <c r="J26" s="217">
        <v>45742.524305555555</v>
      </c>
      <c r="K26" s="204"/>
      <c r="L26" s="204"/>
      <c r="M26" s="204"/>
      <c r="N26" s="204"/>
      <c r="O26" s="204"/>
      <c r="P26" s="204" t="s">
        <v>52</v>
      </c>
      <c r="Q26" s="204"/>
    </row>
    <row r="27" spans="1:17" ht="21.6" customHeight="1">
      <c r="A27" s="209" t="s">
        <v>30</v>
      </c>
      <c r="B27" s="209" t="str">
        <f>VLOOKUP(A27,門市主檔!A:B,2,FALSE)</f>
        <v>北縣府中店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板橋區</v>
      </c>
      <c r="J27" s="217">
        <v>45742.552083333336</v>
      </c>
      <c r="K27" s="204"/>
      <c r="L27" s="204"/>
      <c r="M27" s="204"/>
      <c r="N27" s="204"/>
      <c r="O27" s="204"/>
      <c r="P27" s="204" t="s">
        <v>52</v>
      </c>
      <c r="Q27" s="204"/>
    </row>
    <row r="28" spans="1:17" ht="21.6" customHeight="1">
      <c r="A28" s="209">
        <v>3416</v>
      </c>
      <c r="B28" s="209" t="str">
        <f>VLOOKUP(A28,門市主檔!A:B,2,FALSE)</f>
        <v>板橋國慶店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板橋區</v>
      </c>
      <c r="J28" s="217">
        <v>45742.590277777781</v>
      </c>
      <c r="K28" s="204"/>
      <c r="L28" s="204"/>
      <c r="M28" s="204"/>
      <c r="N28" s="204"/>
      <c r="O28" s="204"/>
      <c r="P28" s="204" t="s">
        <v>52</v>
      </c>
      <c r="Q28" s="204"/>
    </row>
    <row r="29" spans="1:17" ht="21.6" customHeight="1">
      <c r="A29" s="209">
        <v>2403</v>
      </c>
      <c r="B29" s="209" t="str">
        <f>VLOOKUP(A29,門市主檔!A:B,2,FALSE)</f>
        <v>北縣板龍店</v>
      </c>
      <c r="C29" s="303" t="str">
        <f>IF(COUNTIFS(IM!$F:$F,A29,IM!$AD:$AD,"O",IM!$X:$X,"&gt;="&amp;$R$1, IM!$X:$X,"&lt;="&amp;$S$1)&gt;0,"V","")</f>
        <v/>
      </c>
      <c r="D29" s="303" t="str">
        <f>IF(AND(C29&lt;&gt;"V", COUNTIFS(IM!$F:$F,A29, IM!$AD:$AD, "O", IM!$X:$X, "&gt;="&amp;$R$2, IM!$X:$X, "&lt;="&amp;$S$2)&gt;0), "V", "")</f>
        <v>V</v>
      </c>
      <c r="E29" s="303" t="str">
        <f>IF(AND(C29&lt;&gt;"V",D29&lt;&gt;"V", COUNTIFS(IM!$F:$F, A29, IM!$AD:$AD, "O", IM!$X:$X, "&gt;="&amp;$R$3, IM!$X:$X, "&lt;="&amp;$S$3)&gt;0), "V", "")</f>
        <v/>
      </c>
      <c r="F29" s="209" t="str">
        <f>IF(COUNTBLANK(C29:E29)=3,"未保養","")</f>
        <v/>
      </c>
      <c r="G29" s="209" t="str">
        <f>IF(AND(VLOOKUP(A29,門市主檔!A:Y,25,FALSE)="STAR", VLOOKUP(A29,門市主檔!A:N,14,FALSE)=""),
    IF(OR(C29="V", D29="V", E29="V"), "已PM未更換", "未更換"),
    IF(VLOOKUP(A29,門市主檔!A:Y,25,FALSE)&lt;&gt;"STAR", "無專案", "已更換")
)</f>
        <v>已PM未更換</v>
      </c>
      <c r="H29" s="287">
        <f>VLOOKUP(A29,門市主檔!A:U,21,FALSE)</f>
        <v>2</v>
      </c>
      <c r="I29" s="209" t="str">
        <f>VLOOKUP(A29,'0919門市清單主檔'!B:V,21,FALSE)</f>
        <v>板橋區</v>
      </c>
      <c r="J29" s="217">
        <v>45736.67083333333</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"&gt;="&amp;$R$2, IM!$X:$X, "&lt;="&amp;$S$2)&gt;0), "V", "")</f>
        <v/>
      </c>
      <c r="E30" s="303" t="str">
        <f>IF(AND(C30&lt;&gt;"V",D30&lt;&gt;"V", COUNTIFS(IM!$F:$F, A30, IM!$AD:$AD, "O", IM!$X:$X, "&gt;="&amp;$R$3, IM!$X:$X, "&lt;="&amp;$S$3)&gt;0), "V", "")</f>
        <v/>
      </c>
      <c r="F30" s="209" t="str">
        <f>IF(COUNTBLANK(C30:E30)=3,"未保養","")</f>
        <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"&gt;="&amp;$R$2, IM!$X:$X, "&lt;="&amp;$S$2)&gt;0), "V", "")</f>
        <v/>
      </c>
      <c r="E31" s="303" t="str">
        <f>IF(AND(C31&lt;&gt;"V",D31&lt;&gt;"V", COUNTIFS(IM!$F:$F, A31, IM!$AD:$AD, "O", IM!$X:$X, "&gt;="&amp;$R$3, IM!$X:$X, "&lt;="&amp;$S$3)&gt;0), "V", "")</f>
        <v/>
      </c>
      <c r="F31" s="209" t="str">
        <f>IF(COUNTBLANK(C31:E31)=3,"未保養","")</f>
        <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"&gt;="&amp;$R$2, IM!$X:$X, "&lt;="&amp;$S$2)&gt;0), "V", "")</f>
        <v/>
      </c>
      <c r="E32" s="303" t="str">
        <f>IF(AND(C32&lt;&gt;"V",D32&lt;&gt;"V", COUNTIFS(IM!$F:$F, A32, IM!$AD:$AD, "O", IM!$X:$X, "&gt;="&amp;$R$3, IM!$X:$X, "&lt;="&amp;$S$3)&gt;0), "V", "")</f>
        <v/>
      </c>
      <c r="F32" s="209" t="str">
        <f>IF(COUNTBLANK(C32:E32)=3,"未保養","")</f>
        <v/>
      </c>
      <c r="G32" s="209" t="str">
        <f>IF(AND(VLOOKUP(A32,門市主檔!A:Y,25,FALSE)="STAR", VLOOKUP(A32,門市主檔!A:N,14,FALSE)=""),
    IF(OR(C32="V", D32="V", E32="V"), "已PM未更換", "未更換"),
    IF(VLOOKUP(A32,門市主檔!A:Y,25,FALSE)&lt;&gt;"STAR", "無專案", "已更換")
)</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"&gt;="&amp;$R$2, IM!$X:$X, "&lt;="&amp;$S$2)&gt;0), "V", "")</f>
        <v/>
      </c>
      <c r="E33" s="303" t="str">
        <f>IF(AND(C33&lt;&gt;"V",D33&lt;&gt;"V", COUNTIFS(IM!$F:$F, A33, IM!$AD:$AD, "O", IM!$X:$X, "&gt;="&amp;$R$3, IM!$X:$X, "&lt;="&amp;$S$3)&gt;0), "V", "")</f>
        <v/>
      </c>
      <c r="F33" s="209" t="str">
        <f>IF(COUNTBLANK(C33:E33)=3,"未保養","")</f>
        <v/>
      </c>
      <c r="G33" s="209" t="str">
        <f>IF(AND(VLOOKUP(A33,門市主檔!A:Y,25,FALSE)="STAR", VLOOKUP(A33,門市主檔!A:N,14,FALSE)=""),
    IF(OR(C33="V", D33="V", E33="V"), "已PM未更換", "未更換"),
    IF(VLOOKUP(A33,門市主檔!A:Y,25,FALSE)&lt;&gt;"STAR", "無專案", "已更換")
)</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"&gt;="&amp;$R$2, IM!$X:$X, "&lt;="&amp;$S$2)&gt;0), "V", "")</f>
        <v/>
      </c>
      <c r="E34" s="303" t="str">
        <f>IF(AND(C34&lt;&gt;"V",D34&lt;&gt;"V", COUNTIFS(IM!$F:$F, A34, IM!$AD:$AD, "O", IM!$X:$X, "&gt;="&amp;$R$3, IM!$X:$X, "&lt;="&amp;$S$3)&gt;0), "V", "")</f>
        <v/>
      </c>
      <c r="F34" s="209" t="str">
        <f>IF(COUNTBLANK(C34:E34)=3,"未保養","")</f>
        <v/>
      </c>
      <c r="G34" s="209" t="str">
        <f>IF(AND(VLOOKUP(A34,門市主檔!A:Y,25,FALSE)="STAR", VLOOKUP(A34,門市主檔!A:N,14,FALSE)=""),
    IF(OR(C34="V", D34="V", E34="V"), "已PM未更換", "未更換"),
    IF(VLOOKUP(A34,門市主檔!A:Y,25,FALSE)&lt;&gt;"STAR", "無專案", "已更換")
)</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"&gt;="&amp;$R$2, IM!$X:$X, "&lt;="&amp;$S$2)&gt;0), "V", "")</f>
        <v/>
      </c>
      <c r="E35" s="303" t="str">
        <f>IF(AND(C35&lt;&gt;"V",D35&lt;&gt;"V", COUNTIFS(IM!$F:$F, A35, IM!$AD:$AD, "O", IM!$X:$X, "&gt;="&amp;$R$3, IM!$X:$X, "&lt;="&amp;$S$3)&gt;0), "V", "")</f>
        <v/>
      </c>
      <c r="F35" s="209" t="str">
        <f>IF(COUNTBLANK(C35:E35)=3,"未保養","")</f>
        <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"&gt;="&amp;$R$2, IM!$X:$X, "&lt;="&amp;$S$2)&gt;0), "V", "")</f>
        <v/>
      </c>
      <c r="E36" s="303" t="str">
        <f>IF(AND(C36&lt;&gt;"V",D36&lt;&gt;"V", COUNTIFS(IM!$F:$F, A36, IM!$AD:$AD, "O", IM!$X:$X, "&gt;="&amp;$R$3, IM!$X:$X, "&lt;="&amp;$S$3)&gt;0), "V", "")</f>
        <v/>
      </c>
      <c r="F36" s="209" t="str">
        <f>IF(COUNTBLANK(C36:E36)=3,"未保養","")</f>
        <v/>
      </c>
      <c r="G36" s="209" t="str">
        <f>IF(AND(VLOOKUP(A36,門市主檔!A:Y,25,FALSE)="STAR", VLOOKUP(A36,門市主檔!A:N,14,FALSE)=""),
    IF(OR(C36="V", D36="V", E36="V"), "已PM未更換", "未更換"),
    IF(VLOOKUP(A36,門市主檔!A:Y,25,FALSE)&lt;&gt;"STAR", "無專案", "已更換")
)</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"&gt;="&amp;$R$2, IM!$X:$X, "&lt;="&amp;$S$2)&gt;0), "V", "")</f>
        <v/>
      </c>
      <c r="E37" s="303" t="str">
        <f>IF(AND(C37&lt;&gt;"V",D37&lt;&gt;"V", COUNTIFS(IM!$F:$F, A37, IM!$AD:$AD, "O", IM!$X:$X, "&gt;="&amp;$R$3, IM!$X:$X, "&lt;="&amp;$S$3)&gt;0), "V", "")</f>
        <v/>
      </c>
      <c r="F37" s="209" t="str">
        <f>IF(COUNTBLANK(C37:E37)=3,"未保養","")</f>
        <v/>
      </c>
      <c r="G37" s="209" t="str">
        <f>IF(AND(VLOOKUP(A37,門市主檔!A:Y,25,FALSE)="STAR", VLOOKUP(A37,門市主檔!A:N,14,FALSE)=""),
    IF(OR(C37="V", D37="V", E37="V"), "已PM未更換", "未更換"),
    IF(VLOOKUP(A37,門市主檔!A:Y,25,FALSE)&lt;&gt;"STAR", "無專案", "已更換")
)</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"&gt;="&amp;$R$2, IM!$X:$X, "&lt;="&amp;$S$2)&gt;0), "V", "")</f>
        <v/>
      </c>
      <c r="E38" s="303" t="str">
        <f>IF(AND(C38&lt;&gt;"V",D38&lt;&gt;"V", COUNTIFS(IM!$F:$F, A38, IM!$AD:$AD, "O", IM!$X:$X, "&gt;="&amp;$R$3, IM!$X:$X, "&lt;="&amp;$S$3)&gt;0), "V", "")</f>
        <v/>
      </c>
      <c r="F38" s="209" t="str">
        <f>IF(COUNTBLANK(C38:E38)=3,"未保養","")</f>
        <v/>
      </c>
      <c r="G38" s="209" t="str">
        <f>IF(AND(VLOOKUP(A38,門市主檔!A:Y,25,FALSE)="STAR", VLOOKUP(A38,門市主檔!A:N,14,FALSE)=""),
    IF(OR(C38="V", D38="V", E38="V"), "已PM未更換", "未更換"),
    IF(VLOOKUP(A38,門市主檔!A:Y,25,FALSE)&lt;&gt;"STAR", "無專案", "已更換")
)</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"&gt;="&amp;$R$2, IM!$X:$X, "&lt;="&amp;$S$2)&gt;0), "V", "")</f>
        <v/>
      </c>
      <c r="E39" s="303" t="str">
        <f>IF(AND(C39&lt;&gt;"V",D39&lt;&gt;"V", COUNTIFS(IM!$F:$F, A39, IM!$AD:$AD, "O", IM!$X:$X, "&gt;="&amp;$R$3, IM!$X:$X, "&lt;="&amp;$S$3)&gt;0), "V", "")</f>
        <v/>
      </c>
      <c r="F39" s="209" t="str">
        <f>IF(COUNTBLANK(C39:E39)=3,"未保養","")</f>
        <v/>
      </c>
      <c r="G39" s="209" t="str">
        <f>IF(AND(VLOOKUP(A39,門市主檔!A:Y,25,FALSE)="STAR", VLOOKUP(A39,門市主檔!A:N,14,FALSE)=""),
    IF(OR(C39="V", D39="V", E39="V"), "已PM未更換", "未更換"),
    IF(VLOOKUP(A39,門市主檔!A:Y,25,FALSE)&lt;&gt;"STAR", "無專案", "已更換")
)</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"&gt;="&amp;$R$2, IM!$X:$X, "&lt;="&amp;$S$2)&gt;0), "V", "")</f>
        <v/>
      </c>
      <c r="E40" s="303" t="str">
        <f>IF(AND(C40&lt;&gt;"V",D40&lt;&gt;"V", COUNTIFS(IM!$F:$F, A40, IM!$AD:$AD, "O", IM!$X:$X, "&gt;="&amp;$R$3, IM!$X:$X, "&lt;="&amp;$S$3)&gt;0), "V", "")</f>
        <v/>
      </c>
      <c r="F40" s="209" t="str">
        <f>IF(COUNTBLANK(C40:E40)=3,"未保養","")</f>
        <v/>
      </c>
      <c r="G40" s="209" t="str">
        <f>IF(AND(VLOOKUP(A40,門市主檔!A:Y,25,FALSE)="STAR", VLOOKUP(A40,門市主檔!A:N,14,FALSE)=""),
    IF(OR(C40="V", D40="V", E40="V"), "已PM未更換", "未更換"),
    IF(VLOOKUP(A40,門市主檔!A:Y,25,FALSE)&lt;&gt;"STAR", "無專案", "已更換")
)</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"&gt;="&amp;$R$2, IM!$X:$X, "&lt;="&amp;$S$2)&gt;0), "V", "")</f>
        <v/>
      </c>
      <c r="E41" s="303" t="str">
        <f>IF(AND(C41&lt;&gt;"V",D41&lt;&gt;"V", COUNTIFS(IM!$F:$F, A41, IM!$AD:$AD, "O", IM!$X:$X, "&gt;="&amp;$R$3, IM!$X:$X, "&lt;="&amp;$S$3)&gt;0), "V", "")</f>
        <v/>
      </c>
      <c r="F41" s="209" t="str">
        <f>IF(COUNTBLANK(C41:E41)=3,"未保養","")</f>
        <v/>
      </c>
      <c r="G41" s="209" t="str">
        <f>IF(AND(VLOOKUP(A41,門市主檔!A:Y,25,FALSE)="STAR", VLOOKUP(A41,門市主檔!A:N,14,FALSE)=""),
    IF(OR(C41="V", D41="V", E41="V"), "已PM未更換", "未更換"),
    IF(VLOOKUP(A41,門市主檔!A:Y,25,FALSE)&lt;&gt;"STAR", "無專案", "已更換")
)</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18">
      <formula>IF(J7="不保養","true","FALSE")</formula>
    </cfRule>
  </conditionalFormatting>
  <conditionalFormatting sqref="B6:B41">
    <cfRule type="expression" dxfId="336" priority="333">
      <formula>COUNTIF(#REF!, "Yes") = 1</formula>
    </cfRule>
  </conditionalFormatting>
  <conditionalFormatting sqref="D1">
    <cfRule type="expression" dxfId="335" priority="8">
      <formula>COUNTIF($A5:$A5, "Yes") = 1</formula>
    </cfRule>
  </conditionalFormatting>
  <conditionalFormatting sqref="A1 E1">
    <cfRule type="expression" dxfId="334" priority="9">
      <formula>COUNTIF(#REF!, "Yes") = 1</formula>
    </cfRule>
  </conditionalFormatting>
  <conditionalFormatting sqref="B1">
    <cfRule type="expression" dxfId="333" priority="10">
      <formula>COUNTIF($A4:$A4, "Yes") = 1</formula>
    </cfRule>
  </conditionalFormatting>
  <conditionalFormatting sqref="F1">
    <cfRule type="expression" dxfId="332" priority="7">
      <formula>COUNTIF(#REF!, "Yes") = 1</formula>
    </cfRule>
  </conditionalFormatting>
  <conditionalFormatting sqref="G7:G41">
    <cfRule type="expression" dxfId="331" priority="2">
      <formula>G7="未更換"</formula>
    </cfRule>
    <cfRule type="expression" dxfId="330" priority="3">
      <formula>G7="已更換"</formula>
    </cfRule>
  </conditionalFormatting>
  <conditionalFormatting sqref="G7:G41">
    <cfRule type="expression" dxfId="329"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2025-05-05T09:23:33Z</dcterms:modified>
</cp:coreProperties>
</file>